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chartsheets/sheet21.xml" ContentType="application/vnd.openxmlformats-officedocument.spreadsheetml.chartsheet+xml"/>
  <Override PartName="/xl/drawings/drawing21.xml" ContentType="application/vnd.openxmlformats-officedocument.drawing+xml"/>
  <Override PartName="/xl/chartsheets/sheet22.xml" ContentType="application/vnd.openxmlformats-officedocument.spreadsheetml.chartsheet+xml"/>
  <Override PartName="/xl/drawings/drawing22.xml" ContentType="application/vnd.openxmlformats-officedocument.drawing+xml"/>
  <Override PartName="/xl/chartsheets/sheet23.xml" ContentType="application/vnd.openxmlformats-officedocument.spreadsheetml.chartsheet+xml"/>
  <Override PartName="/xl/drawings/drawing23.xml" ContentType="application/vnd.openxmlformats-officedocument.drawing+xml"/>
  <Override PartName="/xl/chartsheets/sheet24.xml" ContentType="application/vnd.openxmlformats-officedocument.spreadsheetml.chartsheet+xml"/>
  <Override PartName="/xl/drawings/drawing24.xml" ContentType="application/vnd.openxmlformats-officedocument.drawing+xml"/>
  <Override PartName="/xl/chartsheets/sheet25.xml" ContentType="application/vnd.openxmlformats-officedocument.spreadsheetml.chartsheet+xml"/>
  <Override PartName="/xl/drawings/drawing25.xml" ContentType="application/vnd.openxmlformats-officedocument.drawing+xml"/>
  <Override PartName="/xl/chartsheets/sheet26.xml" ContentType="application/vnd.openxmlformats-officedocument.spreadsheetml.chartsheet+xml"/>
  <Override PartName="/xl/drawings/drawing26.xml" ContentType="application/vnd.openxmlformats-officedocument.drawing+xml"/>
  <Override PartName="/xl/chartsheets/sheet27.xml" ContentType="application/vnd.openxmlformats-officedocument.spreadsheetml.chartsheet+xml"/>
  <Override PartName="/xl/drawings/drawing27.xml" ContentType="application/vnd.openxmlformats-officedocument.drawing+xml"/>
  <Override PartName="/xl/chartsheets/sheet28.xml" ContentType="application/vnd.openxmlformats-officedocument.spreadsheetml.chartsheet+xml"/>
  <Override PartName="/xl/drawings/drawing28.xml" ContentType="application/vnd.openxmlformats-officedocument.drawing+xml"/>
  <Override PartName="/xl/chartsheets/sheet29.xml" ContentType="application/vnd.openxmlformats-officedocument.spreadsheetml.chartsheet+xml"/>
  <Override PartName="/xl/drawings/drawing29.xml" ContentType="application/vnd.openxmlformats-officedocument.drawing+xml"/>
  <Override PartName="/xl/chartsheets/sheet30.xml" ContentType="application/vnd.openxmlformats-officedocument.spreadsheetml.chartsheet+xml"/>
  <Override PartName="/xl/drawings/drawing30.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4" firstSheet="36" activeTab="36"/>
  </bookViews>
  <sheets>
    <sheet name="instructions" sheetId="1" r:id="rId1"/>
    <sheet name="Chart30" sheetId="2" r:id="rId2"/>
    <sheet name="Chart29" sheetId="3" r:id="rId3"/>
    <sheet name="Chart28" sheetId="4" r:id="rId4"/>
    <sheet name="Chart27" sheetId="5" r:id="rId5"/>
    <sheet name="Chart26" sheetId="6" r:id="rId6"/>
    <sheet name="Chart25" sheetId="7" r:id="rId7"/>
    <sheet name="Chart24" sheetId="8" r:id="rId8"/>
    <sheet name="Chart23" sheetId="9" r:id="rId9"/>
    <sheet name="Chart22" sheetId="10" r:id="rId10"/>
    <sheet name="Chart21" sheetId="11" r:id="rId11"/>
    <sheet name="Chart20" sheetId="12" r:id="rId12"/>
    <sheet name="Chart19" sheetId="13" r:id="rId13"/>
    <sheet name="Chart18" sheetId="14" r:id="rId14"/>
    <sheet name="Chart17" sheetId="15" r:id="rId15"/>
    <sheet name="Chart16" sheetId="16" r:id="rId16"/>
    <sheet name="Chart15" sheetId="17" r:id="rId17"/>
    <sheet name="Chart14" sheetId="18" r:id="rId18"/>
    <sheet name="Chart13" sheetId="19" r:id="rId19"/>
    <sheet name="Chart12" sheetId="20" r:id="rId20"/>
    <sheet name="Chart11" sheetId="21" r:id="rId21"/>
    <sheet name="Chart10" sheetId="22" r:id="rId22"/>
    <sheet name="Chart9" sheetId="23" r:id="rId23"/>
    <sheet name="Chart8" sheetId="24" r:id="rId24"/>
    <sheet name="Chart7" sheetId="25" r:id="rId25"/>
    <sheet name="Chart6" sheetId="26" r:id="rId26"/>
    <sheet name="Chart5" sheetId="27" r:id="rId27"/>
    <sheet name="Chart4" sheetId="28" r:id="rId28"/>
    <sheet name="Chart3" sheetId="29" r:id="rId29"/>
    <sheet name="Chart2" sheetId="30" r:id="rId30"/>
    <sheet name="Chart1" sheetId="31" r:id="rId31"/>
    <sheet name="inputPrYr" sheetId="32" r:id="rId32"/>
    <sheet name="inputOth" sheetId="33" r:id="rId33"/>
    <sheet name="inputBudSum" sheetId="34" r:id="rId34"/>
    <sheet name="summ" sheetId="35" r:id="rId35"/>
    <sheet name="summ2" sheetId="36" r:id="rId36"/>
    <sheet name="cert" sheetId="37" r:id="rId37"/>
    <sheet name="cert2" sheetId="38" r:id="rId38"/>
    <sheet name="computation" sheetId="39" r:id="rId39"/>
    <sheet name="mvalloc" sheetId="40" r:id="rId40"/>
    <sheet name="transfers" sheetId="41" r:id="rId41"/>
    <sheet name="TransfersStatutes" sheetId="42" r:id="rId42"/>
    <sheet name="debt" sheetId="43" r:id="rId43"/>
    <sheet name="lpform" sheetId="44" r:id="rId44"/>
    <sheet name="general" sheetId="45" r:id="rId45"/>
    <sheet name="gen-detail" sheetId="46" r:id="rId46"/>
    <sheet name="DebtService" sheetId="47" r:id="rId47"/>
    <sheet name="road" sheetId="48" r:id="rId48"/>
    <sheet name="road-detail" sheetId="49" r:id="rId49"/>
    <sheet name="levy page10" sheetId="50" r:id="rId50"/>
    <sheet name="levy page11" sheetId="51" r:id="rId51"/>
    <sheet name="levy page12" sheetId="52" r:id="rId52"/>
    <sheet name="levy page13" sheetId="53" r:id="rId53"/>
    <sheet name="levy page14" sheetId="54" r:id="rId54"/>
    <sheet name="levy page15" sheetId="55" r:id="rId55"/>
    <sheet name="levy page16" sheetId="56" r:id="rId56"/>
    <sheet name="levy page17" sheetId="57" r:id="rId57"/>
    <sheet name="levy page18" sheetId="58" r:id="rId58"/>
    <sheet name="levy page19" sheetId="59" r:id="rId59"/>
    <sheet name="levy page20" sheetId="60" r:id="rId60"/>
    <sheet name="no levy page21" sheetId="61" r:id="rId61"/>
    <sheet name="no levy page22" sheetId="62" r:id="rId62"/>
    <sheet name="no levy page23" sheetId="63" r:id="rId63"/>
    <sheet name="no levy page24" sheetId="64" r:id="rId64"/>
    <sheet name="no levy page25" sheetId="65" r:id="rId65"/>
    <sheet name="NonBud" sheetId="66" r:id="rId66"/>
    <sheet name="NonBudFunds" sheetId="67" r:id="rId67"/>
    <sheet name="Nhood" sheetId="68" r:id="rId68"/>
    <sheet name="Resolution" sheetId="69" r:id="rId69"/>
    <sheet name="Tab A" sheetId="70" r:id="rId70"/>
    <sheet name="Tab B" sheetId="71" r:id="rId71"/>
    <sheet name="Tab C" sheetId="72" r:id="rId72"/>
    <sheet name="Tab D" sheetId="73" r:id="rId73"/>
    <sheet name="Tab E" sheetId="74" r:id="rId74"/>
    <sheet name="Mill Rate Computation" sheetId="75" r:id="rId75"/>
    <sheet name="Helpful Links" sheetId="76" r:id="rId76"/>
    <sheet name="legend" sheetId="77" r:id="rId77"/>
  </sheets>
  <definedNames>
    <definedName name="_xlnm.Print_Area" localSheetId="46">'DebtService'!$B$1:$E$59</definedName>
    <definedName name="_xlnm.Print_Area" localSheetId="31">'inputPrYr'!$A$1:$F$96</definedName>
    <definedName name="_xlnm.Print_Area" localSheetId="0">'instructions'!$A$1:$A$108</definedName>
    <definedName name="_xlnm.Print_Area" localSheetId="49">'levy page10'!$A$1:$E$86</definedName>
    <definedName name="_xlnm.Print_Area" localSheetId="50">'levy page11'!$A$1:$E$94</definedName>
    <definedName name="_xlnm.Print_Area" localSheetId="51">'levy page12'!$A$1:$E$86</definedName>
    <definedName name="_xlnm.Print_Area" localSheetId="52">'levy page13'!$A$1:$E$86</definedName>
    <definedName name="_xlnm.Print_Area" localSheetId="53">'levy page14'!$A$1:$E$86</definedName>
    <definedName name="_xlnm.Print_Area" localSheetId="54">'levy page15'!$A$1:$E$86</definedName>
    <definedName name="_xlnm.Print_Area" localSheetId="55">'levy page16'!$A$1:$E$86</definedName>
    <definedName name="_xlnm.Print_Area" localSheetId="56">'levy page17'!$A$1:$E$86</definedName>
    <definedName name="_xlnm.Print_Area" localSheetId="57">'levy page18'!$A$1:$E$86</definedName>
    <definedName name="_xlnm.Print_Area" localSheetId="58">'levy page19'!$A$1:$E$86</definedName>
    <definedName name="_xlnm.Print_Area" localSheetId="59">'levy page20'!$A$1:$E$94</definedName>
    <definedName name="_xlnm.Print_Area" localSheetId="47">'road'!$B$1:$E$120</definedName>
    <definedName name="_xlnm.Print_Area" localSheetId="34">'summ'!$A$1:$H$68</definedName>
  </definedNames>
  <calcPr fullCalcOnLoad="1"/>
</workbook>
</file>

<file path=xl/sharedStrings.xml><?xml version="1.0" encoding="utf-8"?>
<sst xmlns="http://schemas.openxmlformats.org/spreadsheetml/2006/main" count="2487" uniqueCount="1003">
  <si>
    <t>August 6, 2012</t>
  </si>
  <si>
    <t>11:00am</t>
  </si>
  <si>
    <t>Mary Nuss</t>
  </si>
  <si>
    <t>County Clerks at the County Courthouse</t>
  </si>
  <si>
    <t>County Commisioners Room at the County Courthouse</t>
  </si>
  <si>
    <t>Road and Bridge</t>
  </si>
  <si>
    <t>Personal Service</t>
  </si>
  <si>
    <t>Transfer to Special Machinery</t>
  </si>
  <si>
    <t xml:space="preserve">Interest  </t>
  </si>
  <si>
    <t>County Officers</t>
  </si>
  <si>
    <t>Reimbursements</t>
  </si>
  <si>
    <t>Grant Money Received</t>
  </si>
  <si>
    <t>In Lieu of Taxes</t>
  </si>
  <si>
    <t>County Commissioners</t>
  </si>
  <si>
    <t>Sheriff,  Jail and Lake Patrol</t>
  </si>
  <si>
    <t>Unified Court</t>
  </si>
  <si>
    <t>Courthouse/Public Service</t>
  </si>
  <si>
    <t>GIS Mapping</t>
  </si>
  <si>
    <t>Other Officers</t>
  </si>
  <si>
    <t>911 Contractual Service</t>
  </si>
  <si>
    <t>Capital Improvements</t>
  </si>
  <si>
    <t>Road Improvements</t>
  </si>
  <si>
    <t xml:space="preserve">   Salaries</t>
  </si>
  <si>
    <t xml:space="preserve">   Contractual</t>
  </si>
  <si>
    <t xml:space="preserve">   Commodities</t>
  </si>
  <si>
    <t xml:space="preserve">   Road Improvements</t>
  </si>
  <si>
    <t xml:space="preserve">   Capital Improvements</t>
  </si>
  <si>
    <t>15. Add total section for Schedule of Transfers and linked the total to the Budget Summary page.</t>
  </si>
  <si>
    <t>16. Added column to show when debt retired on the Indebtedness page.</t>
  </si>
  <si>
    <t>17. Certificate (2) added (2) after Certificate at top of page, removed the certification at the top, and added column for Nov 1 valuation.</t>
  </si>
  <si>
    <t>20. Budget Summary changed the sentence "will meet…" so the year automatically changes.</t>
  </si>
  <si>
    <t>21. Added one non-budgeted pages.</t>
  </si>
  <si>
    <t>22. On the Budget Summary page (2) added column for July1 valuation and computation to compute mil rates.</t>
  </si>
  <si>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</si>
  <si>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11c. </t>
    </r>
    <r>
      <rPr>
        <b/>
        <sz val="12"/>
        <rFont val="Times New Roman"/>
        <family val="1"/>
      </rPr>
      <t>Note: If you do not have Neighborhood Revitalization, these steps are not done.</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</si>
  <si>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</si>
  <si>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</si>
  <si>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</si>
  <si>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</si>
  <si>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 xml:space="preserve">Submitting the Budget </t>
  </si>
  <si>
    <t>4. Bud Summary delete a space and combine sentences 'Detail…' and 'and will' for where budget infor located at</t>
  </si>
  <si>
    <t>answering objections of taxpayers relating to the proposed use of all funds and the amount of ad valorem tax.</t>
  </si>
  <si>
    <t xml:space="preserve">Enter the following information from the sources shown.  This information will be entered on the budget forms  </t>
  </si>
  <si>
    <t>in the appropriate locations.  If any of the numbers are wrong, change them on this input sheet.</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</si>
  <si>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</si>
  <si>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</si>
  <si>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</si>
  <si>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</si>
  <si>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</si>
  <si>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</si>
  <si>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Expenditure</t>
  </si>
  <si>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</si>
  <si>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</si>
  <si>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</si>
  <si>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</si>
  <si>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</si>
  <si>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</si>
  <si>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</si>
  <si>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</si>
  <si>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</si>
  <si>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</si>
  <si>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</si>
  <si>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</si>
  <si>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</si>
  <si>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</si>
  <si>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</si>
  <si>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Local Sales Tax</t>
  </si>
  <si>
    <t>Does miscellaneous exceed 10% of Total Rec</t>
  </si>
  <si>
    <t>Does miscellaneous exceed 10% of Total Exp</t>
  </si>
  <si>
    <t>Non-Appropriated Balance</t>
  </si>
  <si>
    <t>Total Expenditure/Non-Appr Balance</t>
  </si>
  <si>
    <t>Delinquent Comp Rate:</t>
  </si>
  <si>
    <t>Road &amp; Bridge Fund</t>
  </si>
  <si>
    <t xml:space="preserve">General Fund </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</si>
  <si>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</si>
  <si>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</si>
  <si>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</si>
  <si>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</si>
  <si>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</si>
  <si>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</si>
  <si>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</si>
  <si>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</si>
  <si>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</si>
  <si>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</si>
  <si>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</si>
  <si>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</si>
  <si>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</si>
  <si>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</si>
  <si>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</si>
  <si>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</si>
  <si>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</si>
  <si>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</si>
  <si>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</si>
  <si>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</si>
  <si>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</si>
  <si>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</si>
  <si>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</si>
  <si>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</si>
  <si>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</si>
  <si>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</si>
  <si>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</si>
  <si>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</si>
  <si>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</si>
  <si>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</si>
  <si>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</si>
  <si>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</si>
  <si>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</si>
  <si>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</si>
  <si>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</si>
  <si>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</si>
  <si>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</si>
  <si>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</si>
  <si>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</si>
  <si>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</si>
  <si>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</si>
  <si>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</si>
  <si>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</si>
  <si>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</si>
  <si>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</si>
  <si>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</si>
  <si>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</si>
  <si>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</si>
  <si>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</si>
  <si>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</si>
  <si>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</si>
  <si>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</si>
  <si>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</si>
  <si>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</si>
  <si>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</si>
  <si>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</si>
  <si>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</si>
  <si>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</si>
  <si>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</si>
  <si>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</si>
  <si>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</si>
  <si>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</si>
  <si>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</si>
  <si>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</si>
  <si>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</si>
  <si>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</si>
  <si>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</si>
  <si>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</si>
  <si>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</si>
  <si>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</si>
  <si>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</si>
  <si>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</si>
  <si>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</si>
  <si>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</si>
  <si>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</si>
  <si>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</si>
  <si>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</si>
  <si>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</si>
  <si>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</si>
  <si>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</si>
  <si>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The following were changed to this spreadsheet on 9/16/10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</si>
  <si>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t>
    </r>
  </si>
  <si>
    <t xml:space="preserve">2.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</si>
  <si>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</si>
  <si>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</si>
  <si>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</si>
  <si>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</si>
  <si>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</si>
  <si>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</si>
  <si>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</si>
  <si>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</si>
  <si>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</si>
  <si>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</si>
  <si>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</si>
  <si>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</si>
  <si>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</si>
  <si>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</si>
  <si>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</si>
  <si>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</si>
  <si>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</si>
  <si>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</si>
  <si>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</si>
  <si>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</si>
  <si>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</si>
  <si>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</si>
  <si>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</si>
  <si>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</si>
  <si>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Page No. 7f</t>
  </si>
  <si>
    <t>Page No. 7e</t>
  </si>
  <si>
    <t>Page No. 7d</t>
  </si>
  <si>
    <t>Gudenkauf &amp; Malone, Inc</t>
  </si>
  <si>
    <t>P.O. Box 631</t>
  </si>
  <si>
    <t>Russell, Ks   67665</t>
  </si>
  <si>
    <t>1. Cert Tab change all tax levy reference for ad valorem tax column</t>
  </si>
  <si>
    <t>The following were changed to this spreadsheet on 8/8/11</t>
  </si>
  <si>
    <t>1. Corrected reference made to cell D20 on Summary Page</t>
  </si>
  <si>
    <t>Email:</t>
  </si>
  <si>
    <t>_______________________________  _______________________________</t>
  </si>
  <si>
    <t xml:space="preserve">Allocation of Motor, Recreational, 16/20M Vehicle Taxes </t>
  </si>
  <si>
    <t xml:space="preserve"> Debt</t>
  </si>
  <si>
    <t xml:space="preserve">Type </t>
  </si>
  <si>
    <t xml:space="preserve"> Purchased</t>
  </si>
  <si>
    <t>Items</t>
  </si>
  <si>
    <t xml:space="preserve">Prior Year </t>
  </si>
  <si>
    <t xml:space="preserve">Current Year </t>
  </si>
  <si>
    <t xml:space="preserve">Proposed Budget </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</si>
  <si>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</si>
  <si>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</si>
  <si>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</si>
  <si>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</si>
  <si>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</si>
  <si>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</si>
  <si>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</si>
  <si>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</si>
  <si>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11/22/11</t>
  </si>
  <si>
    <t>Clerk Name:</t>
  </si>
  <si>
    <t>***If you are merely leasing/renting with no intent to purchase, do not list--such transactions are not lease-purchases.</t>
  </si>
  <si>
    <t>Must be at least 10 days between date published and hearing held.</t>
  </si>
  <si>
    <t>January</t>
  </si>
  <si>
    <t>February</t>
  </si>
  <si>
    <t>March</t>
  </si>
  <si>
    <t>April</t>
  </si>
  <si>
    <t>May</t>
  </si>
  <si>
    <t>June</t>
  </si>
  <si>
    <t>July</t>
  </si>
  <si>
    <t>August</t>
  </si>
  <si>
    <t>September</t>
  </si>
  <si>
    <t>October</t>
  </si>
  <si>
    <t>November</t>
  </si>
  <si>
    <t>December</t>
  </si>
  <si>
    <t>Delinquency % used in this budget will be shown on all fund pages with a tax levy**</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</si>
  <si>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</si>
  <si>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</si>
  <si>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</si>
  <si>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</si>
  <si>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</si>
  <si>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</si>
  <si>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</si>
  <si>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</si>
  <si>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</si>
  <si>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</si>
  <si>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2. Instructions tab, changed #3 for adding name of official for Budget Summary page</t>
  </si>
  <si>
    <t>3. Instructions tab, added #3b for new max published date on 'inputBudSum' tab</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</si>
  <si>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</si>
  <si>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</si>
  <si>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</si>
  <si>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 xml:space="preserve">3. The 'inputBudSum' tab is used to place information on the Budget Summary. On this tab you will need to key in the following information: Name of Person presenting the budget, date the budget hearing will be held, time of the hearing, location of the budget hearing, and a place whereas the taxpayers can obtain a copy of the budget.  </t>
  </si>
  <si>
    <t xml:space="preserve">Allocation of Vehicle Taxes </t>
  </si>
  <si>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</si>
  <si>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</si>
  <si>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</si>
  <si>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</si>
  <si>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</si>
  <si>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</si>
  <si>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</si>
  <si>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</si>
  <si>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</si>
  <si>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</si>
  <si>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</si>
  <si>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</si>
  <si>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</si>
  <si>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</si>
  <si>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</si>
  <si>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</si>
  <si>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</si>
  <si>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</si>
  <si>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</si>
  <si>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</si>
  <si>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r>
      <t xml:space="preserve">1b.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</si>
  <si>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#1b for adjusting ad valorem taxes</t>
  </si>
  <si>
    <t xml:space="preserve">4b.  If someone other than a municipal employee assists in preparing the budget, please enter the person's or firm's name, address in the area provided, and email address. </t>
  </si>
  <si>
    <t>4. Instructions tab, included in #4b allowing for email address</t>
  </si>
  <si>
    <t>5. Instructions tab, changed #6 to remove slider column and computations</t>
  </si>
  <si>
    <t>6. Instructions tab, changed #11b to reflect all tax levy pages with 'Projected Carryover' table</t>
  </si>
  <si>
    <t>7. Instructions tab, changed #11c to reflect all tax levy pages with 'Desired Carryover' and warning about delinquency rate</t>
  </si>
  <si>
    <t>8. Instructions tab, added #11d for last year mill rate, proposed total mill rate, and last year total mill rate</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</si>
  <si>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</si>
  <si>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</si>
  <si>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 xml:space="preserve">10e.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</si>
  <si>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</si>
  <si>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</si>
  <si>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</si>
  <si>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</si>
  <si>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</si>
  <si>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</si>
  <si>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t>33. Expanded on the preparation of budget note 11 for instructions for the Notice of Budget Hearing.</t>
  </si>
  <si>
    <t>The following were changed to this spreadsheet on 5/08/2008</t>
  </si>
  <si>
    <t>1. Change Transfers tab footer from 'Page No. 5' to read 'Page No. 4'.</t>
  </si>
  <si>
    <t>2. Change Non-Budgeted Funds form from 'Only the actual budget year shown' to read 'Only the actual budget year for YYYY is to be shown'.</t>
  </si>
  <si>
    <t>3. Legend #33 change from 'note 10' to read 'note 11'.</t>
  </si>
  <si>
    <t>4. Changed revision date on the pages.</t>
  </si>
  <si>
    <t>The following were changed to this spreadsheet on 7/01/08</t>
  </si>
  <si>
    <t>2. Changed the formula for unencumbered cash balances for nonbud to show a negative balance.</t>
  </si>
  <si>
    <t>3. Added box under unencumbered cash balance for nonbud to reflect a negative ending cash balance.</t>
  </si>
  <si>
    <t>The Budget Summary Page</t>
  </si>
  <si>
    <t>Commissioners will be published in the (newspaper). Interested persons can also address questions concerning the budget to (office) by calling (number) between the hours of ____a.m. to ____p.m., Monday through Friday, excluding holidays.</t>
  </si>
  <si>
    <t xml:space="preserve">County.xls spreadsheet has General Fund, Debt Service, Road &amp; Bridge, 22 levy fund pages, 10 no levy fund pages, and 5 non-budgeted funds. </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</si>
  <si>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</si>
  <si>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Note:  All amounts are to be entered in as whole numbers only.</t>
  </si>
  <si>
    <t>1. Added instructions to 9d for the nonbud tab explaining about negative cash balance.</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</si>
  <si>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</si>
  <si>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</si>
  <si>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The following were changed to this spreadsheet on 2/23/09</t>
  </si>
  <si>
    <t>2. Input other tab line 26 changed from Budget Summary to Budget Certificate.</t>
  </si>
  <si>
    <t>1. Instruction under Submitting Budgets added 79-2926 requires electronic filing of the budget.</t>
  </si>
  <si>
    <t>The following were changed to this spreadsheet on 6/04/09</t>
  </si>
  <si>
    <t>1. Corrected all fund names as had wrong linked reference.</t>
  </si>
  <si>
    <t>Transfers - Counties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</si>
  <si>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</si>
  <si>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</si>
  <si>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9/23/09</t>
  </si>
  <si>
    <t>1. InputPrYr tab added cell A13 'If amended….'</t>
  </si>
  <si>
    <t>2. Gen tab added year in cell G58</t>
  </si>
  <si>
    <t>3. Road tab added year in cell G60</t>
  </si>
  <si>
    <t>4. No levypage24 in cell C61 added conditional statement</t>
  </si>
  <si>
    <t>5. Added tab TransfersStatutes</t>
  </si>
  <si>
    <t>4. Changed foot note to reflect the changes made on 7/1/08 to the above tabs.</t>
  </si>
  <si>
    <t>25. Added warning "Exceeds 5%" on all fund pages for the non-appropriated balance.</t>
  </si>
  <si>
    <t>26. Add Neighborhood Revitalization link to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</si>
  <si>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</si>
  <si>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</si>
  <si>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</si>
  <si>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</si>
  <si>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</si>
  <si>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</si>
  <si>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</si>
  <si>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</si>
  <si>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</si>
  <si>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</si>
  <si>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</si>
  <si>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</si>
  <si>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</si>
  <si>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</si>
  <si>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</si>
  <si>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</si>
  <si>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</si>
  <si>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</si>
  <si>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</si>
  <si>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</si>
  <si>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</si>
  <si>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 xml:space="preserve">K.S.A. 79-2926 requires budgets be submitted by electronic means. </t>
  </si>
  <si>
    <t>6. Added tab NonBudFunds</t>
  </si>
  <si>
    <t>7. Added Tabs A to E for possible violations</t>
  </si>
  <si>
    <t>8. Instructions tab changed 9g to j for changes for possible violations on fund pages</t>
  </si>
  <si>
    <t>9. Deleted on all fund pages the 'Yes' and 'No' and replace with see tab for possible violations</t>
  </si>
  <si>
    <t>10. Instructions tab added line 6b to inform about TransferStatutes tab</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</si>
  <si>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</si>
  <si>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</si>
  <si>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</si>
  <si>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</si>
  <si>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</si>
  <si>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</si>
  <si>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</si>
  <si>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</si>
  <si>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</si>
  <si>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</si>
  <si>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</si>
  <si>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</si>
  <si>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</si>
  <si>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</si>
  <si>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</si>
  <si>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</si>
  <si>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11. NonBud tab changed the Net valuation to July 1</t>
  </si>
  <si>
    <t>12.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</si>
  <si>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</si>
  <si>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</si>
  <si>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</si>
  <si>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</si>
  <si>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</si>
  <si>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</si>
  <si>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</si>
  <si>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</si>
  <si>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</si>
  <si>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</si>
  <si>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</si>
  <si>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</si>
  <si>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</si>
  <si>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</si>
  <si>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</si>
  <si>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</si>
  <si>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</si>
  <si>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</si>
  <si>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</si>
  <si>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</si>
  <si>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</si>
  <si>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</si>
  <si>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</si>
  <si>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</si>
  <si>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</si>
  <si>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</si>
  <si>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</si>
  <si>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</si>
  <si>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</si>
  <si>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</si>
  <si>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</si>
  <si>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</si>
  <si>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</si>
  <si>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healthy fund has sufficient budget authority and cash</t>
  </si>
  <si>
    <t>available).</t>
  </si>
  <si>
    <t>The shifting of expenditures between funds, as described in</t>
  </si>
  <si>
    <t>the preceding paragraph, can be accomplished between any funds</t>
  </si>
  <si>
    <t>that share expenses.</t>
  </si>
  <si>
    <t>Russell County</t>
  </si>
  <si>
    <t>Special Bridge</t>
  </si>
  <si>
    <t>Noxious Weed</t>
  </si>
  <si>
    <t>4-H Bldg Maintenance</t>
  </si>
  <si>
    <t>Election Expense</t>
  </si>
  <si>
    <t>Free Fair</t>
  </si>
  <si>
    <t>Ag Extension Council</t>
  </si>
  <si>
    <t>Developmental Service</t>
  </si>
  <si>
    <t>Appraiser</t>
  </si>
  <si>
    <t>Special Road and Bridge</t>
  </si>
  <si>
    <t>Employee Benefit</t>
  </si>
  <si>
    <t>Historical Society</t>
  </si>
  <si>
    <t>Hospital Board</t>
  </si>
  <si>
    <t>Emergency Tele Service</t>
  </si>
  <si>
    <t>Special Alcohol</t>
  </si>
  <si>
    <t>Sheriff Drug Fund</t>
  </si>
  <si>
    <t>Parks and Recreation</t>
  </si>
  <si>
    <t>Tourism &amp; Convention</t>
  </si>
  <si>
    <t>E-911 Cell Phone Tax</t>
  </si>
  <si>
    <t>Sheriff Concealed Carry</t>
  </si>
  <si>
    <t>Sheriff Offender Reg</t>
  </si>
  <si>
    <t>County Health</t>
  </si>
  <si>
    <t>Service for the Elderly</t>
  </si>
  <si>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</si>
  <si>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</si>
  <si>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</si>
  <si>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</si>
  <si>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</si>
  <si>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</si>
  <si>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</si>
  <si>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</si>
  <si>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7b. Added instruction line 9c to explain more about the debt service fund page can included for debts.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</si>
  <si>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</si>
  <si>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</si>
  <si>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9h to 9j for additional edits for budget authority.</t>
  </si>
  <si>
    <t>Cash Balance Jan 1</t>
  </si>
  <si>
    <t>34. Added 'excluding oil, gas, and mobile homes' to lines 7 and 9 on Clerks budget info on tab inputoth.</t>
  </si>
  <si>
    <t>Hospital Addition</t>
  </si>
  <si>
    <t>Apr-Oct</t>
  </si>
  <si>
    <t>Oct</t>
  </si>
  <si>
    <t>None</t>
  </si>
  <si>
    <t>2 Road Graders</t>
  </si>
  <si>
    <t>Cat Track Loade</t>
  </si>
  <si>
    <t>Communication Equipment</t>
  </si>
  <si>
    <t>3 Road Graders</t>
  </si>
  <si>
    <t>Collections</t>
  </si>
  <si>
    <t>Safety Expense</t>
  </si>
  <si>
    <t>Concealed Carry Cost</t>
  </si>
  <si>
    <t>Collection</t>
  </si>
  <si>
    <t>Contractual Services</t>
  </si>
  <si>
    <t>State of Kansas</t>
  </si>
  <si>
    <t>Cultural and Recreation</t>
  </si>
  <si>
    <t>Recreation</t>
  </si>
  <si>
    <t>Commodities</t>
  </si>
  <si>
    <t>Contractual Service</t>
  </si>
  <si>
    <t>Appropriations</t>
  </si>
  <si>
    <t>Health and Sanitation</t>
  </si>
  <si>
    <t>Capital Outlay</t>
  </si>
  <si>
    <t>Personnel Services</t>
  </si>
  <si>
    <t>Remittances</t>
  </si>
  <si>
    <t>Road and  Bridge</t>
  </si>
  <si>
    <t>General Government</t>
  </si>
  <si>
    <t>County Clinic</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</si>
  <si>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</si>
  <si>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</si>
  <si>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</si>
  <si>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</si>
  <si>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</si>
  <si>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</si>
  <si>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</si>
  <si>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</si>
  <si>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</si>
  <si>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</si>
  <si>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</si>
  <si>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</si>
  <si>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</si>
  <si>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</si>
  <si>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</si>
  <si>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</si>
  <si>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</si>
  <si>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</si>
  <si>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</si>
  <si>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</si>
  <si>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</si>
  <si>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</si>
  <si>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</si>
  <si>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</si>
  <si>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</si>
  <si>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</si>
  <si>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</si>
  <si>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</si>
  <si>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</si>
  <si>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</si>
  <si>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</si>
  <si>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</si>
  <si>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</si>
  <si>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</si>
  <si>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</si>
  <si>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</si>
  <si>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</si>
  <si>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</si>
  <si>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</si>
  <si>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</si>
  <si>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</si>
  <si>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</si>
  <si>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</si>
  <si>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</si>
  <si>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</si>
  <si>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</si>
  <si>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</si>
  <si>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</si>
  <si>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</si>
  <si>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</si>
  <si>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</si>
  <si>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</si>
  <si>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</si>
  <si>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</si>
  <si>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</si>
  <si>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</si>
  <si>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</si>
  <si>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</si>
  <si>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</si>
  <si>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</si>
  <si>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</si>
  <si>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</si>
  <si>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</si>
  <si>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</si>
  <si>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</si>
  <si>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</si>
  <si>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</si>
  <si>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</si>
  <si>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</si>
  <si>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</si>
  <si>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</si>
  <si>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</si>
  <si>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</si>
  <si>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</si>
  <si>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</si>
  <si>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</si>
  <si>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</si>
  <si>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</si>
  <si>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</si>
  <si>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</si>
  <si>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</si>
  <si>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</si>
  <si>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</si>
  <si>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</si>
  <si>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</si>
  <si>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</si>
  <si>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</si>
  <si>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</si>
  <si>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</si>
  <si>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</si>
  <si>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</si>
  <si>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</si>
  <si>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</si>
  <si>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</si>
  <si>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</si>
  <si>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</si>
  <si>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</si>
  <si>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</si>
  <si>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</si>
  <si>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</si>
  <si>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</si>
  <si>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</si>
  <si>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</si>
  <si>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</si>
  <si>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</si>
  <si>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</si>
  <si>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</si>
  <si>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</si>
  <si>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</si>
  <si>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</si>
  <si>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</si>
  <si>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</si>
  <si>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</si>
  <si>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</si>
  <si>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</si>
  <si>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</si>
  <si>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</si>
  <si>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</si>
  <si>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</si>
  <si>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</si>
  <si>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</si>
  <si>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</si>
  <si>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</si>
  <si>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</si>
  <si>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</si>
  <si>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</si>
  <si>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</si>
  <si>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</si>
  <si>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</si>
  <si>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</si>
  <si>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</si>
  <si>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</si>
  <si>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</si>
  <si>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</si>
  <si>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</si>
  <si>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</si>
  <si>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</si>
  <si>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</si>
  <si>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</si>
  <si>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</si>
  <si>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</si>
  <si>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</si>
  <si>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</si>
  <si>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</si>
  <si>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</si>
  <si>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</si>
  <si>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</si>
  <si>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</si>
  <si>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</si>
  <si>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</si>
  <si>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</si>
  <si>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</si>
  <si>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</si>
  <si>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</si>
  <si>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</si>
  <si>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</si>
  <si>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</si>
  <si>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</si>
  <si>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</si>
  <si>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</si>
  <si>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</si>
  <si>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</si>
  <si>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</si>
  <si>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</si>
  <si>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</si>
  <si>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</si>
  <si>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</si>
  <si>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</si>
  <si>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</si>
  <si>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 &amp; bridge</t>
  </si>
  <si>
    <t xml:space="preserve">and noxious weed funds may split contractual services between the two </t>
  </si>
  <si>
    <t xml:space="preserve">funds.  If one of those funds is in trouble, you might be able to </t>
  </si>
  <si>
    <t>order to eliminate the violation (be sure, though, that the</t>
  </si>
  <si>
    <t xml:space="preserve">allocate a little more in contractual services to the healthy fund in </t>
  </si>
  <si>
    <t>order to eliminate the potential violation (be sure, though, that</t>
  </si>
  <si>
    <t xml:space="preserve">funds.  If one of those funds is in trouble you might be able to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</si>
  <si>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</si>
  <si>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</si>
  <si>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</si>
  <si>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4c. The Certificate(2) (cert2) and Budget Summary (summ2) are used when the County Clerk has special districts that are to be submitted along with the County's budget.</t>
  </si>
  <si>
    <t>5. The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</si>
  <si>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</si>
  <si>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5b. Print the Resolution page (resolution) if the max levy is exceeded.  Complete the printed resolution and ensure to attached it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</si>
  <si>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</si>
  <si>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</si>
  <si>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least period the item will be owned by the county.  Principal Balance Due for the actual year is linked to the Budget Summary page. </t>
    </r>
    <r>
      <rPr>
        <b/>
        <sz val="12"/>
        <rFont val="Times New Roman"/>
        <family val="1"/>
      </rPr>
      <t>If the county does not have any leases, then on the first line enter 'none'.</t>
    </r>
  </si>
  <si>
    <t>10.  The spreadsheet has individual fund sheets for General Fund (general), General Fund Detail (gen-detail), Debt Service (DebtService), Road &amp; Bridge (road), Road &amp; Bridge Detail (road-detail), 22 levy pages (levy page10 and levy page20), 10 no levy fund pages (nolevypage21 to nolevypage25), and 1non-budgeted tab which allows for 5 non-budgeted funds.  Only complete the fund pages needed.  When the fund pages are completed, the totals will be shown on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</si>
  <si>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</si>
  <si>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9. Changed the Budget Summary Heading to include Actual/Estimate/Proposed with the budget year.</t>
  </si>
  <si>
    <t>10. Changed the delinquency rate formula for all levy funds.</t>
  </si>
  <si>
    <t>11. Changed the Certificate page so the county name flows instead of having unneeded spaces.</t>
  </si>
  <si>
    <t>Ambulance Operations</t>
  </si>
  <si>
    <t>Noxious Weed Special Equipment</t>
  </si>
  <si>
    <t>Fire Districts</t>
  </si>
  <si>
    <t xml:space="preserve">     Gorham Fire Dist No. 1</t>
  </si>
  <si>
    <t xml:space="preserve">     Lucas Fire Dist No. 2</t>
  </si>
  <si>
    <t xml:space="preserve">     Waldo-Paradise Fire Dist</t>
  </si>
  <si>
    <t xml:space="preserve">     No. 3</t>
  </si>
  <si>
    <t xml:space="preserve">     Dorrance Fire Dist No. 4</t>
  </si>
  <si>
    <t xml:space="preserve">     Russell County Fire Dist</t>
  </si>
  <si>
    <t xml:space="preserve">     No. 5</t>
  </si>
  <si>
    <t>Cemeteries</t>
  </si>
  <si>
    <t xml:space="preserve">     Amherst Cemetery</t>
  </si>
  <si>
    <t xml:space="preserve">     Bunker Hill Cemetery</t>
  </si>
  <si>
    <t xml:space="preserve">     Fairport Cemetery</t>
  </si>
  <si>
    <t xml:space="preserve">     Mt. Herman Cemetery</t>
  </si>
  <si>
    <t>Oil and Gas Trust Fund</t>
  </si>
  <si>
    <t>Transfer to General Fund</t>
  </si>
  <si>
    <t>12. Using the actual ad valorem rates from the Clerk's information versus from the Certificate page.</t>
  </si>
  <si>
    <t>13. Delinquency rate for actual for 3 decimal and note that rate can be up to 5% over the actual rate.</t>
  </si>
  <si>
    <t>14. Computation to Determine Limit changed the note on bottom to include publish ordinance and attach the published ordinance to the budget.</t>
  </si>
  <si>
    <t>Page No. 7c</t>
  </si>
  <si>
    <t>Page No.7b</t>
  </si>
  <si>
    <t>The estimated value of one mill would be:</t>
  </si>
  <si>
    <t>Change in Ad Valorem Tax Revenue:</t>
  </si>
  <si>
    <t>What Mill Rate Would Be Desired?</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</si>
  <si>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</si>
  <si>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</si>
  <si>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</si>
  <si>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</si>
  <si>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</si>
  <si>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</si>
  <si>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</si>
  <si>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</si>
  <si>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</si>
  <si>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</si>
  <si>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</si>
  <si>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t>The following were changed to this spreadsheet on 5/27/11</t>
  </si>
  <si>
    <t>23. Added note on General and Road Detail page to ensure amounts agree with Subtotals on General and Road.</t>
  </si>
  <si>
    <t>24. Added to instructions about non-appropriated balance limited to 5%.</t>
  </si>
  <si>
    <t xml:space="preserve">General Instructions </t>
  </si>
  <si>
    <t>To print the spreadsheets, you can either print one sheet at a time or all of the sheets at once.</t>
  </si>
  <si>
    <t>Computer Spreadsheet Preparation</t>
  </si>
  <si>
    <t>Input sheet for County budget form</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</si>
  <si>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</si>
  <si>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</si>
  <si>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</si>
  <si>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</si>
  <si>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</si>
  <si>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</si>
  <si>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</si>
  <si>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</si>
  <si>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</si>
  <si>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</si>
  <si>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</si>
  <si>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</si>
  <si>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</si>
  <si>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</si>
  <si>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</si>
  <si>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</si>
  <si>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</si>
  <si>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</si>
  <si>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</si>
  <si>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</si>
  <si>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</si>
  <si>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</si>
  <si>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</si>
  <si>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</si>
  <si>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</si>
  <si>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</si>
  <si>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</si>
  <si>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</si>
  <si>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</si>
  <si>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</si>
  <si>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</si>
  <si>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</si>
  <si>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</si>
  <si>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</si>
  <si>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</si>
  <si>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</si>
  <si>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</si>
  <si>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</si>
  <si>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</si>
  <si>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</si>
  <si>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</si>
  <si>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</si>
  <si>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</si>
  <si>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</si>
  <si>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</si>
  <si>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</si>
  <si>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</si>
  <si>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</si>
  <si>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</si>
  <si>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</si>
  <si>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</si>
  <si>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</si>
  <si>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</si>
  <si>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County Attorney/Counselor</t>
  </si>
  <si>
    <t>County Treasurer</t>
  </si>
  <si>
    <t>Debt Service</t>
  </si>
  <si>
    <t>Economic Development</t>
  </si>
  <si>
    <t xml:space="preserve">  Social Security</t>
  </si>
  <si>
    <t xml:space="preserve">  Medicare</t>
  </si>
  <si>
    <t xml:space="preserve">  Health Insurance</t>
  </si>
  <si>
    <t xml:space="preserve">  Retirement</t>
  </si>
  <si>
    <t xml:space="preserve">  Workers Compensation</t>
  </si>
  <si>
    <t xml:space="preserve">  Unemployment</t>
  </si>
  <si>
    <t>Register of Deeds</t>
  </si>
  <si>
    <t>Road &amp; Bridge</t>
  </si>
  <si>
    <t>Soil Conservation</t>
  </si>
  <si>
    <t>Solid Waste</t>
  </si>
  <si>
    <t xml:space="preserve">  Judgments</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</si>
  <si>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</si>
  <si>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</si>
  <si>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</si>
  <si>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</si>
  <si>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</si>
  <si>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</si>
  <si>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</si>
  <si>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</si>
  <si>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</si>
  <si>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</si>
  <si>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</si>
  <si>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</si>
  <si>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</si>
  <si>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</si>
  <si>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</si>
  <si>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</si>
  <si>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</si>
  <si>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</si>
  <si>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Other District Funds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</si>
  <si>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</si>
  <si>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</si>
  <si>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</si>
  <si>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</si>
  <si>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</si>
  <si>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</si>
  <si>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</si>
  <si>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</si>
  <si>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</si>
  <si>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</si>
  <si>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</si>
  <si>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</si>
  <si>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</si>
  <si>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</si>
  <si>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</si>
  <si>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</si>
  <si>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</si>
  <si>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</si>
  <si>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</si>
  <si>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</si>
  <si>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</si>
  <si>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</si>
  <si>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</si>
  <si>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</si>
  <si>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</si>
  <si>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</si>
  <si>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</si>
  <si>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</si>
  <si>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</si>
  <si>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</si>
  <si>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</si>
  <si>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</si>
  <si>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</si>
  <si>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</si>
  <si>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</si>
  <si>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</si>
  <si>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</si>
  <si>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</si>
  <si>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</si>
  <si>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</si>
  <si>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</si>
  <si>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</si>
  <si>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</si>
  <si>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</si>
  <si>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</si>
  <si>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</si>
  <si>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</si>
  <si>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</si>
  <si>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</si>
  <si>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</si>
  <si>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</si>
  <si>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</si>
  <si>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</si>
  <si>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</si>
  <si>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</si>
  <si>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</si>
  <si>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</si>
  <si>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</si>
  <si>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</si>
  <si>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</si>
  <si>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</si>
  <si>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</si>
  <si>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</si>
  <si>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</si>
  <si>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</si>
  <si>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</si>
  <si>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</si>
  <si>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</si>
  <si>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</si>
  <si>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</si>
  <si>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</si>
  <si>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</si>
  <si>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</si>
  <si>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</si>
  <si>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</si>
  <si>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</si>
  <si>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</si>
  <si>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</si>
  <si>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</si>
  <si>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</si>
  <si>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</si>
  <si>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RESOLUTION NO.__________________</t>
  </si>
  <si>
    <t>___________________________________.</t>
  </si>
  <si>
    <t>(Attach a signed copy to the budget)</t>
  </si>
  <si>
    <t>COUNTY RESOLUTION</t>
  </si>
  <si>
    <t>BOARD OF COUNTY COMMISSIONERS</t>
  </si>
  <si>
    <t>ATTEST:</t>
  </si>
  <si>
    <t>________________________________.</t>
  </si>
  <si>
    <t>, County Clerk</t>
  </si>
  <si>
    <t>Whereas, budgeting, taxing and service level decisions for all county services are the responsibility of the board of county commissioners; and</t>
  </si>
  <si>
    <t>Whereas, the cost of provision of these services continues to increase; and</t>
  </si>
  <si>
    <t>Current</t>
  </si>
  <si>
    <t>Proposed</t>
  </si>
  <si>
    <t xml:space="preserve">Authorized by </t>
  </si>
  <si>
    <t xml:space="preserve">                                                                         16/20M Vehicle Factor</t>
  </si>
  <si>
    <t xml:space="preserve">                                        Recreational Vehicle Factor</t>
  </si>
  <si>
    <t>Page No. 7</t>
  </si>
  <si>
    <t>Page No. 7a</t>
  </si>
  <si>
    <t>Total - Page 7b</t>
  </si>
  <si>
    <t>Total - Page 7c</t>
  </si>
  <si>
    <t>Total - Page 7d</t>
  </si>
  <si>
    <t>Total - Page 7e</t>
  </si>
  <si>
    <t>Total  - Page 7f</t>
  </si>
  <si>
    <t>Total - Page7b</t>
  </si>
  <si>
    <t>When the page numbers are changed on the fund pages, the Certificate page will also be changed.</t>
  </si>
  <si>
    <t>Address:</t>
  </si>
  <si>
    <t>County Clerk's Use Only</t>
  </si>
  <si>
    <t>County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</si>
  <si>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</si>
  <si>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Enter County Name followed by 'County'</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</si>
  <si>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</si>
  <si>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</si>
  <si>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Enter year being budgeted (YYYY)</t>
  </si>
  <si>
    <t>Information comes from the Certificate, Page No. 1</t>
  </si>
  <si>
    <t>10-113</t>
  </si>
  <si>
    <t>Other (non-tax) fund names:</t>
  </si>
  <si>
    <t xml:space="preserve"> Expenditures</t>
  </si>
  <si>
    <t>From:</t>
  </si>
  <si>
    <t xml:space="preserve">  To:</t>
  </si>
  <si>
    <t>Amount for</t>
  </si>
  <si>
    <t>Transfers</t>
  </si>
  <si>
    <t>Adjusted Totals</t>
  </si>
  <si>
    <t>We, the undersigned, officers of</t>
  </si>
  <si>
    <t>resolution to exceed this limit and attach a copy of the adopted resolution to this budget.</t>
  </si>
  <si>
    <t>In Lieu of Tax (IRB)</t>
  </si>
  <si>
    <t>Neighborhood Revitalization</t>
  </si>
  <si>
    <t>LAVTR</t>
  </si>
  <si>
    <t>City and County Revenue Sharing</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</si>
  <si>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</si>
  <si>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</si>
  <si>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Beginning Amount</t>
  </si>
  <si>
    <t xml:space="preserve">of </t>
  </si>
  <si>
    <t>Retirement</t>
  </si>
  <si>
    <t xml:space="preserve">Total Other </t>
  </si>
  <si>
    <t>Valuation</t>
  </si>
  <si>
    <t>Fund Names for all funds with a tax levy:</t>
  </si>
  <si>
    <t>Special City &amp; County Highway</t>
  </si>
  <si>
    <t>Expenditures from detail page:</t>
  </si>
  <si>
    <t>Other Expenditures:</t>
  </si>
  <si>
    <t>Outstanding Indebtness, January 1:</t>
  </si>
  <si>
    <t xml:space="preserve">  G.O. Bonds</t>
  </si>
  <si>
    <t xml:space="preserve">  Revenue Bonds</t>
  </si>
  <si>
    <t xml:space="preserve">  Other</t>
  </si>
  <si>
    <t xml:space="preserve">  Lease Purchase Principal</t>
  </si>
  <si>
    <t>(1) Fund Name:</t>
  </si>
  <si>
    <t>(2) Fund Name:</t>
  </si>
  <si>
    <t>(3) Fund Name:</t>
  </si>
  <si>
    <t>(4) Fund Name:</t>
  </si>
  <si>
    <t>(5) Fund Name:</t>
  </si>
  <si>
    <t xml:space="preserve">Unencumbered </t>
  </si>
  <si>
    <t>Cash Balance Dec 31</t>
  </si>
  <si>
    <t>Non-Budgeted Funds</t>
  </si>
  <si>
    <t>Non-Budgeted Funds:</t>
  </si>
  <si>
    <t xml:space="preserve">  Subtotal </t>
  </si>
  <si>
    <r>
      <t>**</t>
    </r>
    <r>
      <rPr>
        <sz val="12"/>
        <rFont val="Times New Roman"/>
        <family val="1"/>
      </rPr>
      <t xml:space="preserve">Note:  The Detail Total Expenditures should match to the General Subtotal.  </t>
    </r>
  </si>
  <si>
    <r>
      <t>Total Expenditures</t>
    </r>
    <r>
      <rPr>
        <sz val="12"/>
        <color indexed="10"/>
        <rFont val="Times New Roman"/>
        <family val="1"/>
      </rPr>
      <t>**</t>
    </r>
  </si>
  <si>
    <t xml:space="preserve">  Total Detail Page**</t>
  </si>
  <si>
    <t>November 1st</t>
  </si>
  <si>
    <t>Other Country</t>
  </si>
  <si>
    <t>Special District Funds</t>
  </si>
  <si>
    <t>CERTIFICATE (2)</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</si>
  <si>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</si>
  <si>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</si>
  <si>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</si>
  <si>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</si>
  <si>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</si>
  <si>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</si>
  <si>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</si>
  <si>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</si>
  <si>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</si>
  <si>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Hard coded the Bond &amp; Interest, and Road &amp; Bridge on Certificate and Summary pages. </t>
  </si>
  <si>
    <t xml:space="preserve">7. Now have the indebtedness prior year added to the input page and link with the budget summary page. </t>
  </si>
  <si>
    <t>Budget Summary</t>
  </si>
  <si>
    <t>Attest: _____________________,</t>
  </si>
  <si>
    <t xml:space="preserve">NON-BUDGETED FUNDS </t>
  </si>
  <si>
    <t>Resolution</t>
  </si>
  <si>
    <t>Is a Resolution required?</t>
  </si>
  <si>
    <t>**</t>
  </si>
  <si>
    <r>
      <t xml:space="preserve"> </t>
    </r>
    <r>
      <rPr>
        <b/>
        <sz val="12"/>
        <rFont val="Times New Roman"/>
        <family val="1"/>
      </rPr>
      <t xml:space="preserve"> Subtotal</t>
    </r>
  </si>
  <si>
    <t>**Note:  Total Detail Page totals should be equal to Road Subtotal.</t>
  </si>
  <si>
    <t>**Note: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</si>
  <si>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</si>
  <si>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</si>
  <si>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</si>
  <si>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 xml:space="preserve">27. Added Slider to the Vehicle Allocation table and linked to the fund pages. </t>
  </si>
  <si>
    <t>xxxxxxxxxxxxxxxxxxxx</t>
  </si>
  <si>
    <t>Funds</t>
  </si>
  <si>
    <t xml:space="preserve">expenditure amounts should reflect the amended </t>
  </si>
  <si>
    <t>expenditure amounts.</t>
  </si>
  <si>
    <t>28. Added to all budgeted fund pages the budget authority for the actual year, budget violation, and cash violation.</t>
  </si>
  <si>
    <t>29. Added instruction on the addition for item 28.</t>
  </si>
  <si>
    <t xml:space="preserve">Tax Levy Rate </t>
  </si>
  <si>
    <t>Neighborhood Revitalization Rebate</t>
  </si>
  <si>
    <t>Miscellaneous</t>
  </si>
  <si>
    <t>Does miscellaneous exceed 10% of Total Expenditure</t>
  </si>
  <si>
    <t>Does miscellaneous exceed 10% of Total Receipts</t>
  </si>
  <si>
    <t>8. Added Neighborhood Revitalization, LAVTR, City and County Revenue Sharing, and Slider to the input page and to the General Fund page. Also added the NR to all tax levy fund pages.</t>
  </si>
  <si>
    <t xml:space="preserve">Ad Valorem Tax </t>
  </si>
  <si>
    <t>30. Added 'miscellaneous' category to the receipt/expenditure for all fund pages and set error message.</t>
  </si>
  <si>
    <t>31. Added to the instruction about correct the error message for the miscellaneous.</t>
  </si>
  <si>
    <t xml:space="preserve">The worksheets are named (see the tab) in each budget workbook.  We will identify the worksheet by referencing the tab in parentheses (i.e. General Fund reference would be 'general'). </t>
  </si>
  <si>
    <t>Budget Summary - Other</t>
  </si>
  <si>
    <t>32. Change cert2 and put page number 1a.</t>
  </si>
  <si>
    <t>FUND PAGE - ROAD &amp; BRIDGE DETAIL</t>
  </si>
  <si>
    <t>Red areas are for notes or indicate a problem area that will need possible corrective action taken.</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</si>
  <si>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</si>
  <si>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All of the county's budgets should be submitted to Municipal Services by December 1.</t>
  </si>
  <si>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</si>
  <si>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</si>
  <si>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</si>
  <si>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</si>
  <si>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</si>
  <si>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</si>
  <si>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</si>
  <si>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</si>
  <si>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</si>
  <si>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</si>
  <si>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</si>
  <si>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</si>
  <si>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</si>
  <si>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</si>
  <si>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</si>
  <si>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9/03/08</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</si>
</sst>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409]dddd\,\ mmmm\ dd\,\ yyyy"/>
    <numFmt numFmtId="188" formatCode="m/d/yy;@"/>
    <numFmt numFmtId="189" formatCode="&quot;$&quot;#,##0"/>
    <numFmt numFmtId="190" formatCode="&quot;$&quot;#,##0.00"/>
    <numFmt numFmtId="191" formatCode="#,###"/>
    <numFmt numFmtId="192" formatCode="0.0%"/>
    <numFmt numFmtId="193" formatCode="#,##0.000_);[Red]\(#,##0.0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8"/>
      <name val="Courier"/>
      <family val="3"/>
    </font>
    <font>
      <sz val="10"/>
      <name val="Times New Roman"/>
      <family val="1"/>
    </font>
    <font>
      <b/>
      <u val="single"/>
      <sz val="12"/>
      <name val="Times New Roman"/>
      <family val="1"/>
    </font>
    <font>
      <sz val="11"/>
      <name val="Courier"/>
      <family val="3"/>
    </font>
    <font>
      <sz val="11"/>
      <name val="Courier New"/>
      <family val="3"/>
    </font>
    <font>
      <sz val="8"/>
      <name val="Times New Roman"/>
      <family val="1"/>
    </font>
    <font>
      <sz val="12"/>
      <color indexed="10"/>
      <name val="Times New Roman"/>
      <family val="1"/>
    </font>
    <font>
      <b/>
      <sz val="8"/>
      <name val="Times New Roman"/>
      <family val="1"/>
    </font>
    <font>
      <sz val="12"/>
      <color indexed="10"/>
      <name val="Courier"/>
      <family val="3"/>
    </font>
    <font>
      <b/>
      <u val="single"/>
      <sz val="12"/>
      <color indexed="10"/>
      <name val="Times New Roman"/>
      <family val="1"/>
    </font>
    <font>
      <b/>
      <sz val="12"/>
      <color indexed="10"/>
      <name val="Times New Roman"/>
      <family val="1"/>
    </font>
    <font>
      <i/>
      <sz val="12"/>
      <name val="Times New Roman"/>
      <family val="1"/>
    </font>
    <font>
      <sz val="8"/>
      <color indexed="10"/>
      <name val="Times New Roman"/>
      <family val="1"/>
    </font>
    <font>
      <b/>
      <u val="single"/>
      <sz val="12"/>
      <name val="Courier"/>
      <family val="3"/>
    </font>
    <font>
      <sz val="14"/>
      <name val="Courier"/>
      <family val="3"/>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u val="single"/>
      <sz val="12"/>
      <color indexed="10"/>
      <name val="Times New Roman"/>
      <family val="1"/>
    </font>
    <font>
      <b/>
      <u val="single"/>
      <sz val="10"/>
      <name val="Times New Roman"/>
      <family val="1"/>
    </font>
    <font>
      <b/>
      <u val="single"/>
      <sz val="10"/>
      <name val="Courier"/>
      <family val="3"/>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color indexed="10"/>
      <name val="Times New Roman"/>
      <family val="1"/>
    </font>
    <font>
      <sz val="10"/>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mbria"/>
      <family val="1"/>
    </font>
    <font>
      <sz val="12"/>
      <color indexed="9"/>
      <name val="Courier"/>
      <family val="3"/>
    </font>
    <font>
      <sz val="8"/>
      <color indexed="9"/>
      <name val="Times New Roman"/>
      <family val="1"/>
    </font>
    <font>
      <sz val="12"/>
      <color indexed="9"/>
      <name val="Times New Roman"/>
      <family val="1"/>
    </font>
    <font>
      <sz val="12"/>
      <color indexed="9"/>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
      <left style="thin"/>
      <right style="thin"/>
      <top style="thin"/>
      <bottom style="medium"/>
    </border>
  </borders>
  <cellStyleXfs count="4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4"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7" borderId="0" applyNumberFormat="0" applyBorder="0" applyAlignment="0" applyProtection="0"/>
    <xf numFmtId="0" fontId="74" fillId="4" borderId="0" applyNumberFormat="0" applyBorder="0" applyAlignment="0" applyProtection="0"/>
    <xf numFmtId="0" fontId="75" fillId="7"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0" borderId="0" applyNumberFormat="0" applyBorder="0" applyAlignment="0" applyProtection="0"/>
    <xf numFmtId="0" fontId="75" fillId="7" borderId="0" applyNumberFormat="0" applyBorder="0" applyAlignment="0" applyProtection="0"/>
    <xf numFmtId="0" fontId="75" fillId="3" borderId="0" applyNumberFormat="0" applyBorder="0" applyAlignment="0" applyProtection="0"/>
    <xf numFmtId="0" fontId="75" fillId="13"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6" fillId="17" borderId="0" applyNumberFormat="0" applyBorder="0" applyAlignment="0" applyProtection="0"/>
    <xf numFmtId="0" fontId="64" fillId="18" borderId="1" applyNumberFormat="0" applyAlignment="0" applyProtection="0"/>
    <xf numFmtId="0" fontId="7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7"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0" fillId="9" borderId="1" applyNumberFormat="0" applyAlignment="0" applyProtection="0"/>
    <xf numFmtId="0" fontId="54" fillId="0" borderId="6" applyNumberFormat="0" applyFill="0" applyAlignment="0" applyProtection="0"/>
    <xf numFmtId="0" fontId="69" fillId="20"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21" borderId="7" applyNumberFormat="0" applyFont="0" applyAlignment="0" applyProtection="0"/>
    <xf numFmtId="0" fontId="81" fillId="18"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09">
    <xf numFmtId="0" fontId="0" fillId="0" borderId="0" xfId="0" applyAlignment="1">
      <alignment/>
    </xf>
    <xf numFmtId="0" fontId="4" fillId="0" borderId="0" xfId="0" applyFont="1" applyAlignment="1">
      <alignment/>
    </xf>
    <xf numFmtId="3" fontId="4" fillId="22" borderId="10" xfId="0" applyNumberFormat="1" applyFont="1" applyFill="1" applyBorder="1" applyAlignment="1" applyProtection="1">
      <alignment/>
      <protection locked="0"/>
    </xf>
    <xf numFmtId="0" fontId="4" fillId="22" borderId="11" xfId="0" applyFont="1" applyFill="1" applyBorder="1" applyAlignment="1" applyProtection="1">
      <alignment horizontal="left"/>
      <protection locked="0"/>
    </xf>
    <xf numFmtId="37" fontId="4" fillId="4" borderId="11" xfId="0" applyNumberFormat="1" applyFont="1" applyFill="1" applyBorder="1" applyAlignment="1" applyProtection="1">
      <alignment horizontal="left"/>
      <protection/>
    </xf>
    <xf numFmtId="0" fontId="4" fillId="4" borderId="0" xfId="0" applyFont="1" applyFill="1" applyAlignment="1" applyProtection="1">
      <alignment/>
      <protection/>
    </xf>
    <xf numFmtId="37" fontId="4" fillId="4" borderId="0" xfId="0" applyNumberFormat="1" applyFont="1" applyFill="1" applyAlignment="1" applyProtection="1">
      <alignment horizontal="left"/>
      <protection/>
    </xf>
    <xf numFmtId="37" fontId="4" fillId="4" borderId="0" xfId="0" applyNumberFormat="1" applyFont="1" applyFill="1" applyAlignment="1" applyProtection="1">
      <alignment horizontal="fill"/>
      <protection/>
    </xf>
    <xf numFmtId="0" fontId="4" fillId="4" borderId="10" xfId="0" applyFont="1" applyFill="1" applyBorder="1" applyAlignment="1" applyProtection="1">
      <alignment/>
      <protection/>
    </xf>
    <xf numFmtId="37" fontId="4" fillId="4" borderId="0" xfId="0" applyNumberFormat="1" applyFont="1" applyFill="1" applyAlignment="1" applyProtection="1">
      <alignment/>
      <protection/>
    </xf>
    <xf numFmtId="3" fontId="4" fillId="4" borderId="0" xfId="0" applyNumberFormat="1" applyFont="1" applyFill="1" applyAlignment="1" applyProtection="1">
      <alignment/>
      <protection/>
    </xf>
    <xf numFmtId="0" fontId="5" fillId="4" borderId="0" xfId="0" applyFont="1" applyFill="1" applyAlignment="1" applyProtection="1">
      <alignment/>
      <protection/>
    </xf>
    <xf numFmtId="166"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 fontId="4" fillId="4" borderId="10" xfId="0" applyNumberFormat="1" applyFont="1" applyFill="1" applyBorder="1" applyAlignment="1" applyProtection="1">
      <alignment/>
      <protection/>
    </xf>
    <xf numFmtId="37" fontId="4" fillId="4" borderId="0" xfId="0" applyNumberFormat="1" applyFont="1" applyFill="1" applyAlignment="1" applyProtection="1" quotePrefix="1">
      <alignment horizontal="right"/>
      <protection/>
    </xf>
    <xf numFmtId="0" fontId="8" fillId="0" borderId="0" xfId="0" applyFont="1" applyAlignment="1">
      <alignment/>
    </xf>
    <xf numFmtId="0" fontId="8" fillId="0" borderId="0" xfId="0" applyFont="1" applyAlignment="1">
      <alignment/>
    </xf>
    <xf numFmtId="0" fontId="13" fillId="0" borderId="0" xfId="0" applyFont="1" applyAlignment="1">
      <alignment horizontal="center" vertical="top"/>
    </xf>
    <xf numFmtId="0" fontId="13" fillId="0" borderId="0" xfId="0" applyFont="1" applyAlignment="1">
      <alignment vertical="top"/>
    </xf>
    <xf numFmtId="0" fontId="14" fillId="0" borderId="0" xfId="0" applyFont="1" applyAlignment="1">
      <alignment vertical="top"/>
    </xf>
    <xf numFmtId="0" fontId="8" fillId="0" borderId="0" xfId="0" applyFont="1" applyAlignment="1">
      <alignment horizontal="center" vertical="top"/>
    </xf>
    <xf numFmtId="0" fontId="13" fillId="0" borderId="0" xfId="0" applyFont="1" applyAlignment="1">
      <alignment horizontal="left" vertical="top"/>
    </xf>
    <xf numFmtId="0" fontId="8" fillId="0" borderId="0" xfId="0" applyFont="1" applyAlignment="1">
      <alignment vertical="top"/>
    </xf>
    <xf numFmtId="0" fontId="15" fillId="0" borderId="0" xfId="0" applyNumberFormat="1" applyFont="1" applyAlignment="1">
      <alignment/>
    </xf>
    <xf numFmtId="0" fontId="15" fillId="0" borderId="0" xfId="0" applyFont="1" applyAlignment="1">
      <alignment/>
    </xf>
    <xf numFmtId="0" fontId="8" fillId="0" borderId="0" xfId="0" applyFont="1" applyAlignment="1">
      <alignment horizontal="left" vertical="top"/>
    </xf>
    <xf numFmtId="0" fontId="4" fillId="4" borderId="0" xfId="0" applyNumberFormat="1" applyFont="1" applyFill="1" applyAlignment="1" applyProtection="1">
      <alignment horizontal="right"/>
      <protection/>
    </xf>
    <xf numFmtId="0" fontId="4" fillId="4" borderId="11" xfId="0" applyFont="1" applyFill="1" applyBorder="1" applyAlignment="1" applyProtection="1">
      <alignment/>
      <protection/>
    </xf>
    <xf numFmtId="0" fontId="4" fillId="4" borderId="12" xfId="0" applyNumberFormat="1" applyFont="1" applyFill="1" applyBorder="1" applyAlignment="1" applyProtection="1">
      <alignment horizontal="center"/>
      <protection/>
    </xf>
    <xf numFmtId="37" fontId="5" fillId="4" borderId="11" xfId="0" applyNumberFormat="1" applyFont="1" applyFill="1" applyBorder="1" applyAlignment="1" applyProtection="1">
      <alignment horizontal="left"/>
      <protection/>
    </xf>
    <xf numFmtId="0" fontId="4" fillId="22" borderId="0" xfId="0" applyFont="1" applyFill="1" applyAlignment="1" applyProtection="1">
      <alignment horizontal="left"/>
      <protection locked="0"/>
    </xf>
    <xf numFmtId="0" fontId="19" fillId="0" borderId="0" xfId="0" applyFont="1" applyAlignment="1">
      <alignment vertical="top"/>
    </xf>
    <xf numFmtId="0" fontId="20" fillId="0" borderId="0" xfId="466" applyFont="1" applyAlignment="1">
      <alignment vertical="top"/>
      <protection/>
    </xf>
    <xf numFmtId="0" fontId="20" fillId="0" borderId="0" xfId="466" applyFont="1">
      <alignment/>
      <protection/>
    </xf>
    <xf numFmtId="0" fontId="8" fillId="0" borderId="0" xfId="466" applyFont="1" applyAlignment="1">
      <alignment vertical="top"/>
      <protection/>
    </xf>
    <xf numFmtId="0" fontId="15" fillId="0" borderId="0" xfId="0" applyNumberFormat="1" applyFont="1" applyAlignment="1">
      <alignment vertical="top"/>
    </xf>
    <xf numFmtId="0" fontId="8" fillId="0" borderId="0" xfId="466" applyFont="1">
      <alignment/>
      <protection/>
    </xf>
    <xf numFmtId="0" fontId="8" fillId="0" borderId="0" xfId="0" applyFont="1" applyAlignment="1">
      <alignment horizontal="right"/>
    </xf>
    <xf numFmtId="3" fontId="4" fillId="9" borderId="10" xfId="0" applyNumberFormat="1" applyFont="1" applyFill="1" applyBorder="1" applyAlignment="1" applyProtection="1">
      <alignment/>
      <protection/>
    </xf>
    <xf numFmtId="3" fontId="5" fillId="9" borderId="10" xfId="0" applyNumberFormat="1" applyFont="1" applyFill="1" applyBorder="1" applyAlignment="1" applyProtection="1">
      <alignment/>
      <protection/>
    </xf>
    <xf numFmtId="37" fontId="4" fillId="4" borderId="13" xfId="0" applyNumberFormat="1" applyFont="1" applyFill="1" applyBorder="1" applyAlignment="1" applyProtection="1">
      <alignment horizontal="left"/>
      <protection/>
    </xf>
    <xf numFmtId="0" fontId="4" fillId="22" borderId="11" xfId="0" applyFont="1" applyFill="1" applyBorder="1" applyAlignment="1" applyProtection="1">
      <alignment/>
      <protection locked="0"/>
    </xf>
    <xf numFmtId="3" fontId="4" fillId="22" borderId="14" xfId="0" applyNumberFormat="1" applyFont="1" applyFill="1" applyBorder="1" applyAlignment="1" applyProtection="1">
      <alignment/>
      <protection locked="0"/>
    </xf>
    <xf numFmtId="3" fontId="22" fillId="23" borderId="15" xfId="0" applyNumberFormat="1" applyFont="1" applyFill="1" applyBorder="1" applyAlignment="1" applyProtection="1">
      <alignment horizontal="center"/>
      <protection/>
    </xf>
    <xf numFmtId="0" fontId="8" fillId="22" borderId="0" xfId="0" applyFont="1" applyFill="1" applyAlignment="1" applyProtection="1">
      <alignment horizontal="left"/>
      <protection locked="0"/>
    </xf>
    <xf numFmtId="0" fontId="8" fillId="0" borderId="0" xfId="466" applyFont="1" applyAlignment="1">
      <alignment wrapText="1"/>
      <protection/>
    </xf>
    <xf numFmtId="0" fontId="0" fillId="0" borderId="0" xfId="0" applyAlignment="1">
      <alignment vertical="center"/>
    </xf>
    <xf numFmtId="0" fontId="31" fillId="0" borderId="0" xfId="0" applyFont="1" applyAlignment="1">
      <alignment horizontal="center" vertical="center"/>
    </xf>
    <xf numFmtId="0" fontId="30" fillId="0" borderId="0" xfId="0" applyFont="1" applyAlignment="1">
      <alignment vertical="center"/>
    </xf>
    <xf numFmtId="0" fontId="0" fillId="0" borderId="0" xfId="0" applyAlignment="1">
      <alignment vertical="center" wrapText="1"/>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6" fillId="0" borderId="0" xfId="0" applyFont="1" applyAlignment="1">
      <alignment vertical="center" wrapText="1"/>
    </xf>
    <xf numFmtId="0" fontId="4" fillId="22"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4" borderId="0" xfId="0" applyFont="1" applyFill="1" applyAlignment="1">
      <alignment vertical="center" wrapText="1"/>
    </xf>
    <xf numFmtId="0" fontId="4" fillId="24" borderId="0" xfId="0" applyFont="1" applyFill="1" applyAlignment="1">
      <alignment vertical="center" wrapText="1"/>
    </xf>
    <xf numFmtId="0" fontId="4" fillId="16"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5" fillId="4" borderId="0" xfId="0" applyNumberFormat="1" applyFont="1" applyFill="1" applyAlignment="1" applyProtection="1">
      <alignment horizontal="center" vertical="center"/>
      <protection/>
    </xf>
    <xf numFmtId="0" fontId="1" fillId="4" borderId="0" xfId="0" applyFont="1" applyFill="1" applyAlignment="1">
      <alignment horizontal="center" vertical="center"/>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37" fontId="4" fillId="22" borderId="16" xfId="0"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37" fontId="4" fillId="4" borderId="0" xfId="0" applyNumberFormat="1" applyFont="1" applyFill="1" applyBorder="1" applyAlignment="1" applyProtection="1">
      <alignment horizontal="left" vertical="center"/>
      <protection/>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37" fontId="25" fillId="4" borderId="0" xfId="0" applyNumberFormat="1" applyFont="1" applyFill="1" applyAlignment="1" applyProtection="1">
      <alignment horizontal="center" vertical="center"/>
      <protection/>
    </xf>
    <xf numFmtId="0" fontId="29" fillId="4" borderId="0" xfId="0" applyFont="1" applyFill="1" applyAlignment="1">
      <alignment horizontal="center" vertical="center"/>
    </xf>
    <xf numFmtId="0" fontId="5" fillId="25" borderId="0" xfId="0" applyFont="1" applyFill="1" applyAlignment="1" applyProtection="1">
      <alignment vertical="center"/>
      <protection/>
    </xf>
    <xf numFmtId="0" fontId="4" fillId="25"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4" fillId="4" borderId="0" xfId="0" applyFont="1" applyFill="1" applyAlignment="1" applyProtection="1">
      <alignment horizontal="center" vertical="center"/>
      <protection/>
    </xf>
    <xf numFmtId="0" fontId="4" fillId="24" borderId="17" xfId="0" applyFont="1" applyFill="1" applyBorder="1" applyAlignment="1" applyProtection="1">
      <alignment horizontal="center" vertical="center"/>
      <protection/>
    </xf>
    <xf numFmtId="0" fontId="4" fillId="2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37" fontId="4" fillId="24" borderId="12"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0" fontId="4" fillId="4"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 fontId="4" fillId="22" borderId="10" xfId="0" applyNumberFormat="1" applyFont="1" applyFill="1" applyBorder="1" applyAlignment="1" applyProtection="1">
      <alignment vertical="center" wrapText="1"/>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164" fontId="4" fillId="9"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 fontId="4" fillId="22" borderId="10"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locked="0"/>
    </xf>
    <xf numFmtId="0" fontId="4" fillId="4" borderId="19" xfId="0" applyFont="1" applyFill="1" applyBorder="1" applyAlignment="1" applyProtection="1">
      <alignment vertical="center"/>
      <protection/>
    </xf>
    <xf numFmtId="164" fontId="4" fillId="4" borderId="0" xfId="0" applyNumberFormat="1" applyFont="1" applyFill="1" applyBorder="1" applyAlignment="1" applyProtection="1">
      <alignment vertical="center"/>
      <protection locked="0"/>
    </xf>
    <xf numFmtId="3" fontId="4" fillId="4" borderId="0"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right" vertical="center"/>
      <protection/>
    </xf>
    <xf numFmtId="0" fontId="4" fillId="4" borderId="0" xfId="0" applyFont="1" applyFill="1" applyAlignment="1">
      <alignment vertical="center"/>
    </xf>
    <xf numFmtId="0" fontId="4" fillId="24" borderId="0" xfId="0" applyFont="1" applyFill="1" applyAlignment="1" applyProtection="1">
      <alignment vertical="center"/>
      <protection/>
    </xf>
    <xf numFmtId="37" fontId="4" fillId="4" borderId="10" xfId="0" applyNumberFormat="1" applyFont="1" applyFill="1" applyBorder="1" applyAlignment="1" applyProtection="1">
      <alignment vertical="center"/>
      <protection/>
    </xf>
    <xf numFmtId="37" fontId="4" fillId="24" borderId="16" xfId="0" applyNumberFormat="1" applyFont="1" applyFill="1" applyBorder="1" applyAlignment="1" applyProtection="1">
      <alignment horizontal="left" vertical="center"/>
      <protection/>
    </xf>
    <xf numFmtId="0" fontId="4" fillId="24" borderId="16" xfId="0" applyFont="1" applyFill="1" applyBorder="1" applyAlignment="1" applyProtection="1">
      <alignment vertical="center"/>
      <protection/>
    </xf>
    <xf numFmtId="37" fontId="4" fillId="24" borderId="18" xfId="0" applyNumberFormat="1" applyFont="1" applyFill="1" applyBorder="1" applyAlignment="1" applyProtection="1">
      <alignment horizontal="left" vertical="center"/>
      <protection/>
    </xf>
    <xf numFmtId="0" fontId="4" fillId="24" borderId="18" xfId="0" applyFont="1" applyFill="1" applyBorder="1" applyAlignment="1" applyProtection="1">
      <alignment vertical="center"/>
      <protection/>
    </xf>
    <xf numFmtId="37" fontId="18" fillId="25" borderId="0" xfId="0" applyNumberFormat="1" applyFont="1" applyFill="1" applyAlignment="1" applyProtection="1">
      <alignment horizontal="left" vertical="center"/>
      <protection/>
    </xf>
    <xf numFmtId="0" fontId="6" fillId="24" borderId="0" xfId="0" applyFont="1" applyFill="1" applyAlignment="1" applyProtection="1">
      <alignment vertical="center"/>
      <protection/>
    </xf>
    <xf numFmtId="0" fontId="4" fillId="4" borderId="0" xfId="0" applyFont="1" applyFill="1" applyAlignment="1" applyProtection="1">
      <alignment vertical="center"/>
      <protection locked="0"/>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0" fontId="4" fillId="25" borderId="16" xfId="0" applyFont="1" applyFill="1" applyBorder="1" applyAlignment="1" applyProtection="1">
      <alignment vertical="center"/>
      <protection/>
    </xf>
    <xf numFmtId="0" fontId="4" fillId="4" borderId="19" xfId="0" applyFont="1" applyFill="1" applyBorder="1" applyAlignment="1" applyProtection="1">
      <alignment vertical="center"/>
      <protection locked="0"/>
    </xf>
    <xf numFmtId="0" fontId="4" fillId="25" borderId="18" xfId="0" applyFont="1" applyFill="1" applyBorder="1" applyAlignment="1" applyProtection="1">
      <alignment vertical="center"/>
      <protection/>
    </xf>
    <xf numFmtId="0" fontId="4" fillId="4"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0" fillId="4" borderId="0" xfId="0" applyFill="1" applyAlignment="1">
      <alignment vertical="center"/>
    </xf>
    <xf numFmtId="3" fontId="4" fillId="4" borderId="0" xfId="0" applyNumberFormat="1" applyFont="1" applyFill="1" applyAlignment="1" applyProtection="1">
      <alignment vertical="center"/>
      <protection/>
    </xf>
    <xf numFmtId="37" fontId="4" fillId="4" borderId="18" xfId="0" applyNumberFormat="1" applyFont="1" applyFill="1" applyBorder="1" applyAlignment="1" applyProtection="1">
      <alignment horizontal="left" vertical="center"/>
      <protection/>
    </xf>
    <xf numFmtId="37" fontId="4" fillId="22" borderId="10" xfId="0" applyNumberFormat="1" applyFont="1" applyFill="1" applyBorder="1" applyAlignment="1" applyProtection="1">
      <alignment vertical="center"/>
      <protection locked="0"/>
    </xf>
    <xf numFmtId="3" fontId="4" fillId="4" borderId="19" xfId="0" applyNumberFormat="1"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2" fontId="4" fillId="16" borderId="0" xfId="0" applyNumberFormat="1" applyFont="1" applyFill="1" applyBorder="1" applyAlignment="1" applyProtection="1">
      <alignment vertical="center"/>
      <protection locked="0"/>
    </xf>
    <xf numFmtId="0" fontId="4" fillId="24" borderId="17" xfId="0" applyFont="1" applyFill="1" applyBorder="1" applyAlignment="1">
      <alignment horizontal="center" vertical="center"/>
    </xf>
    <xf numFmtId="0" fontId="4" fillId="24" borderId="20" xfId="0" applyFont="1" applyFill="1" applyBorder="1" applyAlignment="1">
      <alignment horizontal="center" vertical="center"/>
    </xf>
    <xf numFmtId="0" fontId="22" fillId="4" borderId="0" xfId="0" applyFont="1" applyFill="1" applyAlignment="1">
      <alignment vertical="center"/>
    </xf>
    <xf numFmtId="0" fontId="24" fillId="4" borderId="0" xfId="0" applyFont="1" applyFill="1" applyAlignment="1">
      <alignment vertical="center"/>
    </xf>
    <xf numFmtId="0" fontId="4" fillId="24" borderId="12" xfId="0" applyFont="1" applyFill="1" applyBorder="1" applyAlignment="1">
      <alignment horizontal="center" vertical="center"/>
    </xf>
    <xf numFmtId="37" fontId="4" fillId="4" borderId="12" xfId="0" applyNumberFormat="1" applyFont="1" applyFill="1" applyBorder="1" applyAlignment="1">
      <alignment vertical="center"/>
    </xf>
    <xf numFmtId="3" fontId="4" fillId="22" borderId="12" xfId="0" applyNumberFormat="1" applyFont="1" applyFill="1" applyBorder="1" applyAlignment="1" applyProtection="1">
      <alignment vertical="center"/>
      <protection locked="0"/>
    </xf>
    <xf numFmtId="37" fontId="4" fillId="4" borderId="0" xfId="0" applyNumberFormat="1" applyFont="1" applyFill="1" applyAlignment="1" applyProtection="1">
      <alignment horizontal="centerContinuous" vertical="center"/>
      <protection/>
    </xf>
    <xf numFmtId="37" fontId="4" fillId="4" borderId="0" xfId="0" applyNumberFormat="1" applyFont="1" applyFill="1" applyAlignment="1" applyProtection="1">
      <alignment horizontal="fill" vertical="center"/>
      <protection/>
    </xf>
    <xf numFmtId="37" fontId="4" fillId="4" borderId="11" xfId="0" applyNumberFormat="1" applyFont="1" applyFill="1" applyBorder="1" applyAlignment="1" applyProtection="1">
      <alignment horizontal="centerContinuous" vertical="center"/>
      <protection/>
    </xf>
    <xf numFmtId="0" fontId="4" fillId="4" borderId="18"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37" fontId="4" fillId="4" borderId="17" xfId="0" applyNumberFormat="1" applyFont="1" applyFill="1" applyBorder="1" applyAlignment="1" applyProtection="1">
      <alignment horizontal="center" vertical="center"/>
      <protection/>
    </xf>
    <xf numFmtId="37" fontId="4" fillId="4" borderId="17" xfId="0" applyNumberFormat="1" applyFont="1" applyFill="1" applyBorder="1" applyAlignment="1" applyProtection="1">
      <alignment horizontal="center" vertical="center" wrapText="1"/>
      <protection/>
    </xf>
    <xf numFmtId="37" fontId="5" fillId="4" borderId="16" xfId="0" applyNumberFormat="1" applyFont="1" applyFill="1" applyBorder="1" applyAlignment="1" applyProtection="1">
      <alignment horizontal="left" vertical="center"/>
      <protection/>
    </xf>
    <xf numFmtId="37" fontId="4" fillId="4" borderId="12" xfId="0" applyNumberFormat="1" applyFont="1" applyFill="1" applyBorder="1" applyAlignment="1" applyProtection="1">
      <alignment horizontal="center" vertical="center"/>
      <protection/>
    </xf>
    <xf numFmtId="37" fontId="4" fillId="4" borderId="11"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4" borderId="20"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left" vertical="center"/>
      <protection/>
    </xf>
    <xf numFmtId="0" fontId="4" fillId="4" borderId="15" xfId="0" applyFont="1" applyFill="1" applyBorder="1" applyAlignment="1" applyProtection="1">
      <alignment vertical="center"/>
      <protection/>
    </xf>
    <xf numFmtId="37"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37" fontId="4" fillId="4" borderId="14" xfId="0" applyNumberFormat="1" applyFont="1" applyFill="1" applyBorder="1" applyAlignment="1" applyProtection="1">
      <alignment horizontal="center" vertical="center"/>
      <protection/>
    </xf>
    <xf numFmtId="37" fontId="18" fillId="4" borderId="12" xfId="0" applyNumberFormat="1" applyFont="1" applyFill="1" applyBorder="1" applyAlignment="1" applyProtection="1">
      <alignment horizontal="left" vertical="center"/>
      <protection/>
    </xf>
    <xf numFmtId="37" fontId="18" fillId="4" borderId="12" xfId="0" applyNumberFormat="1" applyFont="1" applyFill="1" applyBorder="1" applyAlignment="1" applyProtection="1">
      <alignment horizontal="center" vertical="center"/>
      <protection/>
    </xf>
    <xf numFmtId="0" fontId="4" fillId="4" borderId="10" xfId="0" applyFont="1" applyFill="1" applyBorder="1" applyAlignment="1" applyProtection="1">
      <alignment vertical="center"/>
      <protection/>
    </xf>
    <xf numFmtId="0" fontId="4" fillId="4" borderId="12" xfId="0" applyFont="1" applyFill="1" applyBorder="1" applyAlignment="1" applyProtection="1">
      <alignment vertical="center"/>
      <protection/>
    </xf>
    <xf numFmtId="37" fontId="4" fillId="9" borderId="11"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vertical="center"/>
      <protection/>
    </xf>
    <xf numFmtId="37" fontId="4" fillId="4" borderId="11" xfId="0" applyNumberFormat="1" applyFont="1" applyFill="1" applyBorder="1" applyAlignment="1" applyProtection="1">
      <alignment vertical="center"/>
      <protection/>
    </xf>
    <xf numFmtId="37" fontId="4" fillId="4" borderId="19"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37" fontId="5" fillId="4" borderId="13" xfId="0" applyNumberFormat="1" applyFont="1" applyFill="1" applyBorder="1" applyAlignment="1" applyProtection="1">
      <alignment horizontal="left" vertical="center"/>
      <protection/>
    </xf>
    <xf numFmtId="37" fontId="4" fillId="4" borderId="19" xfId="0" applyNumberFormat="1" applyFont="1" applyFill="1" applyBorder="1" applyAlignment="1" applyProtection="1">
      <alignment horizontal="fill" vertical="center"/>
      <protection/>
    </xf>
    <xf numFmtId="37" fontId="4" fillId="9" borderId="23" xfId="0" applyNumberFormat="1" applyFont="1" applyFill="1" applyBorder="1" applyAlignment="1" applyProtection="1">
      <alignment vertical="center"/>
      <protection/>
    </xf>
    <xf numFmtId="183" fontId="4" fillId="9" borderId="23" xfId="0" applyNumberFormat="1" applyFont="1" applyFill="1" applyBorder="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0" xfId="0" applyNumberFormat="1" applyFont="1" applyFill="1" applyBorder="1" applyAlignment="1" applyProtection="1">
      <alignment vertical="center"/>
      <protection/>
    </xf>
    <xf numFmtId="183" fontId="4" fillId="4" borderId="0" xfId="0" applyNumberFormat="1" applyFont="1" applyFill="1" applyBorder="1" applyAlignment="1" applyProtection="1">
      <alignment vertical="center"/>
      <protection/>
    </xf>
    <xf numFmtId="0" fontId="17" fillId="24" borderId="0" xfId="0" applyFont="1" applyFill="1" applyAlignment="1" applyProtection="1">
      <alignment horizontal="center" vertical="center"/>
      <protection/>
    </xf>
    <xf numFmtId="0" fontId="4" fillId="26" borderId="10" xfId="0" applyFont="1" applyFill="1" applyBorder="1" applyAlignment="1">
      <alignment horizontal="center" vertical="center" shrinkToFit="1"/>
    </xf>
    <xf numFmtId="0" fontId="22" fillId="26" borderId="14" xfId="0" applyFont="1" applyFill="1" applyBorder="1" applyAlignment="1" applyProtection="1">
      <alignment horizontal="center" vertical="center"/>
      <protection/>
    </xf>
    <xf numFmtId="3" fontId="4" fillId="22" borderId="14" xfId="0" applyNumberFormat="1" applyFont="1" applyFill="1" applyBorder="1" applyAlignment="1" applyProtection="1">
      <alignment horizontal="center" vertical="center"/>
      <protection locked="0"/>
    </xf>
    <xf numFmtId="37" fontId="4" fillId="4" borderId="14" xfId="0" applyNumberFormat="1" applyFont="1" applyFill="1" applyBorder="1" applyAlignment="1" applyProtection="1">
      <alignment horizontal="fill" vertical="center"/>
      <protection locked="0"/>
    </xf>
    <xf numFmtId="0" fontId="4" fillId="22" borderId="16" xfId="0" applyFont="1" applyFill="1" applyBorder="1" applyAlignment="1" applyProtection="1">
      <alignment vertical="center"/>
      <protection locked="0"/>
    </xf>
    <xf numFmtId="0" fontId="4" fillId="22" borderId="18" xfId="0" applyFont="1" applyFill="1" applyBorder="1" applyAlignment="1" applyProtection="1">
      <alignment vertical="center"/>
      <protection locked="0"/>
    </xf>
    <xf numFmtId="37" fontId="4" fillId="4" borderId="0" xfId="0" applyNumberFormat="1" applyFont="1" applyFill="1" applyBorder="1" applyAlignment="1" applyProtection="1">
      <alignment horizontal="right" vertical="center"/>
      <protection/>
    </xf>
    <xf numFmtId="0" fontId="4" fillId="4" borderId="0" xfId="0" applyFont="1" applyFill="1" applyAlignment="1" applyProtection="1">
      <alignment horizontal="left" vertical="center"/>
      <protection/>
    </xf>
    <xf numFmtId="37" fontId="4" fillId="0" borderId="0" xfId="0" applyNumberFormat="1" applyFont="1" applyAlignment="1" applyProtection="1">
      <alignment horizontal="center" vertical="center"/>
      <protection locked="0"/>
    </xf>
    <xf numFmtId="37" fontId="6" fillId="4" borderId="0" xfId="0" applyNumberFormat="1" applyFont="1" applyFill="1" applyAlignment="1">
      <alignment horizontal="center" vertical="center"/>
    </xf>
    <xf numFmtId="0" fontId="4" fillId="4" borderId="12" xfId="0" applyFont="1" applyFill="1" applyBorder="1" applyAlignment="1">
      <alignment horizontal="center" vertical="center" wrapText="1"/>
    </xf>
    <xf numFmtId="37" fontId="6" fillId="4" borderId="1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37" fontId="4" fillId="22" borderId="10" xfId="0" applyNumberFormat="1" applyFont="1" applyFill="1" applyBorder="1" applyAlignment="1" applyProtection="1">
      <alignment horizontal="left" vertical="center"/>
      <protection locked="0"/>
    </xf>
    <xf numFmtId="37" fontId="4" fillId="22" borderId="10" xfId="0" applyNumberFormat="1" applyFont="1" applyFill="1" applyBorder="1" applyAlignment="1" applyProtection="1">
      <alignment horizontal="center" vertical="center"/>
      <protection locked="0"/>
    </xf>
    <xf numFmtId="0" fontId="4" fillId="22" borderId="10" xfId="0" applyFont="1" applyFill="1" applyBorder="1" applyAlignment="1" applyProtection="1">
      <alignment horizontal="center" vertical="center"/>
      <protection locked="0"/>
    </xf>
    <xf numFmtId="37" fontId="4" fillId="4" borderId="10" xfId="0" applyNumberFormat="1" applyFont="1" applyFill="1" applyBorder="1" applyAlignment="1" applyProtection="1">
      <alignment horizontal="fill" vertical="center"/>
      <protection/>
    </xf>
    <xf numFmtId="37" fontId="4" fillId="4" borderId="23"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6" xfId="0" applyNumberFormat="1" applyFont="1" applyFill="1" applyBorder="1" applyAlignment="1" applyProtection="1">
      <alignment vertical="center"/>
      <protection/>
    </xf>
    <xf numFmtId="3" fontId="4" fillId="4" borderId="0" xfId="0" applyNumberFormat="1" applyFont="1" applyFill="1" applyAlignment="1" quotePrefix="1">
      <alignment vertical="center"/>
    </xf>
    <xf numFmtId="3" fontId="4" fillId="4" borderId="0" xfId="0" applyNumberFormat="1" applyFont="1" applyFill="1" applyAlignment="1">
      <alignment vertical="center"/>
    </xf>
    <xf numFmtId="3" fontId="4" fillId="4" borderId="18" xfId="0" applyNumberFormat="1" applyFont="1" applyFill="1" applyBorder="1" applyAlignment="1" applyProtection="1">
      <alignment vertical="center"/>
      <protection locked="0"/>
    </xf>
    <xf numFmtId="0" fontId="5" fillId="4" borderId="0" xfId="0" applyFont="1" applyFill="1" applyAlignment="1" applyProtection="1">
      <alignment vertical="center"/>
      <protection/>
    </xf>
    <xf numFmtId="3" fontId="4" fillId="4" borderId="18" xfId="0" applyNumberFormat="1" applyFont="1" applyFill="1" applyBorder="1" applyAlignment="1">
      <alignment vertical="center"/>
    </xf>
    <xf numFmtId="3" fontId="4" fillId="4" borderId="0" xfId="0" applyNumberFormat="1" applyFont="1" applyFill="1" applyBorder="1" applyAlignment="1">
      <alignment vertical="center"/>
    </xf>
    <xf numFmtId="3" fontId="4" fillId="4" borderId="24" xfId="0" applyNumberFormat="1" applyFont="1" applyFill="1" applyBorder="1" applyAlignment="1" applyProtection="1">
      <alignment vertical="center"/>
      <protection/>
    </xf>
    <xf numFmtId="0" fontId="4" fillId="4" borderId="24" xfId="0" applyFont="1" applyFill="1" applyBorder="1" applyAlignment="1" applyProtection="1">
      <alignment vertical="center"/>
      <protection/>
    </xf>
    <xf numFmtId="0" fontId="4" fillId="4" borderId="0" xfId="0" applyFont="1" applyFill="1" applyBorder="1" applyAlignment="1">
      <alignment vertical="center"/>
    </xf>
    <xf numFmtId="0" fontId="4" fillId="4" borderId="0" xfId="0" applyFont="1" applyFill="1" applyAlignment="1" quotePrefix="1">
      <alignment vertical="center"/>
    </xf>
    <xf numFmtId="171" fontId="4" fillId="4" borderId="16" xfId="0" applyNumberFormat="1" applyFont="1" applyFill="1" applyBorder="1" applyAlignment="1" applyProtection="1">
      <alignment vertical="center"/>
      <protection/>
    </xf>
    <xf numFmtId="0" fontId="4" fillId="4" borderId="0" xfId="0" applyFont="1" applyFill="1" applyBorder="1" applyAlignment="1" quotePrefix="1">
      <alignment vertical="center"/>
    </xf>
    <xf numFmtId="3" fontId="4" fillId="4" borderId="16" xfId="0" applyNumberFormat="1" applyFont="1" applyFill="1" applyBorder="1" applyAlignment="1">
      <alignment vertical="center"/>
    </xf>
    <xf numFmtId="3" fontId="4" fillId="4" borderId="25" xfId="0" applyNumberFormat="1" applyFont="1" applyFill="1" applyBorder="1" applyAlignment="1">
      <alignment vertical="center"/>
    </xf>
    <xf numFmtId="3" fontId="4" fillId="4" borderId="16" xfId="0" applyNumberFormat="1" applyFont="1" applyFill="1" applyBorder="1" applyAlignment="1" applyProtection="1">
      <alignment vertical="center"/>
      <protection locked="0"/>
    </xf>
    <xf numFmtId="3" fontId="4" fillId="4" borderId="25" xfId="0" applyNumberFormat="1" applyFont="1" applyFill="1" applyBorder="1" applyAlignment="1" applyProtection="1">
      <alignment vertical="center"/>
      <protection/>
    </xf>
    <xf numFmtId="0" fontId="7" fillId="0" borderId="0" xfId="0" applyFont="1" applyAlignment="1">
      <alignment vertical="center"/>
    </xf>
    <xf numFmtId="0" fontId="4" fillId="4" borderId="17" xfId="0" applyFont="1" applyFill="1" applyBorder="1" applyAlignment="1">
      <alignment vertical="center"/>
    </xf>
    <xf numFmtId="0" fontId="0" fillId="4" borderId="0" xfId="0" applyFill="1" applyBorder="1" applyAlignment="1">
      <alignment vertical="center"/>
    </xf>
    <xf numFmtId="177" fontId="4" fillId="4" borderId="10" xfId="0" applyNumberFormat="1" applyFont="1" applyFill="1" applyBorder="1" applyAlignment="1" applyProtection="1">
      <alignment horizontal="center" vertical="center"/>
      <protection/>
    </xf>
    <xf numFmtId="37" fontId="4" fillId="9" borderId="23" xfId="0" applyNumberFormat="1" applyFont="1" applyFill="1" applyBorder="1" applyAlignment="1" applyProtection="1">
      <alignment horizontal="center" vertical="center"/>
      <protection/>
    </xf>
    <xf numFmtId="177" fontId="4" fillId="9" borderId="2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166" fontId="4" fillId="4" borderId="0" xfId="0" applyNumberFormat="1" applyFont="1" applyFill="1" applyAlignment="1" applyProtection="1">
      <alignment horizontal="center" vertical="center"/>
      <protection/>
    </xf>
    <xf numFmtId="37" fontId="4" fillId="4" borderId="16" xfId="0" applyNumberFormat="1" applyFont="1" applyFill="1" applyBorder="1" applyAlignment="1" applyProtection="1">
      <alignment horizontal="center" vertical="center"/>
      <protection/>
    </xf>
    <xf numFmtId="37" fontId="4" fillId="4" borderId="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65" fontId="4" fillId="9" borderId="16" xfId="0" applyNumberFormat="1" applyFont="1" applyFill="1" applyBorder="1" applyAlignment="1" applyProtection="1">
      <alignment horizontal="center" vertical="center"/>
      <protection/>
    </xf>
    <xf numFmtId="165" fontId="4" fillId="4" borderId="0" xfId="0" applyNumberFormat="1" applyFont="1" applyFill="1" applyBorder="1" applyAlignment="1" applyProtection="1">
      <alignment horizontal="center" vertical="center"/>
      <protection/>
    </xf>
    <xf numFmtId="0" fontId="0" fillId="4" borderId="0" xfId="0" applyFill="1" applyAlignment="1">
      <alignment horizontal="center" vertical="center"/>
    </xf>
    <xf numFmtId="0" fontId="5" fillId="4" borderId="16"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4" fillId="22" borderId="12" xfId="0" applyFont="1" applyFill="1" applyBorder="1" applyAlignment="1" applyProtection="1">
      <alignment vertical="center"/>
      <protection locked="0"/>
    </xf>
    <xf numFmtId="175" fontId="4" fillId="22" borderId="12" xfId="42" applyNumberFormat="1" applyFont="1" applyFill="1" applyBorder="1" applyAlignment="1" applyProtection="1">
      <alignment vertical="center"/>
      <protection locked="0"/>
    </xf>
    <xf numFmtId="175" fontId="4" fillId="22" borderId="10" xfId="42" applyNumberFormat="1" applyFont="1" applyFill="1" applyBorder="1" applyAlignment="1" applyProtection="1">
      <alignment vertical="center"/>
      <protection locked="0"/>
    </xf>
    <xf numFmtId="0" fontId="4" fillId="4" borderId="10"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1" fontId="4" fillId="4" borderId="0" xfId="0" applyNumberFormat="1" applyFont="1" applyFill="1" applyBorder="1" applyAlignment="1" applyProtection="1">
      <alignment horizontal="right" vertical="center"/>
      <protection/>
    </xf>
    <xf numFmtId="0" fontId="5" fillId="4" borderId="0" xfId="465" applyFont="1" applyFill="1" applyAlignment="1" applyProtection="1">
      <alignment horizontal="centerContinuous" vertical="center"/>
      <protection/>
    </xf>
    <xf numFmtId="0" fontId="4" fillId="4" borderId="16"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20" xfId="0" applyFont="1" applyFill="1" applyBorder="1" applyAlignment="1" applyProtection="1">
      <alignment horizontal="center" vertical="center"/>
      <protection/>
    </xf>
    <xf numFmtId="1" fontId="4" fillId="4" borderId="13"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2" fontId="4" fillId="4" borderId="10"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horizontal="center" vertical="center"/>
      <protection locked="0"/>
    </xf>
    <xf numFmtId="2" fontId="4" fillId="22" borderId="10" xfId="0" applyNumberFormat="1" applyFont="1" applyFill="1" applyBorder="1" applyAlignment="1" applyProtection="1">
      <alignment horizontal="center" vertical="center"/>
      <protection locked="0"/>
    </xf>
    <xf numFmtId="3" fontId="4" fillId="22" borderId="10" xfId="0" applyNumberFormat="1" applyFont="1" applyFill="1" applyBorder="1" applyAlignment="1" applyProtection="1">
      <alignment horizontal="center" vertical="center"/>
      <protection locked="0"/>
    </xf>
    <xf numFmtId="37" fontId="4" fillId="22" borderId="10" xfId="0" applyNumberFormat="1" applyFont="1" applyFill="1" applyBorder="1" applyAlignment="1" applyProtection="1">
      <alignment horizontal="center" vertical="center"/>
      <protection locked="0"/>
    </xf>
    <xf numFmtId="173" fontId="4" fillId="22" borderId="10" xfId="0"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172"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3" fontId="5" fillId="4" borderId="10" xfId="0" applyNumberFormat="1" applyFont="1" applyFill="1" applyBorder="1" applyAlignment="1" applyProtection="1">
      <alignment horizontal="center" vertical="center"/>
      <protection/>
    </xf>
    <xf numFmtId="172"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73" fontId="4"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4" borderId="0" xfId="0" applyNumberFormat="1" applyFont="1" applyFill="1" applyAlignment="1" applyProtection="1">
      <alignment horizontal="right" vertical="center"/>
      <protection/>
    </xf>
    <xf numFmtId="0" fontId="4" fillId="4" borderId="0" xfId="0" applyFont="1" applyFill="1" applyAlignment="1" applyProtection="1">
      <alignment horizontal="right" vertical="center"/>
      <protection/>
    </xf>
    <xf numFmtId="0" fontId="4" fillId="4" borderId="28" xfId="0" applyFont="1" applyFill="1" applyBorder="1" applyAlignment="1" applyProtection="1">
      <alignment vertical="center"/>
      <protection/>
    </xf>
    <xf numFmtId="0" fontId="4" fillId="4" borderId="17" xfId="0"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8" fillId="4" borderId="12" xfId="0" applyFont="1" applyFill="1" applyBorder="1" applyAlignment="1" applyProtection="1">
      <alignment horizontal="center" vertical="center"/>
      <protection/>
    </xf>
    <xf numFmtId="14" fontId="4" fillId="4" borderId="12" xfId="0" applyNumberFormat="1" applyFont="1" applyFill="1" applyBorder="1" applyAlignment="1" applyProtection="1" quotePrefix="1">
      <alignment horizontal="center" vertical="center"/>
      <protection/>
    </xf>
    <xf numFmtId="1" fontId="4" fillId="22" borderId="10" xfId="0" applyNumberFormat="1" applyFont="1" applyFill="1" applyBorder="1" applyAlignment="1" applyProtection="1">
      <alignment vertical="center"/>
      <protection locked="0"/>
    </xf>
    <xf numFmtId="2" fontId="4" fillId="22" borderId="10" xfId="0" applyNumberFormat="1" applyFont="1" applyFill="1" applyBorder="1" applyAlignment="1" applyProtection="1">
      <alignment vertical="center"/>
      <protection locked="0"/>
    </xf>
    <xf numFmtId="3" fontId="5" fillId="9" borderId="23" xfId="0" applyNumberFormat="1" applyFont="1" applyFill="1" applyBorder="1" applyAlignment="1" applyProtection="1">
      <alignment vertical="center"/>
      <protection/>
    </xf>
    <xf numFmtId="0" fontId="4" fillId="0" borderId="0" xfId="0" applyFont="1" applyBorder="1" applyAlignment="1">
      <alignment vertical="center"/>
    </xf>
    <xf numFmtId="0" fontId="4" fillId="16" borderId="0" xfId="464" applyFont="1" applyFill="1" applyAlignment="1" applyProtection="1">
      <alignment vertical="center"/>
      <protection/>
    </xf>
    <xf numFmtId="0" fontId="4" fillId="16" borderId="0" xfId="0" applyFont="1" applyFill="1" applyAlignment="1" applyProtection="1">
      <alignment vertical="center"/>
      <protection/>
    </xf>
    <xf numFmtId="0" fontId="4" fillId="4" borderId="0" xfId="0" applyFont="1" applyFill="1" applyAlignment="1" applyProtection="1" quotePrefix="1">
      <alignment horizontal="right" vertical="center"/>
      <protection/>
    </xf>
    <xf numFmtId="1" fontId="4"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left" vertical="center"/>
      <protection/>
    </xf>
    <xf numFmtId="0" fontId="4" fillId="4" borderId="14" xfId="0" applyFont="1" applyFill="1" applyBorder="1" applyAlignment="1" applyProtection="1">
      <alignment horizontal="left" vertical="center"/>
      <protection/>
    </xf>
    <xf numFmtId="37" fontId="4" fillId="22" borderId="11"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22" borderId="11" xfId="0" applyFont="1" applyFill="1" applyBorder="1" applyAlignment="1" applyProtection="1">
      <alignment horizontal="left" vertical="center"/>
      <protection locked="0"/>
    </xf>
    <xf numFmtId="0" fontId="4" fillId="4" borderId="11" xfId="0" applyFont="1" applyFill="1" applyBorder="1" applyAlignment="1" applyProtection="1">
      <alignment vertical="center"/>
      <protection/>
    </xf>
    <xf numFmtId="3" fontId="22" fillId="23" borderId="15"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7" fontId="5" fillId="9" borderId="10" xfId="0" applyNumberFormat="1" applyFont="1" applyFill="1" applyBorder="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Alignment="1" applyProtection="1">
      <alignment horizontal="fill" vertical="center"/>
      <protection/>
    </xf>
    <xf numFmtId="0" fontId="4" fillId="4" borderId="12"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vertical="center"/>
      <protection/>
    </xf>
    <xf numFmtId="37" fontId="4" fillId="26" borderId="10"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xf>
    <xf numFmtId="37" fontId="4" fillId="22" borderId="10" xfId="0" applyNumberFormat="1" applyFont="1" applyFill="1" applyBorder="1" applyAlignment="1" applyProtection="1">
      <alignment vertical="center"/>
      <protection/>
    </xf>
    <xf numFmtId="0" fontId="4" fillId="22" borderId="11" xfId="0"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3" fontId="4" fillId="4" borderId="0" xfId="0" applyNumberFormat="1" applyFont="1" applyFill="1" applyAlignment="1" applyProtection="1">
      <alignment horizontal="center" vertical="center"/>
      <protection/>
    </xf>
    <xf numFmtId="0" fontId="22" fillId="0" borderId="0" xfId="0" applyFont="1" applyAlignment="1">
      <alignment vertical="center"/>
    </xf>
    <xf numFmtId="0" fontId="25" fillId="4" borderId="0" xfId="0" applyFont="1" applyFill="1" applyAlignment="1" applyProtection="1">
      <alignment horizontal="center" vertical="center"/>
      <protection/>
    </xf>
    <xf numFmtId="0" fontId="4" fillId="4" borderId="0" xfId="0" applyFont="1" applyFill="1" applyAlignment="1">
      <alignment horizontal="right" vertical="center"/>
    </xf>
    <xf numFmtId="166" fontId="4" fillId="4" borderId="0" xfId="0" applyNumberFormat="1" applyFont="1" applyFill="1" applyAlignment="1" applyProtection="1">
      <alignment vertical="center"/>
      <protection/>
    </xf>
    <xf numFmtId="37" fontId="4" fillId="4" borderId="0" xfId="0" applyNumberFormat="1" applyFont="1" applyFill="1" applyAlignment="1" applyProtection="1" quotePrefix="1">
      <alignment horizontal="right" vertical="center"/>
      <protection/>
    </xf>
    <xf numFmtId="3" fontId="4" fillId="4" borderId="10" xfId="42" applyNumberFormat="1" applyFont="1" applyFill="1" applyBorder="1" applyAlignment="1" applyProtection="1">
      <alignment horizontal="right" vertical="center"/>
      <protection/>
    </xf>
    <xf numFmtId="3" fontId="4" fillId="22" borderId="14"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11" xfId="0" applyNumberFormat="1" applyFont="1" applyFill="1" applyBorder="1" applyAlignment="1" applyProtection="1">
      <alignment horizontal="left" vertical="center"/>
      <protection/>
    </xf>
    <xf numFmtId="0" fontId="4" fillId="22" borderId="1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1" xfId="0" applyNumberFormat="1" applyFont="1" applyFill="1" applyBorder="1" applyAlignment="1" applyProtection="1">
      <alignment horizontal="left" vertical="center"/>
      <protection locked="0"/>
    </xf>
    <xf numFmtId="3" fontId="22" fillId="23" borderId="10" xfId="0" applyNumberFormat="1" applyFont="1" applyFill="1" applyBorder="1" applyAlignment="1" applyProtection="1">
      <alignment horizontal="center" vertical="center"/>
      <protection/>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3" fontId="4" fillId="9" borderId="10" xfId="0" applyNumberFormat="1" applyFont="1" applyFill="1" applyBorder="1" applyAlignment="1" applyProtection="1">
      <alignment horizontal="right" vertical="center"/>
      <protection/>
    </xf>
    <xf numFmtId="0" fontId="22" fillId="0" borderId="0" xfId="0" applyFont="1" applyAlignment="1" applyProtection="1">
      <alignment vertical="center"/>
      <protection/>
    </xf>
    <xf numFmtId="3" fontId="4" fillId="26" borderId="10" xfId="0" applyNumberFormat="1" applyFont="1" applyFill="1" applyBorder="1" applyAlignment="1" applyProtection="1">
      <alignment vertical="center"/>
      <protection/>
    </xf>
    <xf numFmtId="0" fontId="4" fillId="22" borderId="0" xfId="0" applyFont="1" applyFill="1" applyAlignment="1" applyProtection="1">
      <alignment horizontal="left" vertical="center"/>
      <protection locked="0"/>
    </xf>
    <xf numFmtId="1" fontId="4" fillId="4" borderId="17" xfId="0" applyNumberFormat="1" applyFont="1" applyFill="1" applyBorder="1" applyAlignment="1" applyProtection="1">
      <alignment horizontal="center" vertical="center"/>
      <protection/>
    </xf>
    <xf numFmtId="0" fontId="4" fillId="22" borderId="10" xfId="0" applyFont="1" applyFill="1" applyBorder="1" applyAlignment="1" applyProtection="1">
      <alignment horizontal="left" vertical="center"/>
      <protection locked="0"/>
    </xf>
    <xf numFmtId="0" fontId="4" fillId="22" borderId="10" xfId="0" applyFont="1" applyFill="1" applyBorder="1" applyAlignment="1" applyProtection="1">
      <alignment horizontal="left" vertical="center"/>
      <protection locked="0"/>
    </xf>
    <xf numFmtId="37" fontId="4" fillId="9" borderId="17" xfId="0" applyNumberFormat="1" applyFont="1" applyFill="1" applyBorder="1" applyAlignment="1" applyProtection="1">
      <alignment vertical="center"/>
      <protection/>
    </xf>
    <xf numFmtId="0" fontId="4" fillId="4" borderId="0" xfId="0" applyNumberFormat="1" applyFont="1" applyFill="1" applyAlignment="1" applyProtection="1">
      <alignment vertical="center"/>
      <protection/>
    </xf>
    <xf numFmtId="37" fontId="5" fillId="26" borderId="23" xfId="0" applyNumberFormat="1" applyFont="1" applyFill="1" applyBorder="1" applyAlignment="1" applyProtection="1">
      <alignment vertical="center"/>
      <protection/>
    </xf>
    <xf numFmtId="0" fontId="22" fillId="16" borderId="0" xfId="0" applyFont="1" applyFill="1" applyAlignment="1">
      <alignment vertical="center"/>
    </xf>
    <xf numFmtId="37" fontId="4" fillId="16" borderId="0" xfId="0" applyNumberFormat="1" applyFont="1" applyFill="1" applyAlignment="1">
      <alignment vertical="center"/>
    </xf>
    <xf numFmtId="37" fontId="4" fillId="0" borderId="0" xfId="0" applyNumberFormat="1" applyFont="1" applyAlignment="1">
      <alignment vertical="center"/>
    </xf>
    <xf numFmtId="0" fontId="4" fillId="22" borderId="11" xfId="0" applyFont="1" applyFill="1" applyBorder="1" applyAlignment="1" applyProtection="1">
      <alignment horizontal="left" vertical="center"/>
      <protection/>
    </xf>
    <xf numFmtId="0" fontId="4" fillId="22" borderId="11" xfId="0" applyFont="1" applyFill="1" applyBorder="1" applyAlignment="1">
      <alignment vertical="center"/>
    </xf>
    <xf numFmtId="37" fontId="4" fillId="4" borderId="16" xfId="0" applyNumberFormat="1" applyFont="1" applyFill="1" applyBorder="1" applyAlignment="1" applyProtection="1">
      <alignment vertical="center"/>
      <protection/>
    </xf>
    <xf numFmtId="37" fontId="4" fillId="22" borderId="11" xfId="0" applyNumberFormat="1" applyFont="1" applyFill="1" applyBorder="1" applyAlignment="1" applyProtection="1">
      <alignment vertical="center"/>
      <protection locked="0"/>
    </xf>
    <xf numFmtId="3" fontId="5" fillId="9" borderId="10" xfId="0" applyNumberFormat="1" applyFont="1" applyFill="1" applyBorder="1" applyAlignment="1" applyProtection="1">
      <alignment vertical="center"/>
      <protection/>
    </xf>
    <xf numFmtId="10" fontId="4" fillId="4" borderId="0" xfId="0" applyNumberFormat="1" applyFont="1" applyFill="1" applyAlignment="1" applyProtection="1">
      <alignment horizontal="righ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lignment horizontal="center" vertical="center"/>
    </xf>
    <xf numFmtId="0" fontId="27"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16" xfId="0" applyFont="1" applyFill="1" applyBorder="1" applyAlignment="1">
      <alignment vertical="center"/>
    </xf>
    <xf numFmtId="0" fontId="21" fillId="4" borderId="17" xfId="0" applyFont="1" applyFill="1" applyBorder="1" applyAlignment="1">
      <alignment vertical="center"/>
    </xf>
    <xf numFmtId="0" fontId="21" fillId="4" borderId="14" xfId="0" applyFont="1" applyFill="1" applyBorder="1" applyAlignment="1">
      <alignment horizontal="center" vertical="center"/>
    </xf>
    <xf numFmtId="0" fontId="21" fillId="4" borderId="15" xfId="0" applyFont="1" applyFill="1" applyBorder="1" applyAlignment="1">
      <alignment vertical="center"/>
    </xf>
    <xf numFmtId="0" fontId="21" fillId="4" borderId="10" xfId="0" applyFont="1" applyFill="1" applyBorder="1" applyAlignment="1">
      <alignment horizontal="center" vertical="center"/>
    </xf>
    <xf numFmtId="0" fontId="4" fillId="4" borderId="14" xfId="0" applyFont="1" applyFill="1" applyBorder="1" applyAlignment="1">
      <alignment vertical="center"/>
    </xf>
    <xf numFmtId="0" fontId="4" fillId="4" borderId="10" xfId="0" applyFont="1" applyFill="1" applyBorder="1" applyAlignment="1">
      <alignment horizontal="center" vertical="center"/>
    </xf>
    <xf numFmtId="0" fontId="21" fillId="4" borderId="13" xfId="0" applyFont="1" applyFill="1" applyBorder="1" applyAlignment="1">
      <alignment vertical="center"/>
    </xf>
    <xf numFmtId="3" fontId="21" fillId="22" borderId="10" xfId="0" applyNumberFormat="1" applyFont="1" applyFill="1" applyBorder="1" applyAlignment="1" applyProtection="1">
      <alignment horizontal="center" vertical="center"/>
      <protection locked="0"/>
    </xf>
    <xf numFmtId="0" fontId="21" fillId="4" borderId="16" xfId="0" applyFont="1" applyFill="1" applyBorder="1" applyAlignment="1">
      <alignment vertical="center"/>
    </xf>
    <xf numFmtId="3" fontId="21" fillId="9" borderId="10" xfId="0" applyNumberFormat="1" applyFont="1" applyFill="1" applyBorder="1" applyAlignment="1">
      <alignment horizontal="center" vertical="center"/>
    </xf>
    <xf numFmtId="0" fontId="21" fillId="4" borderId="0" xfId="0" applyFont="1" applyFill="1" applyAlignment="1">
      <alignment vertical="center"/>
    </xf>
    <xf numFmtId="3" fontId="21" fillId="4" borderId="0" xfId="0" applyNumberFormat="1" applyFont="1" applyFill="1" applyAlignment="1">
      <alignment horizontal="center" vertical="center"/>
    </xf>
    <xf numFmtId="0" fontId="21" fillId="4" borderId="0" xfId="0" applyFont="1" applyFill="1" applyAlignment="1">
      <alignment horizontal="center" vertical="center"/>
    </xf>
    <xf numFmtId="0" fontId="21" fillId="22" borderId="10" xfId="0" applyFont="1" applyFill="1" applyBorder="1" applyAlignment="1" applyProtection="1">
      <alignment vertical="center"/>
      <protection locked="0"/>
    </xf>
    <xf numFmtId="0" fontId="21" fillId="22" borderId="15" xfId="0" applyFont="1" applyFill="1" applyBorder="1" applyAlignment="1" applyProtection="1">
      <alignment vertical="center"/>
      <protection locked="0"/>
    </xf>
    <xf numFmtId="0" fontId="21" fillId="22" borderId="0" xfId="0" applyFont="1" applyFill="1" applyAlignment="1" applyProtection="1">
      <alignment vertical="center"/>
      <protection locked="0"/>
    </xf>
    <xf numFmtId="0" fontId="21" fillId="22" borderId="14" xfId="0" applyFont="1" applyFill="1" applyBorder="1" applyAlignment="1" applyProtection="1">
      <alignment vertical="center"/>
      <protection locked="0"/>
    </xf>
    <xf numFmtId="0" fontId="21" fillId="22" borderId="12" xfId="0" applyFont="1" applyFill="1" applyBorder="1" applyAlignment="1" applyProtection="1">
      <alignment vertical="center"/>
      <protection locked="0"/>
    </xf>
    <xf numFmtId="0" fontId="21" fillId="22" borderId="22" xfId="0" applyFont="1" applyFill="1" applyBorder="1" applyAlignment="1" applyProtection="1">
      <alignment vertical="center"/>
      <protection locked="0"/>
    </xf>
    <xf numFmtId="3" fontId="23" fillId="26" borderId="10" xfId="0" applyNumberFormat="1" applyFont="1" applyFill="1" applyBorder="1" applyAlignment="1">
      <alignment horizontal="center" vertical="center"/>
    </xf>
    <xf numFmtId="3" fontId="28" fillId="26" borderId="0" xfId="0" applyNumberFormat="1" applyFont="1" applyFill="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4" borderId="17" xfId="0" applyFont="1" applyFill="1" applyBorder="1" applyAlignment="1" applyProtection="1">
      <alignment horizontal="centerContinuous" vertical="center"/>
      <protection/>
    </xf>
    <xf numFmtId="1" fontId="4" fillId="4" borderId="11" xfId="0" applyNumberFormat="1" applyFont="1" applyFill="1" applyBorder="1" applyAlignment="1" applyProtection="1">
      <alignment horizontal="centerContinuous" vertical="center"/>
      <protection/>
    </xf>
    <xf numFmtId="0" fontId="4" fillId="4" borderId="12" xfId="0" applyFont="1" applyFill="1" applyBorder="1" applyAlignment="1">
      <alignment horizontal="center" vertical="center"/>
    </xf>
    <xf numFmtId="164" fontId="4" fillId="4" borderId="10"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locked="0"/>
    </xf>
    <xf numFmtId="1" fontId="4" fillId="4" borderId="0" xfId="0" applyNumberFormat="1" applyFont="1" applyFill="1" applyAlignment="1" applyProtection="1">
      <alignment vertical="center"/>
      <protection/>
    </xf>
    <xf numFmtId="1" fontId="6" fillId="4" borderId="0" xfId="0" applyNumberFormat="1" applyFont="1" applyFill="1" applyAlignment="1" applyProtection="1">
      <alignment horizontal="center" vertical="center"/>
      <protection/>
    </xf>
    <xf numFmtId="37" fontId="4" fillId="0" borderId="0" xfId="0" applyNumberFormat="1" applyFont="1" applyBorder="1" applyAlignment="1" applyProtection="1">
      <alignment horizontal="fill" vertical="center"/>
      <protection locked="0"/>
    </xf>
    <xf numFmtId="0" fontId="4" fillId="0" borderId="0" xfId="0" applyFont="1" applyAlignment="1" applyProtection="1">
      <alignment horizontal="centerContinuous" vertical="center"/>
      <protection locked="0"/>
    </xf>
    <xf numFmtId="0" fontId="4" fillId="0" borderId="0" xfId="0" applyFont="1" applyFill="1" applyAlignment="1" applyProtection="1">
      <alignment vertical="center"/>
      <protection locked="0"/>
    </xf>
    <xf numFmtId="0" fontId="4" fillId="4" borderId="17"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 fontId="4" fillId="22" borderId="10" xfId="0" applyNumberFormat="1" applyFont="1" applyFill="1" applyBorder="1" applyAlignment="1" applyProtection="1">
      <alignment horizontal="center" vertical="center"/>
      <protection locked="0"/>
    </xf>
    <xf numFmtId="184" fontId="4" fillId="4" borderId="10"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horizontal="center" vertical="center"/>
      <protection locked="0"/>
    </xf>
    <xf numFmtId="3" fontId="4" fillId="4" borderId="23" xfId="0" applyNumberFormat="1" applyFont="1" applyFill="1" applyBorder="1" applyAlignment="1" applyProtection="1">
      <alignment horizontal="center" vertical="center"/>
      <protection/>
    </xf>
    <xf numFmtId="184" fontId="4" fillId="4" borderId="23" xfId="0" applyNumberFormat="1" applyFont="1" applyFill="1" applyBorder="1" applyAlignment="1" applyProtection="1">
      <alignment horizontal="center" vertical="center"/>
      <protection/>
    </xf>
    <xf numFmtId="184" fontId="4" fillId="4" borderId="16" xfId="0" applyNumberFormat="1" applyFont="1" applyFill="1" applyBorder="1" applyAlignment="1" applyProtection="1">
      <alignment horizontal="center" vertical="center"/>
      <protection/>
    </xf>
    <xf numFmtId="184" fontId="4" fillId="4" borderId="0" xfId="0" applyNumberFormat="1" applyFont="1" applyFill="1" applyBorder="1" applyAlignment="1" applyProtection="1">
      <alignment horizontal="center" vertical="center"/>
      <protection/>
    </xf>
    <xf numFmtId="3" fontId="4" fillId="4" borderId="16" xfId="0" applyNumberFormat="1" applyFont="1" applyFill="1" applyBorder="1" applyAlignment="1">
      <alignment horizontal="center" vertical="center"/>
    </xf>
    <xf numFmtId="184" fontId="4" fillId="4" borderId="16" xfId="0" applyNumberFormat="1" applyFont="1" applyFill="1" applyBorder="1" applyAlignment="1">
      <alignment horizontal="center" vertical="center"/>
    </xf>
    <xf numFmtId="0" fontId="6" fillId="0" borderId="0" xfId="0" applyFont="1" applyAlignment="1">
      <alignment vertical="center"/>
    </xf>
    <xf numFmtId="0" fontId="5" fillId="0" borderId="0" xfId="0" applyFont="1" applyAlignment="1">
      <alignment vertical="center" wrapText="1"/>
    </xf>
    <xf numFmtId="0" fontId="33" fillId="0" borderId="0" xfId="0" applyFont="1" applyAlignment="1">
      <alignment vertical="center"/>
    </xf>
    <xf numFmtId="0" fontId="4" fillId="0" borderId="0" xfId="155" applyFont="1" applyAlignment="1">
      <alignment vertical="center" wrapText="1"/>
      <protection/>
    </xf>
    <xf numFmtId="0" fontId="33" fillId="0" borderId="0" xfId="0" applyFont="1" applyAlignment="1">
      <alignment/>
    </xf>
    <xf numFmtId="0" fontId="36" fillId="0" borderId="0" xfId="0" applyFont="1" applyAlignment="1">
      <alignment horizontal="center"/>
    </xf>
    <xf numFmtId="0" fontId="5" fillId="0" borderId="0" xfId="0" applyFont="1" applyAlignment="1">
      <alignment wrapText="1"/>
    </xf>
    <xf numFmtId="0" fontId="32" fillId="0" borderId="0" xfId="0" applyFont="1" applyAlignment="1">
      <alignment wrapText="1"/>
    </xf>
    <xf numFmtId="0" fontId="4" fillId="0" borderId="0" xfId="394" applyFont="1" applyAlignment="1">
      <alignment vertical="center"/>
      <protection/>
    </xf>
    <xf numFmtId="0" fontId="0" fillId="0" borderId="0" xfId="0" applyAlignment="1">
      <alignment/>
    </xf>
    <xf numFmtId="0" fontId="11" fillId="0" borderId="0" xfId="440">
      <alignment/>
      <protection/>
    </xf>
    <xf numFmtId="0" fontId="4" fillId="0" borderId="0" xfId="440" applyFont="1" applyAlignment="1">
      <alignment horizontal="left" vertical="center"/>
      <protection/>
    </xf>
    <xf numFmtId="0" fontId="11" fillId="0" borderId="0" xfId="440" applyNumberFormat="1" applyFont="1" applyAlignment="1">
      <alignment horizontal="left" vertical="center"/>
      <protection/>
    </xf>
    <xf numFmtId="49" fontId="4" fillId="22" borderId="0" xfId="440" applyNumberFormat="1" applyFont="1" applyFill="1" applyAlignment="1" applyProtection="1">
      <alignment horizontal="left" vertical="center"/>
      <protection locked="0"/>
    </xf>
    <xf numFmtId="185" fontId="21" fillId="0" borderId="0" xfId="440" applyNumberFormat="1" applyFont="1" applyAlignment="1">
      <alignment horizontal="left" vertical="center"/>
      <protection/>
    </xf>
    <xf numFmtId="49" fontId="4" fillId="0" borderId="0" xfId="440" applyNumberFormat="1" applyFont="1" applyAlignment="1">
      <alignment horizontal="left" vertical="center"/>
      <protection/>
    </xf>
    <xf numFmtId="0" fontId="21" fillId="0" borderId="0" xfId="440" applyFont="1" applyAlignment="1">
      <alignment horizontal="left" vertical="center"/>
      <protection/>
    </xf>
    <xf numFmtId="186" fontId="21" fillId="0" borderId="0" xfId="440" applyNumberFormat="1" applyFont="1" applyAlignment="1">
      <alignment horizontal="left" vertical="center"/>
      <protection/>
    </xf>
    <xf numFmtId="0" fontId="4" fillId="22" borderId="0" xfId="440" applyFont="1" applyFill="1" applyAlignment="1" applyProtection="1">
      <alignment horizontal="left" vertical="center"/>
      <protection locked="0"/>
    </xf>
    <xf numFmtId="0" fontId="11" fillId="22" borderId="0" xfId="440"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29"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6" fillId="0" borderId="0" xfId="129" applyFont="1" applyAlignment="1">
      <alignment vertical="center"/>
      <protection/>
    </xf>
    <xf numFmtId="0" fontId="0" fillId="0" borderId="0" xfId="224" applyFont="1">
      <alignment/>
      <protection/>
    </xf>
    <xf numFmtId="0" fontId="0" fillId="0" borderId="0" xfId="224" applyFont="1" applyFill="1">
      <alignment/>
      <protection/>
    </xf>
    <xf numFmtId="0" fontId="4" fillId="0" borderId="0" xfId="133" applyFont="1" applyAlignment="1">
      <alignment vertical="center"/>
      <protection/>
    </xf>
    <xf numFmtId="0" fontId="4" fillId="0" borderId="0" xfId="90" applyFont="1" applyAlignment="1">
      <alignment vertical="center" wrapText="1"/>
      <protection/>
    </xf>
    <xf numFmtId="0" fontId="4" fillId="4" borderId="0" xfId="0" applyFont="1" applyFill="1" applyAlignment="1">
      <alignment/>
    </xf>
    <xf numFmtId="0" fontId="6" fillId="0" borderId="0" xfId="128" applyFont="1" applyAlignment="1">
      <alignment vertical="center"/>
      <protection/>
    </xf>
    <xf numFmtId="0" fontId="41"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4" fillId="22" borderId="10" xfId="0" applyNumberFormat="1" applyFont="1" applyFill="1" applyBorder="1" applyAlignment="1" applyProtection="1">
      <alignment horizontal="center" vertical="center"/>
      <protection locked="0"/>
    </xf>
    <xf numFmtId="3" fontId="21" fillId="9" borderId="12" xfId="0" applyNumberFormat="1" applyFont="1" applyFill="1" applyBorder="1" applyAlignment="1">
      <alignment horizontal="center" vertical="center"/>
    </xf>
    <xf numFmtId="3" fontId="4" fillId="9" borderId="11" xfId="0" applyNumberFormat="1" applyFont="1" applyFill="1" applyBorder="1" applyAlignment="1" applyProtection="1">
      <alignment vertical="center"/>
      <protection/>
    </xf>
    <xf numFmtId="3" fontId="22" fillId="23" borderId="11" xfId="0" applyNumberFormat="1" applyFont="1" applyFill="1" applyBorder="1" applyAlignment="1" applyProtection="1">
      <alignment horizontal="center" vertical="center"/>
      <protection/>
    </xf>
    <xf numFmtId="3" fontId="4" fillId="4" borderId="11" xfId="0" applyNumberFormat="1" applyFont="1" applyFill="1" applyBorder="1" applyAlignment="1" applyProtection="1">
      <alignment vertical="center"/>
      <protection/>
    </xf>
    <xf numFmtId="0" fontId="4" fillId="4" borderId="13" xfId="0" applyNumberFormat="1" applyFont="1" applyFill="1" applyBorder="1" applyAlignment="1" applyProtection="1">
      <alignment horizontal="center" vertical="center"/>
      <protection/>
    </xf>
    <xf numFmtId="3" fontId="4" fillId="4" borderId="11" xfId="42"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vertical="center"/>
      <protection/>
    </xf>
    <xf numFmtId="37" fontId="4" fillId="4" borderId="0" xfId="0" applyNumberFormat="1" applyFont="1" applyFill="1" applyBorder="1" applyAlignment="1" applyProtection="1">
      <alignment horizontal="fill" vertical="center"/>
      <protection/>
    </xf>
    <xf numFmtId="37"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center" vertical="center"/>
      <protection locked="0"/>
    </xf>
    <xf numFmtId="37" fontId="4" fillId="4" borderId="24" xfId="0" applyNumberFormat="1" applyFont="1" applyFill="1" applyBorder="1" applyAlignment="1" applyProtection="1">
      <alignment horizontal="center" vertical="center"/>
      <protection/>
    </xf>
    <xf numFmtId="0" fontId="4" fillId="4" borderId="0" xfId="0" applyNumberFormat="1" applyFont="1" applyFill="1" applyAlignment="1" applyProtection="1">
      <alignment horizontal="center" vertical="center"/>
      <protection/>
    </xf>
    <xf numFmtId="37" fontId="4" fillId="4" borderId="20" xfId="93" applyNumberFormat="1" applyFont="1" applyFill="1" applyBorder="1" applyAlignment="1" applyProtection="1">
      <alignment horizontal="center" vertical="center"/>
      <protection/>
    </xf>
    <xf numFmtId="37" fontId="4" fillId="4" borderId="12" xfId="93" applyNumberFormat="1" applyFont="1" applyFill="1" applyBorder="1" applyAlignment="1" applyProtection="1">
      <alignment horizontal="center" vertical="center"/>
      <protection/>
    </xf>
    <xf numFmtId="3" fontId="4" fillId="26" borderId="11" xfId="0" applyNumberFormat="1" applyFont="1" applyFill="1" applyBorder="1" applyAlignment="1" applyProtection="1">
      <alignment vertical="center"/>
      <protection/>
    </xf>
    <xf numFmtId="14" fontId="4" fillId="22" borderId="10" xfId="0" applyNumberFormat="1" applyFont="1" applyFill="1" applyBorder="1" applyAlignment="1" applyProtection="1">
      <alignment vertical="center"/>
      <protection locked="0"/>
    </xf>
    <xf numFmtId="0" fontId="14" fillId="0" borderId="0" xfId="0" applyFont="1" applyAlignment="1">
      <alignment wrapText="1"/>
    </xf>
    <xf numFmtId="3" fontId="22" fillId="23" borderId="17" xfId="0" applyNumberFormat="1" applyFont="1" applyFill="1" applyBorder="1" applyAlignment="1" applyProtection="1">
      <alignment horizontal="center" vertical="center"/>
      <protection/>
    </xf>
    <xf numFmtId="3" fontId="22" fillId="23" borderId="17" xfId="0" applyNumberFormat="1" applyFont="1" applyFill="1" applyBorder="1" applyAlignment="1" applyProtection="1">
      <alignment horizontal="center"/>
      <protection/>
    </xf>
    <xf numFmtId="0" fontId="25" fillId="4" borderId="10" xfId="0" applyFont="1" applyFill="1" applyBorder="1" applyAlignment="1" applyProtection="1">
      <alignment horizontal="center"/>
      <protection/>
    </xf>
    <xf numFmtId="49" fontId="4" fillId="22" borderId="10" xfId="0" applyNumberFormat="1" applyFont="1" applyFill="1" applyBorder="1" applyAlignment="1" applyProtection="1">
      <alignment vertical="center"/>
      <protection locked="0"/>
    </xf>
    <xf numFmtId="0" fontId="4" fillId="4" borderId="0" xfId="96" applyFont="1" applyFill="1" applyAlignment="1" applyProtection="1">
      <alignment horizontal="right" vertical="center"/>
      <protection/>
    </xf>
    <xf numFmtId="37" fontId="5" fillId="4" borderId="0" xfId="0" applyNumberFormat="1" applyFont="1" applyFill="1" applyAlignment="1" applyProtection="1">
      <alignment/>
      <protection/>
    </xf>
    <xf numFmtId="0" fontId="5" fillId="4" borderId="19" xfId="0" applyFont="1" applyFill="1" applyBorder="1" applyAlignment="1" applyProtection="1">
      <alignment vertical="center"/>
      <protection/>
    </xf>
    <xf numFmtId="37" fontId="5" fillId="4" borderId="0" xfId="0" applyNumberFormat="1" applyFont="1" applyFill="1" applyAlignment="1" applyProtection="1">
      <alignment vertical="center"/>
      <protection/>
    </xf>
    <xf numFmtId="0" fontId="25" fillId="4" borderId="10" xfId="0"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protection/>
    </xf>
    <xf numFmtId="0" fontId="5" fillId="4" borderId="16" xfId="0" applyFont="1" applyFill="1" applyBorder="1" applyAlignment="1" applyProtection="1">
      <alignment vertical="center"/>
      <protection/>
    </xf>
    <xf numFmtId="3" fontId="4" fillId="9" borderId="11" xfId="0" applyNumberFormat="1" applyFont="1" applyFill="1" applyBorder="1" applyAlignment="1" applyProtection="1">
      <alignment horizontal="right" vertical="center"/>
      <protection/>
    </xf>
    <xf numFmtId="3" fontId="5" fillId="9"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horizontal="right" vertical="center"/>
      <protection locked="0"/>
    </xf>
    <xf numFmtId="3" fontId="4" fillId="4" borderId="11" xfId="0" applyNumberFormat="1" applyFont="1" applyFill="1" applyBorder="1" applyAlignment="1" applyProtection="1">
      <alignment horizontal="right" vertical="center"/>
      <protection/>
    </xf>
    <xf numFmtId="3" fontId="4"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25" fillId="4" borderId="10" xfId="0" applyNumberFormat="1" applyFont="1" applyFill="1" applyBorder="1" applyAlignment="1" applyProtection="1">
      <alignment horizontal="center" vertical="center"/>
      <protection/>
    </xf>
    <xf numFmtId="0" fontId="5" fillId="4" borderId="0" xfId="84" applyFont="1" applyFill="1" applyAlignment="1" applyProtection="1">
      <alignment vertical="center"/>
      <protection/>
    </xf>
    <xf numFmtId="0" fontId="49" fillId="0" borderId="0" xfId="0" applyFont="1" applyAlignment="1" applyProtection="1">
      <alignment vertical="center"/>
      <protection/>
    </xf>
    <xf numFmtId="37" fontId="4" fillId="4" borderId="16" xfId="0" applyNumberFormat="1"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horizontal="centerContinuous"/>
    </xf>
    <xf numFmtId="37" fontId="4" fillId="4" borderId="17" xfId="84" applyNumberFormat="1" applyFont="1" applyFill="1" applyBorder="1" applyAlignment="1" applyProtection="1">
      <alignment horizontal="center"/>
      <protection/>
    </xf>
    <xf numFmtId="37" fontId="4" fillId="4" borderId="12" xfId="84" applyNumberFormat="1" applyFont="1" applyFill="1" applyBorder="1" applyAlignment="1" applyProtection="1">
      <alignment horizontal="center"/>
      <protection/>
    </xf>
    <xf numFmtId="0" fontId="49" fillId="0" borderId="0" xfId="0" applyFont="1" applyAlignment="1">
      <alignment vertical="center"/>
    </xf>
    <xf numFmtId="0" fontId="0" fillId="0" borderId="0" xfId="84">
      <alignment/>
      <protection/>
    </xf>
    <xf numFmtId="0" fontId="4" fillId="4" borderId="0" xfId="84" applyFont="1" applyFill="1" applyBorder="1" applyAlignment="1" applyProtection="1">
      <alignment vertical="center"/>
      <protection/>
    </xf>
    <xf numFmtId="0" fontId="4" fillId="4" borderId="28" xfId="84" applyFont="1" applyFill="1" applyBorder="1" applyAlignment="1" applyProtection="1">
      <alignment vertical="center"/>
      <protection/>
    </xf>
    <xf numFmtId="0" fontId="4" fillId="4" borderId="22" xfId="84" applyFont="1" applyFill="1" applyBorder="1" applyAlignment="1" applyProtection="1">
      <alignment vertical="center"/>
      <protection/>
    </xf>
    <xf numFmtId="189" fontId="17" fillId="4" borderId="28" xfId="84" applyNumberFormat="1" applyFont="1" applyFill="1" applyBorder="1" applyAlignment="1" applyProtection="1">
      <alignment horizontal="center" vertical="center"/>
      <protection/>
    </xf>
    <xf numFmtId="0" fontId="17" fillId="4" borderId="0" xfId="84" applyFont="1" applyFill="1" applyBorder="1" applyAlignment="1" applyProtection="1">
      <alignment horizontal="left" vertical="center"/>
      <protection/>
    </xf>
    <xf numFmtId="0" fontId="17" fillId="4" borderId="22" xfId="84" applyFont="1" applyFill="1" applyBorder="1" applyAlignment="1" applyProtection="1">
      <alignment vertical="center"/>
      <protection/>
    </xf>
    <xf numFmtId="0" fontId="17" fillId="4" borderId="0" xfId="84" applyFont="1" applyFill="1" applyBorder="1" applyAlignment="1" applyProtection="1">
      <alignment vertical="center"/>
      <protection/>
    </xf>
    <xf numFmtId="189" fontId="17" fillId="4" borderId="13" xfId="84" applyNumberFormat="1" applyFont="1" applyFill="1" applyBorder="1" applyAlignment="1" applyProtection="1">
      <alignment horizontal="center" vertical="center"/>
      <protection/>
    </xf>
    <xf numFmtId="189" fontId="17" fillId="4" borderId="28" xfId="84" applyNumberFormat="1" applyFont="1" applyFill="1" applyBorder="1" applyAlignment="1" applyProtection="1">
      <alignment vertical="center"/>
      <protection/>
    </xf>
    <xf numFmtId="0" fontId="44" fillId="26" borderId="16" xfId="84" applyFont="1" applyFill="1" applyBorder="1" applyAlignment="1" applyProtection="1">
      <alignment vertical="center"/>
      <protection/>
    </xf>
    <xf numFmtId="0" fontId="17" fillId="26" borderId="19" xfId="84" applyFont="1" applyFill="1" applyBorder="1" applyAlignment="1" applyProtection="1">
      <alignment vertical="center"/>
      <protection/>
    </xf>
    <xf numFmtId="0" fontId="4" fillId="26" borderId="19" xfId="84" applyFont="1" applyFill="1" applyBorder="1" applyAlignment="1" applyProtection="1">
      <alignment vertical="center"/>
      <protection/>
    </xf>
    <xf numFmtId="189" fontId="44" fillId="26" borderId="13" xfId="84" applyNumberFormat="1" applyFont="1" applyFill="1" applyBorder="1" applyAlignment="1" applyProtection="1">
      <alignment horizontal="center" vertical="center"/>
      <protection/>
    </xf>
    <xf numFmtId="0" fontId="4" fillId="0" borderId="0" xfId="84" applyFont="1" applyFill="1" applyBorder="1" applyAlignment="1" applyProtection="1">
      <alignment vertical="center"/>
      <protection/>
    </xf>
    <xf numFmtId="0" fontId="17" fillId="4" borderId="28" xfId="84" applyFont="1" applyFill="1" applyBorder="1" applyAlignment="1" applyProtection="1">
      <alignment vertical="center"/>
      <protection/>
    </xf>
    <xf numFmtId="0" fontId="17" fillId="26" borderId="16" xfId="84" applyFont="1" applyFill="1" applyBorder="1" applyAlignment="1" applyProtection="1">
      <alignment vertical="center"/>
      <protection/>
    </xf>
    <xf numFmtId="0" fontId="4" fillId="0" borderId="0" xfId="84" applyFont="1">
      <alignment/>
      <protection/>
    </xf>
    <xf numFmtId="0" fontId="47" fillId="0" borderId="0" xfId="84" applyFont="1" applyAlignment="1">
      <alignment horizontal="center"/>
      <protection/>
    </xf>
    <xf numFmtId="0" fontId="4" fillId="0" borderId="0" xfId="84" applyFont="1" applyAlignment="1">
      <alignment wrapText="1"/>
      <protection/>
    </xf>
    <xf numFmtId="0" fontId="48" fillId="0" borderId="0" xfId="72" applyFont="1" applyAlignment="1" applyProtection="1">
      <alignment/>
      <protection/>
    </xf>
    <xf numFmtId="0" fontId="4" fillId="0" borderId="0" xfId="96" applyFont="1" applyAlignment="1">
      <alignment vertical="center" wrapText="1"/>
      <protection/>
    </xf>
    <xf numFmtId="0" fontId="4" fillId="0" borderId="0" xfId="96" applyFont="1" applyAlignment="1">
      <alignment vertical="center"/>
      <protection/>
    </xf>
    <xf numFmtId="1" fontId="8" fillId="4" borderId="17" xfId="0" applyNumberFormat="1" applyFont="1" applyFill="1" applyBorder="1" applyAlignment="1" applyProtection="1">
      <alignment horizontal="center" vertical="center"/>
      <protection/>
    </xf>
    <xf numFmtId="37" fontId="8" fillId="4" borderId="17" xfId="0" applyNumberFormat="1" applyFont="1" applyFill="1" applyBorder="1" applyAlignment="1" applyProtection="1">
      <alignment horizontal="center" vertical="center"/>
      <protection/>
    </xf>
    <xf numFmtId="1" fontId="8" fillId="4" borderId="21"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center" vertical="center"/>
      <protection/>
    </xf>
    <xf numFmtId="0" fontId="17" fillId="4" borderId="28" xfId="93" applyFont="1" applyFill="1" applyBorder="1" applyProtection="1">
      <alignment/>
      <protection/>
    </xf>
    <xf numFmtId="0" fontId="4" fillId="4" borderId="0" xfId="93" applyFont="1" applyFill="1" applyBorder="1" applyProtection="1">
      <alignment/>
      <protection/>
    </xf>
    <xf numFmtId="189" fontId="4" fillId="4" borderId="22" xfId="93" applyNumberFormat="1" applyFont="1" applyFill="1" applyBorder="1" applyAlignment="1" applyProtection="1">
      <alignment horizontal="center"/>
      <protection/>
    </xf>
    <xf numFmtId="0" fontId="4" fillId="4" borderId="13" xfId="93" applyFont="1" applyFill="1" applyBorder="1" applyProtection="1">
      <alignment/>
      <protection/>
    </xf>
    <xf numFmtId="0" fontId="4" fillId="4" borderId="16" xfId="93" applyFont="1" applyFill="1" applyBorder="1" applyProtection="1">
      <alignment/>
      <protection/>
    </xf>
    <xf numFmtId="189" fontId="4" fillId="26" borderId="19" xfId="93" applyNumberFormat="1" applyFont="1" applyFill="1" applyBorder="1" applyAlignment="1" applyProtection="1">
      <alignment horizontal="center"/>
      <protection/>
    </xf>
    <xf numFmtId="0" fontId="4" fillId="0" borderId="0" xfId="93" applyFont="1" applyFill="1" applyBorder="1" applyProtection="1">
      <alignment/>
      <protection/>
    </xf>
    <xf numFmtId="0" fontId="4" fillId="4" borderId="28" xfId="93" applyFont="1" applyFill="1" applyBorder="1" applyProtection="1">
      <alignment/>
      <protection/>
    </xf>
    <xf numFmtId="0" fontId="4" fillId="4" borderId="22" xfId="93" applyFont="1" applyFill="1" applyBorder="1" applyProtection="1">
      <alignment/>
      <protection/>
    </xf>
    <xf numFmtId="183" fontId="4" fillId="4" borderId="22" xfId="93" applyNumberFormat="1" applyFont="1" applyFill="1" applyBorder="1" applyAlignment="1" applyProtection="1">
      <alignment horizontal="center"/>
      <protection/>
    </xf>
    <xf numFmtId="0" fontId="4" fillId="26" borderId="28" xfId="93" applyFont="1" applyFill="1" applyBorder="1" applyProtection="1">
      <alignment/>
      <protection/>
    </xf>
    <xf numFmtId="0" fontId="4" fillId="26" borderId="0" xfId="93" applyFont="1" applyFill="1" applyBorder="1" applyProtection="1">
      <alignment/>
      <protection/>
    </xf>
    <xf numFmtId="0" fontId="4" fillId="26" borderId="13" xfId="93" applyFont="1" applyFill="1" applyBorder="1" applyProtection="1">
      <alignment/>
      <protection/>
    </xf>
    <xf numFmtId="0" fontId="4" fillId="26" borderId="16" xfId="93" applyFont="1" applyFill="1" applyBorder="1" applyProtection="1">
      <alignment/>
      <protection/>
    </xf>
    <xf numFmtId="0" fontId="4" fillId="0" borderId="0" xfId="93" applyFont="1" applyProtection="1">
      <alignment/>
      <protection/>
    </xf>
    <xf numFmtId="189" fontId="4" fillId="4" borderId="19" xfId="93" applyNumberFormat="1" applyFont="1" applyFill="1" applyBorder="1" applyAlignment="1" applyProtection="1">
      <alignment horizontal="center"/>
      <protection/>
    </xf>
    <xf numFmtId="184" fontId="4" fillId="22" borderId="22" xfId="93" applyNumberFormat="1" applyFont="1" applyFill="1" applyBorder="1" applyAlignment="1" applyProtection="1">
      <alignment horizontal="center"/>
      <protection locked="0"/>
    </xf>
    <xf numFmtId="191" fontId="4" fillId="4" borderId="10" xfId="0" applyNumberFormat="1" applyFont="1" applyFill="1" applyBorder="1" applyAlignment="1" applyProtection="1">
      <alignment vertical="center"/>
      <protection/>
    </xf>
    <xf numFmtId="0" fontId="45" fillId="4" borderId="0" xfId="0" applyFont="1" applyFill="1" applyAlignment="1">
      <alignment/>
    </xf>
    <xf numFmtId="0" fontId="45" fillId="4" borderId="29" xfId="0" applyFont="1" applyFill="1" applyBorder="1" applyAlignment="1">
      <alignment/>
    </xf>
    <xf numFmtId="0" fontId="56" fillId="0" borderId="0" xfId="0" applyFont="1" applyBorder="1" applyAlignment="1">
      <alignment/>
    </xf>
    <xf numFmtId="0" fontId="45" fillId="0" borderId="0" xfId="0" applyFont="1" applyBorder="1" applyAlignment="1">
      <alignment horizontal="centerContinuous"/>
    </xf>
    <xf numFmtId="0" fontId="45" fillId="4" borderId="29" xfId="0" applyFont="1" applyFill="1" applyBorder="1" applyAlignment="1">
      <alignment/>
    </xf>
    <xf numFmtId="0" fontId="45" fillId="4" borderId="30" xfId="0" applyFont="1" applyFill="1" applyBorder="1" applyAlignment="1">
      <alignment horizontal="centerContinuous" vertical="center"/>
    </xf>
    <xf numFmtId="189" fontId="45" fillId="4" borderId="0" xfId="0" applyNumberFormat="1" applyFont="1" applyFill="1" applyBorder="1" applyAlignment="1">
      <alignment horizontal="centerContinuous" vertical="center"/>
    </xf>
    <xf numFmtId="0" fontId="45" fillId="4" borderId="0" xfId="0" applyFont="1" applyFill="1" applyBorder="1" applyAlignment="1">
      <alignment horizontal="centerContinuous" vertical="center"/>
    </xf>
    <xf numFmtId="184" fontId="45" fillId="4" borderId="0" xfId="0" applyNumberFormat="1" applyFont="1" applyFill="1" applyBorder="1" applyAlignment="1" applyProtection="1">
      <alignment horizontal="centerContinuous" vertical="center"/>
      <protection locked="0"/>
    </xf>
    <xf numFmtId="190" fontId="45" fillId="4" borderId="0" xfId="0" applyNumberFormat="1" applyFont="1" applyFill="1" applyBorder="1" applyAlignment="1">
      <alignment horizontal="centerContinuous" vertical="center"/>
    </xf>
    <xf numFmtId="0" fontId="45" fillId="4" borderId="31" xfId="0" applyFont="1" applyFill="1" applyBorder="1" applyAlignment="1">
      <alignment horizontal="centerContinuous" vertical="center"/>
    </xf>
    <xf numFmtId="0" fontId="45" fillId="4" borderId="30" xfId="0" applyFont="1" applyFill="1" applyBorder="1" applyAlignment="1">
      <alignment horizontal="centerContinuous"/>
    </xf>
    <xf numFmtId="189" fontId="45" fillId="4" borderId="0" xfId="0" applyNumberFormat="1" applyFont="1" applyFill="1" applyBorder="1" applyAlignment="1">
      <alignment horizontal="centerContinuous"/>
    </xf>
    <xf numFmtId="0" fontId="45" fillId="4" borderId="0" xfId="0" applyFont="1" applyFill="1" applyBorder="1" applyAlignment="1">
      <alignment horizontal="centerContinuous"/>
    </xf>
    <xf numFmtId="184" fontId="45" fillId="4" borderId="0" xfId="0" applyNumberFormat="1" applyFont="1" applyFill="1" applyBorder="1" applyAlignment="1" applyProtection="1">
      <alignment horizontal="centerContinuous"/>
      <protection locked="0"/>
    </xf>
    <xf numFmtId="190" fontId="45" fillId="4" borderId="0" xfId="0" applyNumberFormat="1" applyFont="1" applyFill="1" applyBorder="1" applyAlignment="1">
      <alignment horizontal="centerContinuous"/>
    </xf>
    <xf numFmtId="0" fontId="45" fillId="4" borderId="31" xfId="0" applyFont="1" applyFill="1" applyBorder="1" applyAlignment="1">
      <alignment horizontal="centerContinuous"/>
    </xf>
    <xf numFmtId="0" fontId="46" fillId="24" borderId="0" xfId="0" applyFont="1" applyFill="1" applyAlignment="1">
      <alignment/>
    </xf>
    <xf numFmtId="0" fontId="46" fillId="4" borderId="0" xfId="0" applyFont="1" applyFill="1" applyAlignment="1">
      <alignment/>
    </xf>
    <xf numFmtId="0" fontId="45" fillId="24" borderId="0" xfId="0" applyFont="1" applyFill="1" applyAlignment="1">
      <alignment horizontal="center" wrapText="1"/>
    </xf>
    <xf numFmtId="0" fontId="46" fillId="4" borderId="0" xfId="0" applyFont="1" applyFill="1" applyAlignment="1">
      <alignment horizontal="center"/>
    </xf>
    <xf numFmtId="0" fontId="46" fillId="4" borderId="32" xfId="0" applyFont="1" applyFill="1" applyBorder="1" applyAlignment="1">
      <alignment/>
    </xf>
    <xf numFmtId="0" fontId="46" fillId="4" borderId="33" xfId="0" applyFont="1" applyFill="1" applyBorder="1" applyAlignment="1">
      <alignment/>
    </xf>
    <xf numFmtId="189" fontId="46" fillId="4" borderId="34" xfId="0" applyNumberFormat="1" applyFont="1" applyFill="1" applyBorder="1" applyAlignment="1">
      <alignment/>
    </xf>
    <xf numFmtId="0" fontId="46" fillId="4" borderId="0" xfId="0" applyFont="1" applyFill="1" applyBorder="1" applyAlignment="1">
      <alignment/>
    </xf>
    <xf numFmtId="189" fontId="46" fillId="4" borderId="16" xfId="0" applyNumberFormat="1" applyFont="1" applyFill="1" applyBorder="1" applyAlignment="1">
      <alignment horizontal="center"/>
    </xf>
    <xf numFmtId="0" fontId="46" fillId="4" borderId="31" xfId="0" applyFont="1" applyFill="1" applyBorder="1" applyAlignment="1">
      <alignment/>
    </xf>
    <xf numFmtId="0" fontId="46" fillId="4" borderId="35" xfId="0" applyFont="1" applyFill="1" applyBorder="1" applyAlignment="1">
      <alignment/>
    </xf>
    <xf numFmtId="0" fontId="46" fillId="4" borderId="36" xfId="0" applyFont="1" applyFill="1" applyBorder="1" applyAlignment="1">
      <alignment/>
    </xf>
    <xf numFmtId="0" fontId="46" fillId="4" borderId="37" xfId="0" applyFont="1" applyFill="1" applyBorder="1" applyAlignment="1">
      <alignment/>
    </xf>
    <xf numFmtId="189" fontId="46" fillId="4" borderId="0" xfId="0" applyNumberFormat="1" applyFont="1" applyFill="1" applyAlignment="1">
      <alignment/>
    </xf>
    <xf numFmtId="0" fontId="46" fillId="4" borderId="29" xfId="0" applyFont="1" applyFill="1" applyBorder="1" applyAlignment="1">
      <alignment/>
    </xf>
    <xf numFmtId="0" fontId="46" fillId="4" borderId="30" xfId="0" applyFont="1" applyFill="1" applyBorder="1" applyAlignment="1">
      <alignment/>
    </xf>
    <xf numFmtId="189" fontId="46" fillId="22" borderId="34" xfId="0" applyNumberFormat="1" applyFont="1" applyFill="1" applyBorder="1" applyAlignment="1" applyProtection="1">
      <alignment horizontal="center"/>
      <protection locked="0"/>
    </xf>
    <xf numFmtId="184" fontId="46" fillId="4" borderId="0" xfId="0" applyNumberFormat="1" applyFont="1" applyFill="1" applyBorder="1" applyAlignment="1">
      <alignment horizontal="center"/>
    </xf>
    <xf numFmtId="189" fontId="46" fillId="0" borderId="0" xfId="0" applyNumberFormat="1" applyFont="1" applyAlignment="1">
      <alignment/>
    </xf>
    <xf numFmtId="0" fontId="46" fillId="24" borderId="0" xfId="0" applyFont="1" applyFill="1" applyBorder="1" applyAlignment="1">
      <alignment/>
    </xf>
    <xf numFmtId="0" fontId="46" fillId="4" borderId="38" xfId="0" applyFont="1" applyFill="1" applyBorder="1" applyAlignment="1">
      <alignment/>
    </xf>
    <xf numFmtId="0" fontId="46" fillId="4" borderId="24" xfId="0" applyFont="1" applyFill="1" applyBorder="1" applyAlignment="1">
      <alignment/>
    </xf>
    <xf numFmtId="0" fontId="46" fillId="4" borderId="39" xfId="0" applyFont="1" applyFill="1" applyBorder="1" applyAlignment="1">
      <alignment/>
    </xf>
    <xf numFmtId="5" fontId="46" fillId="4" borderId="36" xfId="0" applyNumberFormat="1" applyFont="1" applyFill="1" applyBorder="1" applyAlignment="1">
      <alignment horizontal="center"/>
    </xf>
    <xf numFmtId="0" fontId="46" fillId="4" borderId="36" xfId="0" applyFont="1" applyFill="1" applyBorder="1" applyAlignment="1">
      <alignment horizontal="center"/>
    </xf>
    <xf numFmtId="184" fontId="46" fillId="4" borderId="36" xfId="0" applyNumberFormat="1" applyFont="1" applyFill="1" applyBorder="1" applyAlignment="1">
      <alignment horizontal="center"/>
    </xf>
    <xf numFmtId="190" fontId="46" fillId="4" borderId="36" xfId="0" applyNumberFormat="1" applyFont="1" applyFill="1" applyBorder="1" applyAlignment="1">
      <alignment horizontal="center"/>
    </xf>
    <xf numFmtId="0" fontId="46" fillId="4" borderId="0" xfId="0" applyFont="1" applyFill="1" applyAlignment="1">
      <alignment horizontal="center" wrapText="1"/>
    </xf>
    <xf numFmtId="0" fontId="46" fillId="4" borderId="32" xfId="0" applyFont="1" applyFill="1" applyBorder="1" applyAlignment="1">
      <alignment/>
    </xf>
    <xf numFmtId="0" fontId="46" fillId="4" borderId="33" xfId="0" applyFont="1" applyFill="1" applyBorder="1" applyAlignment="1">
      <alignment/>
    </xf>
    <xf numFmtId="0" fontId="46" fillId="4" borderId="30" xfId="0" applyFont="1" applyFill="1" applyBorder="1" applyAlignment="1">
      <alignment/>
    </xf>
    <xf numFmtId="0" fontId="46" fillId="4" borderId="31" xfId="0" applyFont="1" applyFill="1" applyBorder="1" applyAlignment="1">
      <alignment/>
    </xf>
    <xf numFmtId="0" fontId="46" fillId="4" borderId="38" xfId="0" applyFont="1" applyFill="1" applyBorder="1" applyAlignment="1">
      <alignment/>
    </xf>
    <xf numFmtId="0" fontId="46" fillId="4" borderId="24" xfId="0" applyFont="1" applyFill="1" applyBorder="1" applyAlignment="1">
      <alignment/>
    </xf>
    <xf numFmtId="0" fontId="46" fillId="4" borderId="39" xfId="0" applyFont="1" applyFill="1" applyBorder="1" applyAlignment="1">
      <alignment/>
    </xf>
    <xf numFmtId="183" fontId="46" fillId="4" borderId="0" xfId="0" applyNumberFormat="1" applyFont="1" applyFill="1" applyBorder="1" applyAlignment="1">
      <alignment horizontal="center"/>
    </xf>
    <xf numFmtId="0" fontId="46" fillId="4" borderId="35" xfId="0" applyFont="1" applyFill="1" applyBorder="1" applyAlignment="1">
      <alignment/>
    </xf>
    <xf numFmtId="5" fontId="46" fillId="4" borderId="0" xfId="0" applyNumberFormat="1" applyFont="1" applyFill="1" applyBorder="1" applyAlignment="1">
      <alignment horizontal="center"/>
    </xf>
    <xf numFmtId="0" fontId="46" fillId="24" borderId="0" xfId="0" applyFont="1" applyFill="1" applyAlignment="1">
      <alignment/>
    </xf>
    <xf numFmtId="184" fontId="46" fillId="22" borderId="16" xfId="0" applyNumberFormat="1" applyFont="1" applyFill="1" applyBorder="1" applyAlignment="1" applyProtection="1">
      <alignment horizontal="center"/>
      <protection locked="0"/>
    </xf>
    <xf numFmtId="190" fontId="46" fillId="4" borderId="0" xfId="0" applyNumberFormat="1" applyFont="1" applyFill="1" applyBorder="1" applyAlignment="1">
      <alignment/>
    </xf>
    <xf numFmtId="189" fontId="46" fillId="4" borderId="36" xfId="0" applyNumberFormat="1" applyFont="1" applyFill="1" applyBorder="1" applyAlignment="1">
      <alignment horizontal="center"/>
    </xf>
    <xf numFmtId="184" fontId="46" fillId="4" borderId="36" xfId="0" applyNumberFormat="1" applyFont="1" applyFill="1" applyBorder="1" applyAlignment="1" applyProtection="1">
      <alignment horizontal="center"/>
      <protection locked="0"/>
    </xf>
    <xf numFmtId="190" fontId="46" fillId="4" borderId="36" xfId="0" applyNumberFormat="1" applyFont="1" applyFill="1" applyBorder="1" applyAlignment="1">
      <alignment/>
    </xf>
    <xf numFmtId="184" fontId="46" fillId="4" borderId="0" xfId="0" applyNumberFormat="1" applyFont="1" applyFill="1" applyBorder="1" applyAlignment="1" applyProtection="1">
      <alignment horizontal="center"/>
      <protection locked="0"/>
    </xf>
    <xf numFmtId="189" fontId="46" fillId="4" borderId="32" xfId="0" applyNumberFormat="1" applyFont="1" applyFill="1" applyBorder="1" applyAlignment="1">
      <alignment horizontal="center"/>
    </xf>
    <xf numFmtId="0" fontId="46" fillId="4" borderId="32" xfId="0" applyFont="1" applyFill="1" applyBorder="1" applyAlignment="1">
      <alignment horizontal="center"/>
    </xf>
    <xf numFmtId="184" fontId="46" fillId="4" borderId="32" xfId="0" applyNumberFormat="1" applyFont="1" applyFill="1" applyBorder="1" applyAlignment="1" applyProtection="1">
      <alignment horizontal="center"/>
      <protection locked="0"/>
    </xf>
    <xf numFmtId="190" fontId="46" fillId="4" borderId="32" xfId="0" applyNumberFormat="1" applyFont="1" applyFill="1" applyBorder="1" applyAlignment="1">
      <alignment/>
    </xf>
    <xf numFmtId="189" fontId="46" fillId="4" borderId="0" xfId="0" applyNumberFormat="1" applyFont="1" applyFill="1" applyBorder="1" applyAlignment="1" applyProtection="1">
      <alignment horizontal="center"/>
      <protection locked="0"/>
    </xf>
    <xf numFmtId="0" fontId="46" fillId="18" borderId="0" xfId="0" applyFont="1" applyFill="1" applyAlignment="1">
      <alignment/>
    </xf>
    <xf numFmtId="189" fontId="4" fillId="26" borderId="22" xfId="93" applyNumberFormat="1" applyFont="1" applyFill="1" applyBorder="1" applyAlignment="1" applyProtection="1">
      <alignment horizontal="center"/>
      <protection/>
    </xf>
    <xf numFmtId="37" fontId="4" fillId="9" borderId="12" xfId="0" applyNumberFormat="1" applyFont="1" applyFill="1" applyBorder="1" applyAlignment="1" applyProtection="1">
      <alignment vertical="center"/>
      <protection/>
    </xf>
    <xf numFmtId="164" fontId="4" fillId="9" borderId="12" xfId="0" applyNumberFormat="1" applyFont="1" applyFill="1" applyBorder="1" applyAlignment="1" applyProtection="1">
      <alignment vertical="center"/>
      <protection/>
    </xf>
    <xf numFmtId="37" fontId="4" fillId="4" borderId="40" xfId="0" applyNumberFormat="1" applyFont="1" applyFill="1" applyBorder="1" applyAlignment="1" applyProtection="1">
      <alignment vertical="center"/>
      <protection/>
    </xf>
    <xf numFmtId="0" fontId="4" fillId="4" borderId="40" xfId="0" applyFont="1" applyFill="1" applyBorder="1" applyAlignment="1" applyProtection="1">
      <alignment vertical="center"/>
      <protection/>
    </xf>
    <xf numFmtId="0" fontId="4" fillId="4" borderId="40" xfId="0" applyFont="1" applyFill="1" applyBorder="1" applyAlignment="1" applyProtection="1">
      <alignment vertical="center"/>
      <protection locked="0"/>
    </xf>
    <xf numFmtId="37"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horizontal="fill" vertical="center"/>
      <protection/>
    </xf>
    <xf numFmtId="0" fontId="4" fillId="26" borderId="13" xfId="0" applyFont="1" applyFill="1" applyBorder="1" applyAlignment="1">
      <alignment vertical="center"/>
    </xf>
    <xf numFmtId="0" fontId="4" fillId="26" borderId="16" xfId="0" applyFont="1" applyFill="1" applyBorder="1" applyAlignment="1">
      <alignment vertical="center"/>
    </xf>
    <xf numFmtId="189" fontId="4" fillId="26" borderId="19" xfId="0" applyNumberFormat="1" applyFont="1" applyFill="1" applyBorder="1" applyAlignment="1">
      <alignment horizontal="center" vertical="center"/>
    </xf>
    <xf numFmtId="0" fontId="4" fillId="4" borderId="13" xfId="0" applyFont="1" applyFill="1" applyBorder="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fill" vertical="center"/>
      <protection locked="0"/>
    </xf>
    <xf numFmtId="189" fontId="46" fillId="22" borderId="16" xfId="0" applyNumberFormat="1" applyFont="1" applyFill="1" applyBorder="1" applyAlignment="1" applyProtection="1">
      <alignment horizontal="center"/>
      <protection locked="0"/>
    </xf>
    <xf numFmtId="0" fontId="45" fillId="4" borderId="0" xfId="0" applyFont="1" applyFill="1" applyAlignment="1">
      <alignment horizontal="center" wrapText="1"/>
    </xf>
    <xf numFmtId="0" fontId="45" fillId="4" borderId="0" xfId="0" applyFont="1" applyFill="1" applyAlignment="1">
      <alignment horizontal="center"/>
    </xf>
    <xf numFmtId="189" fontId="46" fillId="4" borderId="0" xfId="0" applyNumberFormat="1" applyFont="1" applyFill="1" applyAlignment="1">
      <alignment horizontal="center"/>
    </xf>
    <xf numFmtId="0" fontId="46" fillId="4" borderId="0" xfId="0" applyFont="1" applyFill="1" applyBorder="1" applyAlignment="1">
      <alignment/>
    </xf>
    <xf numFmtId="0" fontId="46" fillId="4" borderId="37" xfId="0" applyFont="1" applyFill="1" applyBorder="1" applyAlignment="1">
      <alignment/>
    </xf>
    <xf numFmtId="189" fontId="46" fillId="4" borderId="0" xfId="0" applyNumberFormat="1" applyFont="1" applyFill="1" applyBorder="1" applyAlignment="1">
      <alignment horizontal="center"/>
    </xf>
    <xf numFmtId="0" fontId="46" fillId="4" borderId="0" xfId="0" applyFont="1" applyFill="1" applyBorder="1" applyAlignment="1">
      <alignment horizontal="center"/>
    </xf>
    <xf numFmtId="0" fontId="46" fillId="4" borderId="24" xfId="0" applyFont="1" applyFill="1" applyBorder="1" applyAlignment="1">
      <alignment horizontal="center"/>
    </xf>
    <xf numFmtId="190" fontId="46" fillId="4" borderId="0" xfId="0" applyNumberFormat="1" applyFont="1" applyFill="1" applyBorder="1" applyAlignment="1">
      <alignment horizontal="center"/>
    </xf>
    <xf numFmtId="0" fontId="4" fillId="4" borderId="22" xfId="0" applyFont="1" applyFill="1" applyBorder="1" applyAlignment="1" applyProtection="1">
      <alignment horizontal="center" vertical="center"/>
      <protection/>
    </xf>
    <xf numFmtId="0" fontId="4" fillId="4" borderId="15"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4" borderId="28" xfId="0"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1" xfId="0" applyNumberFormat="1" applyFont="1" applyFill="1" applyBorder="1" applyAlignment="1" applyProtection="1">
      <alignment horizontal="center" vertical="center"/>
      <protection/>
    </xf>
    <xf numFmtId="1" fontId="4" fillId="4" borderId="17" xfId="0" applyNumberFormat="1" applyFont="1" applyFill="1" applyBorder="1" applyAlignment="1" applyProtection="1">
      <alignment horizontal="center"/>
      <protection/>
    </xf>
    <xf numFmtId="37" fontId="4" fillId="4" borderId="17" xfId="0" applyNumberFormat="1" applyFont="1" applyFill="1" applyBorder="1" applyAlignment="1" applyProtection="1">
      <alignment horizontal="center"/>
      <protection/>
    </xf>
    <xf numFmtId="0" fontId="17" fillId="4" borderId="28"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17" fillId="4" borderId="0" xfId="0" applyFont="1" applyFill="1" applyBorder="1" applyAlignment="1" applyProtection="1">
      <alignment vertical="center"/>
      <protection/>
    </xf>
    <xf numFmtId="189" fontId="17" fillId="4" borderId="22" xfId="0" applyNumberFormat="1" applyFont="1" applyFill="1" applyBorder="1" applyAlignment="1" applyProtection="1">
      <alignment horizontal="center" vertical="center"/>
      <protection/>
    </xf>
    <xf numFmtId="0" fontId="17" fillId="4" borderId="28" xfId="0" applyFont="1" applyFill="1" applyBorder="1" applyAlignment="1" applyProtection="1">
      <alignment horizontal="left" vertical="center"/>
      <protection/>
    </xf>
    <xf numFmtId="189" fontId="17" fillId="22" borderId="10" xfId="0" applyNumberFormat="1" applyFont="1" applyFill="1" applyBorder="1" applyAlignment="1" applyProtection="1">
      <alignment horizontal="center" vertical="center"/>
      <protection locked="0"/>
    </xf>
    <xf numFmtId="184" fontId="44" fillId="4" borderId="14" xfId="0" applyNumberFormat="1" applyFont="1" applyFill="1" applyBorder="1" applyAlignment="1" applyProtection="1">
      <alignment horizontal="center" vertical="center"/>
      <protection/>
    </xf>
    <xf numFmtId="0" fontId="44" fillId="26" borderId="28"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17" fillId="26" borderId="0" xfId="0" applyFont="1" applyFill="1" applyBorder="1" applyAlignment="1" applyProtection="1">
      <alignment vertical="center"/>
      <protection/>
    </xf>
    <xf numFmtId="189" fontId="44" fillId="26" borderId="14" xfId="0" applyNumberFormat="1" applyFont="1" applyFill="1" applyBorder="1" applyAlignment="1" applyProtection="1">
      <alignment horizontal="center" vertical="center"/>
      <protection/>
    </xf>
    <xf numFmtId="37" fontId="17" fillId="4" borderId="13" xfId="0" applyNumberFormat="1" applyFont="1" applyFill="1" applyBorder="1" applyAlignment="1" applyProtection="1">
      <alignment horizontal="left" vertical="center"/>
      <protection/>
    </xf>
    <xf numFmtId="0" fontId="50" fillId="4" borderId="16" xfId="0" applyFont="1" applyFill="1" applyBorder="1" applyAlignment="1">
      <alignment horizontal="left" vertical="center"/>
    </xf>
    <xf numFmtId="189" fontId="44" fillId="26" borderId="19"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37" fontId="4" fillId="4" borderId="22" xfId="0" applyNumberFormat="1" applyFont="1" applyFill="1" applyBorder="1" applyAlignment="1" applyProtection="1">
      <alignment horizontal="right" vertical="center"/>
      <protection/>
    </xf>
    <xf numFmtId="189" fontId="17" fillId="4" borderId="28" xfId="0" applyNumberFormat="1" applyFont="1" applyFill="1" applyBorder="1" applyAlignment="1" applyProtection="1">
      <alignment horizontal="center" vertical="center"/>
      <protection/>
    </xf>
    <xf numFmtId="0" fontId="17" fillId="4" borderId="0" xfId="0" applyFont="1" applyFill="1" applyBorder="1" applyAlignment="1" applyProtection="1">
      <alignment horizontal="left" vertical="center"/>
      <protection/>
    </xf>
    <xf numFmtId="0" fontId="17" fillId="4" borderId="22" xfId="0" applyFont="1" applyFill="1" applyBorder="1" applyAlignment="1" applyProtection="1">
      <alignment vertical="center"/>
      <protection/>
    </xf>
    <xf numFmtId="189" fontId="17" fillId="4" borderId="13" xfId="0" applyNumberFormat="1" applyFont="1" applyFill="1" applyBorder="1" applyAlignment="1" applyProtection="1">
      <alignment horizontal="center" vertical="center"/>
      <protection/>
    </xf>
    <xf numFmtId="189" fontId="17" fillId="4" borderId="28" xfId="0" applyNumberFormat="1" applyFont="1" applyFill="1" applyBorder="1" applyAlignment="1" applyProtection="1">
      <alignment vertical="center"/>
      <protection/>
    </xf>
    <xf numFmtId="189" fontId="17" fillId="26" borderId="13" xfId="0" applyNumberFormat="1" applyFont="1" applyFill="1" applyBorder="1" applyAlignment="1" applyProtection="1">
      <alignment horizontal="center" vertical="center"/>
      <protection/>
    </xf>
    <xf numFmtId="0" fontId="17" fillId="26" borderId="16" xfId="0" applyFont="1" applyFill="1" applyBorder="1" applyAlignment="1" applyProtection="1">
      <alignment vertical="center"/>
      <protection/>
    </xf>
    <xf numFmtId="0" fontId="17" fillId="26" borderId="19" xfId="0" applyFont="1" applyFill="1" applyBorder="1" applyAlignment="1" applyProtection="1">
      <alignment vertical="center"/>
      <protection/>
    </xf>
    <xf numFmtId="37" fontId="4" fillId="26" borderId="19" xfId="0" applyNumberFormat="1" applyFont="1" applyFill="1" applyBorder="1" applyAlignment="1" applyProtection="1">
      <alignment horizontal="right" vertical="center"/>
      <protection/>
    </xf>
    <xf numFmtId="184" fontId="17" fillId="4" borderId="28" xfId="0" applyNumberFormat="1" applyFont="1" applyFill="1" applyBorder="1" applyAlignment="1" applyProtection="1">
      <alignment horizontal="center" vertical="center"/>
      <protection/>
    </xf>
    <xf numFmtId="0" fontId="42" fillId="4" borderId="0"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184" fontId="17" fillId="26" borderId="13" xfId="0" applyNumberFormat="1" applyFont="1" applyFill="1" applyBorder="1" applyAlignment="1" applyProtection="1">
      <alignment horizontal="center" vertical="center"/>
      <protection/>
    </xf>
    <xf numFmtId="184" fontId="17" fillId="4" borderId="11" xfId="0" applyNumberFormat="1" applyFont="1" applyFill="1" applyBorder="1" applyAlignment="1" applyProtection="1">
      <alignment horizontal="center" vertical="center"/>
      <protection/>
    </xf>
    <xf numFmtId="184" fontId="17" fillId="26" borderId="11" xfId="0" applyNumberFormat="1" applyFont="1" applyFill="1" applyBorder="1" applyAlignment="1" applyProtection="1">
      <alignment horizontal="center" vertical="center"/>
      <protection/>
    </xf>
    <xf numFmtId="0" fontId="17" fillId="4" borderId="16" xfId="0" applyFont="1" applyFill="1" applyBorder="1" applyAlignment="1" applyProtection="1">
      <alignment horizontal="left" vertical="center"/>
      <protection/>
    </xf>
    <xf numFmtId="0" fontId="42" fillId="4" borderId="16"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0" fontId="4" fillId="4" borderId="28" xfId="0" applyFont="1" applyFill="1" applyBorder="1" applyAlignment="1" applyProtection="1">
      <alignment vertical="center"/>
      <protection/>
    </xf>
    <xf numFmtId="0" fontId="4" fillId="4" borderId="22" xfId="0" applyFont="1" applyFill="1" applyBorder="1" applyAlignment="1" applyProtection="1">
      <alignment/>
      <protection locked="0"/>
    </xf>
    <xf numFmtId="189" fontId="21" fillId="4" borderId="28" xfId="0" applyNumberFormat="1"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189" fontId="21" fillId="4" borderId="28" xfId="0" applyNumberFormat="1" applyFont="1" applyFill="1" applyBorder="1" applyAlignment="1" applyProtection="1">
      <alignment vertical="center"/>
      <protection/>
    </xf>
    <xf numFmtId="0" fontId="21" fillId="4" borderId="0" xfId="0" applyFont="1" applyFill="1" applyBorder="1" applyAlignment="1" applyProtection="1">
      <alignment vertical="center"/>
      <protection/>
    </xf>
    <xf numFmtId="189" fontId="21" fillId="4" borderId="13" xfId="0" applyNumberFormat="1" applyFont="1" applyFill="1" applyBorder="1" applyAlignment="1" applyProtection="1">
      <alignment horizontal="center" vertical="center"/>
      <protection/>
    </xf>
    <xf numFmtId="189" fontId="21" fillId="26" borderId="13" xfId="0" applyNumberFormat="1" applyFont="1" applyFill="1" applyBorder="1" applyAlignment="1" applyProtection="1">
      <alignment horizontal="center" vertical="center"/>
      <protection/>
    </xf>
    <xf numFmtId="0" fontId="4" fillId="26" borderId="19" xfId="0" applyFont="1" applyFill="1" applyBorder="1" applyAlignment="1" applyProtection="1">
      <alignment vertical="center"/>
      <protection/>
    </xf>
    <xf numFmtId="0" fontId="4" fillId="26" borderId="19" xfId="0" applyFont="1" applyFill="1" applyBorder="1" applyAlignment="1" applyProtection="1">
      <alignment/>
      <protection locked="0"/>
    </xf>
    <xf numFmtId="0" fontId="4" fillId="4" borderId="22" xfId="0" applyFont="1" applyFill="1" applyBorder="1" applyAlignment="1" applyProtection="1">
      <alignment vertical="center"/>
      <protection locked="0"/>
    </xf>
    <xf numFmtId="0" fontId="17" fillId="0" borderId="0" xfId="84" applyFont="1" applyFill="1" applyBorder="1" applyAlignment="1" applyProtection="1">
      <alignment vertical="center"/>
      <protection/>
    </xf>
    <xf numFmtId="0" fontId="44" fillId="0" borderId="0" xfId="84" applyFont="1" applyFill="1" applyBorder="1" applyAlignment="1" applyProtection="1">
      <alignment vertical="center"/>
      <protection/>
    </xf>
    <xf numFmtId="189" fontId="44" fillId="0" borderId="0" xfId="84" applyNumberFormat="1" applyFont="1" applyFill="1" applyBorder="1" applyAlignment="1" applyProtection="1">
      <alignment horizontal="center" vertical="center"/>
      <protection/>
    </xf>
    <xf numFmtId="0" fontId="4" fillId="0" borderId="0" xfId="441" applyFont="1" applyAlignment="1">
      <alignment horizontal="left" vertical="center"/>
      <protection/>
    </xf>
    <xf numFmtId="0" fontId="57" fillId="0" borderId="0" xfId="0" applyFont="1" applyAlignment="1">
      <alignment/>
    </xf>
    <xf numFmtId="1" fontId="58" fillId="0" borderId="0" xfId="441" applyNumberFormat="1" applyFont="1" applyAlignment="1">
      <alignment horizontal="left" vertical="center"/>
      <protection/>
    </xf>
    <xf numFmtId="0" fontId="59" fillId="0" borderId="0" xfId="441" applyFont="1" applyAlignment="1">
      <alignment horizontal="left" vertical="center"/>
      <protection/>
    </xf>
    <xf numFmtId="0" fontId="60" fillId="0" borderId="0" xfId="441" applyFont="1">
      <alignment/>
      <protection/>
    </xf>
    <xf numFmtId="0" fontId="58" fillId="0" borderId="0" xfId="441" applyNumberFormat="1" applyFont="1" applyAlignment="1">
      <alignment horizontal="left" vertical="center"/>
      <protection/>
    </xf>
    <xf numFmtId="185" fontId="58" fillId="0" borderId="0" xfId="441" applyNumberFormat="1" applyFont="1" applyAlignment="1">
      <alignment horizontal="left" vertical="center"/>
      <protection/>
    </xf>
    <xf numFmtId="0" fontId="49" fillId="0" borderId="0" xfId="0" applyFont="1" applyAlignment="1" applyProtection="1">
      <alignment/>
      <protection locked="0"/>
    </xf>
    <xf numFmtId="192" fontId="4" fillId="22" borderId="10" xfId="0" applyNumberFormat="1" applyFont="1" applyFill="1" applyBorder="1" applyAlignment="1" applyProtection="1">
      <alignment vertical="center"/>
      <protection locked="0"/>
    </xf>
    <xf numFmtId="192" fontId="4" fillId="22" borderId="10" xfId="0" applyNumberFormat="1" applyFont="1" applyFill="1" applyBorder="1" applyAlignment="1" applyProtection="1">
      <alignment vertical="center"/>
      <protection locked="0"/>
    </xf>
    <xf numFmtId="192" fontId="4" fillId="4" borderId="0" xfId="0" applyNumberFormat="1" applyFont="1" applyFill="1" applyAlignment="1">
      <alignment horizontal="center" vertical="center"/>
    </xf>
    <xf numFmtId="0" fontId="4" fillId="0" borderId="0" xfId="459" applyFont="1" applyAlignment="1">
      <alignment vertical="center" wrapText="1"/>
      <protection/>
    </xf>
    <xf numFmtId="0" fontId="4" fillId="0" borderId="0" xfId="78" applyFont="1" applyAlignment="1">
      <alignment vertical="center" wrapText="1"/>
      <protection/>
    </xf>
    <xf numFmtId="0" fontId="4" fillId="4" borderId="0" xfId="0" applyFont="1" applyFill="1" applyAlignment="1" applyProtection="1">
      <alignment vertical="center"/>
      <protection locked="0"/>
    </xf>
    <xf numFmtId="10" fontId="4" fillId="22" borderId="10" xfId="0" applyNumberFormat="1" applyFont="1" applyFill="1" applyBorder="1" applyAlignment="1" applyProtection="1">
      <alignment vertical="center"/>
      <protection locked="0"/>
    </xf>
    <xf numFmtId="37" fontId="4" fillId="4" borderId="20" xfId="0" applyNumberFormat="1" applyFont="1" applyFill="1" applyBorder="1" applyAlignment="1" applyProtection="1">
      <alignment horizontal="left" vertical="center"/>
      <protection/>
    </xf>
    <xf numFmtId="189" fontId="17" fillId="26" borderId="13" xfId="84" applyNumberFormat="1" applyFont="1" applyFill="1" applyBorder="1" applyAlignment="1" applyProtection="1">
      <alignment horizontal="center" vertical="center"/>
      <protection/>
    </xf>
    <xf numFmtId="0" fontId="4" fillId="26" borderId="19" xfId="0" applyFont="1" applyFill="1" applyBorder="1" applyAlignment="1" applyProtection="1">
      <alignment vertical="center"/>
      <protection locked="0"/>
    </xf>
    <xf numFmtId="3" fontId="4" fillId="9" borderId="23" xfId="0" applyNumberFormat="1" applyFont="1" applyFill="1" applyBorder="1" applyAlignment="1" applyProtection="1">
      <alignment vertical="center"/>
      <protection/>
    </xf>
    <xf numFmtId="0" fontId="4" fillId="0" borderId="0" xfId="119" applyFont="1" applyAlignment="1">
      <alignment vertical="center" wrapText="1"/>
      <protection/>
    </xf>
    <xf numFmtId="0" fontId="4" fillId="0" borderId="0" xfId="129" applyFont="1" applyAlignment="1">
      <alignment vertical="center"/>
      <protection/>
    </xf>
    <xf numFmtId="0" fontId="4" fillId="0" borderId="0" xfId="0" applyNumberFormat="1" applyFont="1" applyAlignment="1">
      <alignment vertical="center"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4" borderId="0" xfId="0" applyNumberFormat="1" applyFont="1" applyFill="1" applyAlignment="1" applyProtection="1">
      <alignment horizontal="center" vertical="center" wrapText="1"/>
      <protection/>
    </xf>
    <xf numFmtId="0" fontId="0" fillId="4" borderId="0" xfId="0" applyFill="1" applyBorder="1" applyAlignment="1">
      <alignment horizontal="center" vertical="center" wrapText="1"/>
    </xf>
    <xf numFmtId="37" fontId="4" fillId="24" borderId="0" xfId="0" applyNumberFormat="1" applyFont="1" applyFill="1" applyAlignment="1" applyProtection="1">
      <alignment horizontal="center" vertical="center" wrapText="1"/>
      <protection/>
    </xf>
    <xf numFmtId="0" fontId="0" fillId="24" borderId="16" xfId="0" applyFill="1" applyBorder="1" applyAlignment="1">
      <alignment horizontal="center" vertical="center" wrapText="1"/>
    </xf>
    <xf numFmtId="37" fontId="18" fillId="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25" fillId="4" borderId="0" xfId="0" applyNumberFormat="1" applyFont="1" applyFill="1" applyAlignment="1" applyProtection="1">
      <alignment horizontal="center" vertical="center"/>
      <protection/>
    </xf>
    <xf numFmtId="0" fontId="29" fillId="0" borderId="0" xfId="0" applyFont="1" applyAlignment="1">
      <alignment horizontal="center" vertical="center"/>
    </xf>
    <xf numFmtId="0" fontId="5"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4" fillId="24" borderId="17"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22" fillId="4" borderId="0" xfId="0" applyFont="1" applyFill="1" applyBorder="1" applyAlignment="1">
      <alignment vertical="center"/>
    </xf>
    <xf numFmtId="0" fontId="24" fillId="0" borderId="0" xfId="0" applyFont="1" applyAlignment="1">
      <alignment vertical="center"/>
    </xf>
    <xf numFmtId="0" fontId="4" fillId="0" borderId="0" xfId="440" applyFont="1" applyAlignment="1">
      <alignment horizontal="left" vertical="center" wrapText="1"/>
      <protection/>
    </xf>
    <xf numFmtId="0" fontId="11" fillId="0" borderId="0" xfId="440" applyAlignment="1">
      <alignment horizontal="left" vertical="center" wrapText="1"/>
      <protection/>
    </xf>
    <xf numFmtId="0" fontId="18" fillId="0" borderId="0" xfId="440" applyFont="1" applyAlignment="1">
      <alignment horizontal="left" vertical="center"/>
      <protection/>
    </xf>
    <xf numFmtId="0" fontId="18" fillId="4" borderId="21" xfId="93" applyFont="1" applyFill="1" applyBorder="1" applyAlignment="1" applyProtection="1">
      <alignment horizontal="center"/>
      <protection/>
    </xf>
    <xf numFmtId="0" fontId="18" fillId="4" borderId="24" xfId="93" applyFont="1" applyFill="1" applyBorder="1" applyAlignment="1" applyProtection="1">
      <alignment horizontal="center"/>
      <protection/>
    </xf>
    <xf numFmtId="0" fontId="18" fillId="4" borderId="15" xfId="93" applyFont="1" applyFill="1" applyBorder="1" applyAlignment="1" applyProtection="1">
      <alignment horizontal="center"/>
      <protection/>
    </xf>
    <xf numFmtId="37" fontId="4" fillId="4" borderId="16" xfId="0" applyNumberFormat="1" applyFont="1" applyFill="1" applyBorder="1" applyAlignment="1" applyProtection="1">
      <alignment horizontal="center" vertical="center"/>
      <protection locked="0"/>
    </xf>
    <xf numFmtId="0" fontId="0" fillId="0" borderId="16" xfId="0" applyBorder="1" applyAlignment="1" applyProtection="1">
      <alignment vertical="center"/>
      <protection locked="0"/>
    </xf>
    <xf numFmtId="37" fontId="4" fillId="4" borderId="0" xfId="0" applyNumberFormat="1" applyFont="1" applyFill="1" applyAlignment="1" applyProtection="1">
      <alignment horizontal="center" vertical="center"/>
      <protection/>
    </xf>
    <xf numFmtId="0" fontId="0" fillId="0" borderId="24" xfId="0" applyBorder="1" applyAlignment="1">
      <alignment horizontal="center"/>
    </xf>
    <xf numFmtId="0" fontId="0" fillId="0" borderId="15" xfId="0" applyBorder="1" applyAlignment="1">
      <alignment horizontal="center"/>
    </xf>
    <xf numFmtId="37" fontId="5" fillId="4" borderId="0" xfId="0" applyNumberFormat="1" applyFont="1" applyFill="1" applyAlignment="1" applyProtection="1">
      <alignment horizontal="center" vertical="center"/>
      <protection/>
    </xf>
    <xf numFmtId="37" fontId="4" fillId="4" borderId="17" xfId="0" applyNumberFormat="1" applyFont="1" applyFill="1" applyBorder="1" applyAlignment="1" applyProtection="1">
      <alignment horizontal="center" vertical="center" wrapText="1"/>
      <protection/>
    </xf>
    <xf numFmtId="37" fontId="4" fillId="0" borderId="0" xfId="0" applyNumberFormat="1" applyFont="1" applyAlignment="1" applyProtection="1">
      <alignment horizontal="center" vertical="center"/>
      <protection locked="0"/>
    </xf>
    <xf numFmtId="0" fontId="1" fillId="0" borderId="0" xfId="0" applyFont="1" applyAlignment="1">
      <alignment horizontal="center" vertical="center"/>
    </xf>
    <xf numFmtId="0" fontId="0" fillId="0" borderId="0" xfId="0" applyAlignment="1">
      <alignment horizontal="center" vertical="center"/>
    </xf>
    <xf numFmtId="0" fontId="17" fillId="24" borderId="24" xfId="0"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fill" vertical="center"/>
      <protection/>
    </xf>
    <xf numFmtId="0" fontId="0" fillId="0" borderId="14" xfId="0" applyBorder="1" applyAlignment="1">
      <alignment vertical="center"/>
    </xf>
    <xf numFmtId="0" fontId="0" fillId="0" borderId="0" xfId="0" applyAlignment="1">
      <alignment vertical="center"/>
    </xf>
    <xf numFmtId="0" fontId="7" fillId="4" borderId="0" xfId="0"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4" fillId="4" borderId="21" xfId="0" applyNumberFormat="1" applyFont="1" applyFill="1"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protection/>
    </xf>
    <xf numFmtId="37" fontId="4" fillId="4" borderId="18"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4" fillId="4" borderId="13"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42" fillId="4" borderId="21" xfId="84" applyFont="1" applyFill="1" applyBorder="1" applyAlignment="1" applyProtection="1">
      <alignment horizontal="center" vertical="center"/>
      <protection/>
    </xf>
    <xf numFmtId="0" fontId="43" fillId="0" borderId="24" xfId="84" applyFont="1" applyBorder="1" applyAlignment="1" applyProtection="1">
      <alignment horizontal="center" vertical="center"/>
      <protection/>
    </xf>
    <xf numFmtId="0" fontId="0" fillId="0" borderId="15" xfId="84" applyBorder="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4" fillId="4" borderId="24" xfId="96" applyNumberFormat="1" applyFont="1" applyFill="1" applyBorder="1" applyAlignment="1" applyProtection="1">
      <alignment horizontal="right" vertical="center"/>
      <protection/>
    </xf>
    <xf numFmtId="0" fontId="0" fillId="0" borderId="15" xfId="96" applyBorder="1" applyAlignment="1">
      <alignment horizontal="right" vertical="center"/>
      <protection/>
    </xf>
    <xf numFmtId="0" fontId="4" fillId="4" borderId="0" xfId="96" applyFont="1" applyFill="1" applyAlignment="1" applyProtection="1">
      <alignment horizontal="right" vertical="center"/>
      <protection/>
    </xf>
    <xf numFmtId="0" fontId="4" fillId="0" borderId="22" xfId="96" applyFont="1" applyBorder="1" applyAlignment="1">
      <alignment horizontal="right" vertical="center"/>
      <protection/>
    </xf>
    <xf numFmtId="184" fontId="42" fillId="4" borderId="21" xfId="0" applyNumberFormat="1" applyFont="1" applyFill="1" applyBorder="1" applyAlignment="1" applyProtection="1">
      <alignment horizontal="center"/>
      <protection/>
    </xf>
    <xf numFmtId="0" fontId="29" fillId="0" borderId="24" xfId="0" applyFont="1" applyBorder="1" applyAlignment="1">
      <alignment/>
    </xf>
    <xf numFmtId="0" fontId="29" fillId="0" borderId="15" xfId="0" applyFont="1" applyBorder="1" applyAlignment="1">
      <alignment/>
    </xf>
    <xf numFmtId="0" fontId="42" fillId="4" borderId="21" xfId="0" applyFont="1" applyFill="1" applyBorder="1" applyAlignment="1" applyProtection="1">
      <alignment horizontal="center" vertical="center"/>
      <protection/>
    </xf>
    <xf numFmtId="0" fontId="0" fillId="0" borderId="24" xfId="0" applyBorder="1" applyAlignment="1">
      <alignment vertical="center"/>
    </xf>
    <xf numFmtId="0" fontId="0" fillId="0" borderId="15" xfId="0" applyBorder="1" applyAlignment="1">
      <alignment vertical="center"/>
    </xf>
    <xf numFmtId="0" fontId="4" fillId="16" borderId="0" xfId="0" applyFont="1" applyFill="1" applyAlignment="1" applyProtection="1">
      <alignment horizontal="center" vertical="center"/>
      <protection/>
    </xf>
    <xf numFmtId="0" fontId="0" fillId="16" borderId="0" xfId="0" applyFill="1" applyAlignment="1">
      <alignment vertical="center"/>
    </xf>
    <xf numFmtId="0" fontId="0" fillId="0" borderId="24" xfId="0" applyBorder="1" applyAlignment="1">
      <alignment horizontal="center" vertical="center"/>
    </xf>
    <xf numFmtId="0" fontId="0" fillId="0" borderId="15" xfId="0" applyBorder="1" applyAlignment="1">
      <alignment/>
    </xf>
    <xf numFmtId="0" fontId="50" fillId="0" borderId="24" xfId="0" applyFont="1" applyBorder="1" applyAlignment="1">
      <alignment horizontal="center"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0" xfId="0" applyFont="1" applyFill="1"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8" fillId="0" borderId="0" xfId="0" applyFont="1" applyAlignment="1">
      <alignment horizontal="center"/>
    </xf>
    <xf numFmtId="0" fontId="13" fillId="0" borderId="0" xfId="0" applyFont="1" applyAlignment="1">
      <alignment horizontal="center" vertical="top"/>
    </xf>
    <xf numFmtId="0" fontId="14"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189" fontId="46" fillId="22" borderId="16" xfId="0" applyNumberFormat="1" applyFont="1" applyFill="1" applyBorder="1" applyAlignment="1" applyProtection="1">
      <alignment horizontal="center"/>
      <protection locked="0"/>
    </xf>
    <xf numFmtId="5" fontId="46" fillId="4" borderId="16" xfId="0" applyNumberFormat="1" applyFont="1" applyFill="1" applyBorder="1" applyAlignment="1">
      <alignment horizontal="center"/>
    </xf>
    <xf numFmtId="0" fontId="46" fillId="4" borderId="0" xfId="0" applyFont="1" applyFill="1" applyAlignment="1">
      <alignment wrapText="1"/>
    </xf>
    <xf numFmtId="0" fontId="46" fillId="0" borderId="0" xfId="0" applyFont="1" applyAlignment="1">
      <alignment wrapText="1"/>
    </xf>
    <xf numFmtId="0" fontId="45" fillId="4" borderId="32" xfId="0" applyFont="1" applyFill="1" applyBorder="1" applyAlignment="1">
      <alignment horizontal="center" vertical="center"/>
    </xf>
    <xf numFmtId="0" fontId="45" fillId="4" borderId="0" xfId="0" applyFont="1" applyFill="1" applyAlignment="1">
      <alignment horizontal="center"/>
    </xf>
    <xf numFmtId="0" fontId="45" fillId="4" borderId="0" xfId="0" applyFont="1" applyFill="1" applyAlignment="1">
      <alignment horizontal="center" wrapText="1"/>
    </xf>
    <xf numFmtId="0" fontId="46" fillId="0" borderId="0" xfId="0" applyFont="1" applyAlignment="1">
      <alignment horizontal="center" wrapText="1"/>
    </xf>
    <xf numFmtId="0" fontId="45" fillId="4" borderId="0" xfId="0" applyFont="1" applyFill="1" applyAlignment="1">
      <alignment horizontal="center" vertical="center"/>
    </xf>
    <xf numFmtId="0" fontId="45" fillId="0" borderId="0" xfId="0" applyFont="1" applyAlignment="1">
      <alignment horizontal="center" vertical="center"/>
    </xf>
    <xf numFmtId="0" fontId="46" fillId="4" borderId="36" xfId="0" applyFont="1" applyFill="1" applyBorder="1" applyAlignment="1">
      <alignment/>
    </xf>
    <xf numFmtId="0" fontId="46" fillId="4" borderId="37" xfId="0" applyFont="1" applyFill="1" applyBorder="1" applyAlignment="1">
      <alignment/>
    </xf>
    <xf numFmtId="189" fontId="46" fillId="4" borderId="0" xfId="0" applyNumberFormat="1" applyFont="1" applyFill="1" applyAlignment="1">
      <alignment/>
    </xf>
    <xf numFmtId="189" fontId="46" fillId="4" borderId="0" xfId="0" applyNumberFormat="1" applyFont="1" applyFill="1" applyAlignment="1">
      <alignment horizontal="center"/>
    </xf>
    <xf numFmtId="189" fontId="46" fillId="22" borderId="34" xfId="0" applyNumberFormat="1" applyFont="1" applyFill="1" applyBorder="1" applyAlignment="1" applyProtection="1">
      <alignment horizontal="center"/>
      <protection locked="0"/>
    </xf>
    <xf numFmtId="0" fontId="46" fillId="4" borderId="0" xfId="0" applyFont="1" applyFill="1" applyBorder="1" applyAlignment="1">
      <alignment/>
    </xf>
    <xf numFmtId="0" fontId="46" fillId="0" borderId="0" xfId="0" applyFont="1" applyBorder="1" applyAlignment="1">
      <alignment/>
    </xf>
    <xf numFmtId="0" fontId="46" fillId="4" borderId="0" xfId="0" applyFont="1" applyFill="1" applyBorder="1" applyAlignment="1">
      <alignment wrapText="1"/>
    </xf>
    <xf numFmtId="183" fontId="46" fillId="22" borderId="16" xfId="0" applyNumberFormat="1" applyFont="1" applyFill="1" applyBorder="1" applyAlignment="1" applyProtection="1">
      <alignment horizontal="center"/>
      <protection locked="0"/>
    </xf>
    <xf numFmtId="190" fontId="46" fillId="4" borderId="0" xfId="0" applyNumberFormat="1" applyFont="1" applyFill="1" applyBorder="1" applyAlignment="1">
      <alignment horizontal="center"/>
    </xf>
    <xf numFmtId="190" fontId="46" fillId="0" borderId="31" xfId="0" applyNumberFormat="1" applyFont="1" applyBorder="1" applyAlignment="1">
      <alignment horizontal="center"/>
    </xf>
    <xf numFmtId="0" fontId="46" fillId="4" borderId="0" xfId="0" applyFont="1" applyFill="1" applyBorder="1" applyAlignment="1">
      <alignment horizontal="center"/>
    </xf>
    <xf numFmtId="189" fontId="46" fillId="4" borderId="0" xfId="0" applyNumberFormat="1" applyFont="1" applyFill="1" applyBorder="1" applyAlignment="1">
      <alignment horizontal="center"/>
    </xf>
    <xf numFmtId="0" fontId="46" fillId="4" borderId="24" xfId="0" applyFont="1" applyFill="1" applyBorder="1" applyAlignment="1">
      <alignment horizontal="center"/>
    </xf>
    <xf numFmtId="0" fontId="46" fillId="4" borderId="30" xfId="0" applyFont="1" applyFill="1" applyBorder="1" applyAlignment="1">
      <alignment vertical="top" wrapText="1"/>
    </xf>
    <xf numFmtId="0" fontId="46" fillId="0" borderId="0" xfId="0" applyFont="1" applyAlignment="1">
      <alignment vertical="top" wrapText="1"/>
    </xf>
    <xf numFmtId="0" fontId="46" fillId="0" borderId="31" xfId="0" applyFont="1" applyBorder="1" applyAlignment="1">
      <alignment vertical="top" wrapText="1"/>
    </xf>
    <xf numFmtId="0" fontId="46" fillId="0" borderId="31" xfId="0" applyFont="1" applyBorder="1" applyAlignment="1">
      <alignment horizontal="center"/>
    </xf>
    <xf numFmtId="0" fontId="46" fillId="0" borderId="32" xfId="0" applyFont="1" applyBorder="1" applyAlignment="1">
      <alignment horizontal="center" vertical="center"/>
    </xf>
    <xf numFmtId="0" fontId="45" fillId="4" borderId="0" xfId="0" applyFont="1" applyFill="1" applyBorder="1" applyAlignment="1">
      <alignment horizontal="center" wrapText="1"/>
    </xf>
    <xf numFmtId="0" fontId="45" fillId="0" borderId="0" xfId="0" applyFont="1" applyAlignment="1">
      <alignment horizontal="center" wrapText="1"/>
    </xf>
  </cellXfs>
  <cellStyles count="4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2"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xfId="64"/>
    <cellStyle name="Hyperlink 3 2" xfId="65"/>
    <cellStyle name="Hyperlink 3 3" xfId="66"/>
    <cellStyle name="Hyperlink 3 4" xfId="67"/>
    <cellStyle name="Hyperlink 4" xfId="68"/>
    <cellStyle name="Hyperlink 4 2" xfId="69"/>
    <cellStyle name="Hyperlink 5" xfId="70"/>
    <cellStyle name="Hyperlink 6" xfId="71"/>
    <cellStyle name="Hyperlink 7" xfId="72"/>
    <cellStyle name="Hyperlink 7 2" xfId="73"/>
    <cellStyle name="Input" xfId="74"/>
    <cellStyle name="Linked Cell" xfId="75"/>
    <cellStyle name="Neutral" xfId="76"/>
    <cellStyle name="Normal 10" xfId="77"/>
    <cellStyle name="Normal 10 2" xfId="78"/>
    <cellStyle name="Normal 10 2 2" xfId="79"/>
    <cellStyle name="Normal 10 2 2 2" xfId="80"/>
    <cellStyle name="Normal 10 2 2 3" xfId="81"/>
    <cellStyle name="Normal 10 3" xfId="82"/>
    <cellStyle name="Normal 10 4" xfId="83"/>
    <cellStyle name="Normal 10 5" xfId="84"/>
    <cellStyle name="Normal 10 6" xfId="85"/>
    <cellStyle name="Normal 11" xfId="86"/>
    <cellStyle name="Normal 11 2" xfId="87"/>
    <cellStyle name="Normal 11 2 2" xfId="88"/>
    <cellStyle name="Normal 11 3" xfId="89"/>
    <cellStyle name="Normal 11 4" xfId="90"/>
    <cellStyle name="Normal 11 5" xfId="91"/>
    <cellStyle name="Normal 12" xfId="92"/>
    <cellStyle name="Normal 12 10" xfId="93"/>
    <cellStyle name="Normal 12 11" xfId="94"/>
    <cellStyle name="Normal 12 12" xfId="95"/>
    <cellStyle name="Normal 12 2" xfId="96"/>
    <cellStyle name="Normal 12 2 2" xfId="97"/>
    <cellStyle name="Normal 12 3" xfId="98"/>
    <cellStyle name="Normal 12 4" xfId="99"/>
    <cellStyle name="Normal 12 5" xfId="100"/>
    <cellStyle name="Normal 12 6" xfId="101"/>
    <cellStyle name="Normal 12 7" xfId="102"/>
    <cellStyle name="Normal 12 8" xfId="103"/>
    <cellStyle name="Normal 12 9" xfId="104"/>
    <cellStyle name="Normal 13" xfId="105"/>
    <cellStyle name="Normal 13 10" xfId="106"/>
    <cellStyle name="Normal 13 11" xfId="107"/>
    <cellStyle name="Normal 13 12" xfId="108"/>
    <cellStyle name="Normal 13 2" xfId="109"/>
    <cellStyle name="Normal 13 2 2" xfId="110"/>
    <cellStyle name="Normal 13 3" xfId="111"/>
    <cellStyle name="Normal 13 4" xfId="112"/>
    <cellStyle name="Normal 13 5" xfId="113"/>
    <cellStyle name="Normal 13 6" xfId="114"/>
    <cellStyle name="Normal 13 7" xfId="115"/>
    <cellStyle name="Normal 13 8" xfId="116"/>
    <cellStyle name="Normal 13 9" xfId="117"/>
    <cellStyle name="Normal 14" xfId="118"/>
    <cellStyle name="Normal 14 2" xfId="119"/>
    <cellStyle name="Normal 14 3" xfId="120"/>
    <cellStyle name="Normal 14 4" xfId="121"/>
    <cellStyle name="Normal 14 5" xfId="122"/>
    <cellStyle name="Normal 14 6" xfId="123"/>
    <cellStyle name="Normal 15" xfId="124"/>
    <cellStyle name="Normal 15 2" xfId="125"/>
    <cellStyle name="Normal 15 3" xfId="126"/>
    <cellStyle name="Normal 15 4" xfId="127"/>
    <cellStyle name="Normal 16" xfId="128"/>
    <cellStyle name="Normal 16 2" xfId="129"/>
    <cellStyle name="Normal 16 3" xfId="130"/>
    <cellStyle name="Normal 16 4" xfId="131"/>
    <cellStyle name="Normal 17" xfId="132"/>
    <cellStyle name="Normal 17 2" xfId="133"/>
    <cellStyle name="Normal 17 3" xfId="134"/>
    <cellStyle name="Normal 17 4" xfId="135"/>
    <cellStyle name="Normal 18" xfId="136"/>
    <cellStyle name="Normal 18 2" xfId="137"/>
    <cellStyle name="Normal 18 2 2" xfId="138"/>
    <cellStyle name="Normal 18 2 3" xfId="139"/>
    <cellStyle name="Normal 18 3" xfId="140"/>
    <cellStyle name="Normal 18 4" xfId="141"/>
    <cellStyle name="Normal 18 5" xfId="142"/>
    <cellStyle name="Normal 18 6" xfId="143"/>
    <cellStyle name="Normal 18 7" xfId="144"/>
    <cellStyle name="Normal 18 8" xfId="145"/>
    <cellStyle name="Normal 19" xfId="146"/>
    <cellStyle name="Normal 19 2" xfId="147"/>
    <cellStyle name="Normal 19 2 2" xfId="148"/>
    <cellStyle name="Normal 19 2 3" xfId="149"/>
    <cellStyle name="Normal 19 3" xfId="150"/>
    <cellStyle name="Normal 19 4" xfId="151"/>
    <cellStyle name="Normal 19 5" xfId="152"/>
    <cellStyle name="Normal 19 6" xfId="153"/>
    <cellStyle name="Normal 19 7" xfId="154"/>
    <cellStyle name="Normal 2" xfId="155"/>
    <cellStyle name="Normal 2 10" xfId="156"/>
    <cellStyle name="Normal 2 10 10" xfId="157"/>
    <cellStyle name="Normal 2 10 11" xfId="158"/>
    <cellStyle name="Normal 2 10 12" xfId="159"/>
    <cellStyle name="Normal 2 10 2" xfId="160"/>
    <cellStyle name="Normal 2 10 2 2" xfId="161"/>
    <cellStyle name="Normal 2 10 3" xfId="162"/>
    <cellStyle name="Normal 2 10 3 2" xfId="163"/>
    <cellStyle name="Normal 2 10 4" xfId="164"/>
    <cellStyle name="Normal 2 10 4 2" xfId="165"/>
    <cellStyle name="Normal 2 10 5" xfId="166"/>
    <cellStyle name="Normal 2 10 5 2" xfId="167"/>
    <cellStyle name="Normal 2 10 6" xfId="168"/>
    <cellStyle name="Normal 2 10 6 2" xfId="169"/>
    <cellStyle name="Normal 2 10 7" xfId="170"/>
    <cellStyle name="Normal 2 10 7 2" xfId="171"/>
    <cellStyle name="Normal 2 10 8" xfId="172"/>
    <cellStyle name="Normal 2 10 8 2" xfId="173"/>
    <cellStyle name="Normal 2 10 9" xfId="174"/>
    <cellStyle name="Normal 2 11" xfId="175"/>
    <cellStyle name="Normal 2 11 10" xfId="176"/>
    <cellStyle name="Normal 2 11 2" xfId="177"/>
    <cellStyle name="Normal 2 11 2 2" xfId="178"/>
    <cellStyle name="Normal 2 11 3" xfId="179"/>
    <cellStyle name="Normal 2 11 3 2" xfId="180"/>
    <cellStyle name="Normal 2 11 4" xfId="181"/>
    <cellStyle name="Normal 2 11 4 2" xfId="182"/>
    <cellStyle name="Normal 2 11 5" xfId="183"/>
    <cellStyle name="Normal 2 11 5 2" xfId="184"/>
    <cellStyle name="Normal 2 11 6" xfId="185"/>
    <cellStyle name="Normal 2 11 6 2" xfId="186"/>
    <cellStyle name="Normal 2 11 7" xfId="187"/>
    <cellStyle name="Normal 2 11 7 2" xfId="188"/>
    <cellStyle name="Normal 2 11 8" xfId="189"/>
    <cellStyle name="Normal 2 11 8 2" xfId="190"/>
    <cellStyle name="Normal 2 11 9" xfId="191"/>
    <cellStyle name="Normal 2 12" xfId="192"/>
    <cellStyle name="Normal 2 13" xfId="193"/>
    <cellStyle name="Normal 2 14" xfId="194"/>
    <cellStyle name="Normal 2 15" xfId="195"/>
    <cellStyle name="Normal 2 16" xfId="196"/>
    <cellStyle name="Normal 2 2" xfId="197"/>
    <cellStyle name="Normal 2 2 10" xfId="198"/>
    <cellStyle name="Normal 2 2 10 2" xfId="199"/>
    <cellStyle name="Normal 2 2 11" xfId="200"/>
    <cellStyle name="Normal 2 2 11 2" xfId="201"/>
    <cellStyle name="Normal 2 2 12" xfId="202"/>
    <cellStyle name="Normal 2 2 12 2" xfId="203"/>
    <cellStyle name="Normal 2 2 12 2 2" xfId="204"/>
    <cellStyle name="Normal 2 2 12 2 3" xfId="205"/>
    <cellStyle name="Normal 2 2 12 3" xfId="206"/>
    <cellStyle name="Normal 2 2 12 4" xfId="207"/>
    <cellStyle name="Normal 2 2 13" xfId="208"/>
    <cellStyle name="Normal 2 2 13 2" xfId="209"/>
    <cellStyle name="Normal 2 2 13 2 2" xfId="210"/>
    <cellStyle name="Normal 2 2 13 2 3" xfId="211"/>
    <cellStyle name="Normal 2 2 13 3" xfId="212"/>
    <cellStyle name="Normal 2 2 13 4" xfId="213"/>
    <cellStyle name="Normal 2 2 14" xfId="214"/>
    <cellStyle name="Normal 2 2 14 2" xfId="215"/>
    <cellStyle name="Normal 2 2 15" xfId="216"/>
    <cellStyle name="Normal 2 2 15 2" xfId="217"/>
    <cellStyle name="Normal 2 2 16" xfId="218"/>
    <cellStyle name="Normal 2 2 16 2" xfId="219"/>
    <cellStyle name="Normal 2 2 16 3" xfId="220"/>
    <cellStyle name="Normal 2 2 17" xfId="221"/>
    <cellStyle name="Normal 2 2 18" xfId="222"/>
    <cellStyle name="Normal 2 2 19" xfId="223"/>
    <cellStyle name="Normal 2 2 2" xfId="224"/>
    <cellStyle name="Normal 2 2 2 2" xfId="225"/>
    <cellStyle name="Normal 2 2 2 2 2" xfId="226"/>
    <cellStyle name="Normal 2 2 2 2 3" xfId="227"/>
    <cellStyle name="Normal 2 2 2 3" xfId="228"/>
    <cellStyle name="Normal 2 2 2 3 2" xfId="229"/>
    <cellStyle name="Normal 2 2 2 4" xfId="230"/>
    <cellStyle name="Normal 2 2 2 4 2" xfId="231"/>
    <cellStyle name="Normal 2 2 2 5" xfId="232"/>
    <cellStyle name="Normal 2 2 2 5 2" xfId="233"/>
    <cellStyle name="Normal 2 2 2 6" xfId="234"/>
    <cellStyle name="Normal 2 2 2 6 2" xfId="235"/>
    <cellStyle name="Normal 2 2 2 7" xfId="236"/>
    <cellStyle name="Normal 2 2 2 8" xfId="237"/>
    <cellStyle name="Normal 2 2 20" xfId="238"/>
    <cellStyle name="Normal 2 2 21" xfId="239"/>
    <cellStyle name="Normal 2 2 3" xfId="240"/>
    <cellStyle name="Normal 2 2 3 2" xfId="241"/>
    <cellStyle name="Normal 2 2 4" xfId="242"/>
    <cellStyle name="Normal 2 2 4 2" xfId="243"/>
    <cellStyle name="Normal 2 2 5" xfId="244"/>
    <cellStyle name="Normal 2 2 5 2" xfId="245"/>
    <cellStyle name="Normal 2 2 6" xfId="246"/>
    <cellStyle name="Normal 2 2 6 2" xfId="247"/>
    <cellStyle name="Normal 2 2 7" xfId="248"/>
    <cellStyle name="Normal 2 2 7 2" xfId="249"/>
    <cellStyle name="Normal 2 2 8" xfId="250"/>
    <cellStyle name="Normal 2 2 8 2" xfId="251"/>
    <cellStyle name="Normal 2 2 9" xfId="252"/>
    <cellStyle name="Normal 2 2 9 2" xfId="253"/>
    <cellStyle name="Normal 2 3" xfId="254"/>
    <cellStyle name="Normal 2 3 10" xfId="255"/>
    <cellStyle name="Normal 2 3 11" xfId="256"/>
    <cellStyle name="Normal 2 3 12" xfId="257"/>
    <cellStyle name="Normal 2 3 13" xfId="258"/>
    <cellStyle name="Normal 2 3 14" xfId="259"/>
    <cellStyle name="Normal 2 3 15" xfId="260"/>
    <cellStyle name="Normal 2 3 2" xfId="261"/>
    <cellStyle name="Normal 2 3 2 2" xfId="262"/>
    <cellStyle name="Normal 2 3 2 2 2" xfId="263"/>
    <cellStyle name="Normal 2 3 2 2 3" xfId="264"/>
    <cellStyle name="Normal 2 3 2 3" xfId="265"/>
    <cellStyle name="Normal 2 3 2 4" xfId="266"/>
    <cellStyle name="Normal 2 3 2 5" xfId="267"/>
    <cellStyle name="Normal 2 3 3" xfId="268"/>
    <cellStyle name="Normal 2 3 3 2" xfId="269"/>
    <cellStyle name="Normal 2 3 3 3" xfId="270"/>
    <cellStyle name="Normal 2 3 4" xfId="271"/>
    <cellStyle name="Normal 2 3 5" xfId="272"/>
    <cellStyle name="Normal 2 3 6" xfId="273"/>
    <cellStyle name="Normal 2 3 7" xfId="274"/>
    <cellStyle name="Normal 2 3 8" xfId="275"/>
    <cellStyle name="Normal 2 3 9" xfId="276"/>
    <cellStyle name="Normal 2 4" xfId="277"/>
    <cellStyle name="Normal 2 4 10" xfId="278"/>
    <cellStyle name="Normal 2 4 11" xfId="279"/>
    <cellStyle name="Normal 2 4 12" xfId="280"/>
    <cellStyle name="Normal 2 4 13" xfId="281"/>
    <cellStyle name="Normal 2 4 2" xfId="282"/>
    <cellStyle name="Normal 2 4 2 2" xfId="283"/>
    <cellStyle name="Normal 2 4 2 2 2" xfId="284"/>
    <cellStyle name="Normal 2 4 2 2 3" xfId="285"/>
    <cellStyle name="Normal 2 4 2 3" xfId="286"/>
    <cellStyle name="Normal 2 4 2 4" xfId="287"/>
    <cellStyle name="Normal 2 4 2 5" xfId="288"/>
    <cellStyle name="Normal 2 4 3" xfId="289"/>
    <cellStyle name="Normal 2 4 3 2" xfId="290"/>
    <cellStyle name="Normal 2 4 3 3" xfId="291"/>
    <cellStyle name="Normal 2 4 4" xfId="292"/>
    <cellStyle name="Normal 2 4 5" xfId="293"/>
    <cellStyle name="Normal 2 4 6" xfId="294"/>
    <cellStyle name="Normal 2 4 7" xfId="295"/>
    <cellStyle name="Normal 2 4 8" xfId="296"/>
    <cellStyle name="Normal 2 4 9" xfId="297"/>
    <cellStyle name="Normal 2 5" xfId="298"/>
    <cellStyle name="Normal 2 5 10" xfId="299"/>
    <cellStyle name="Normal 2 5 11" xfId="300"/>
    <cellStyle name="Normal 2 5 12" xfId="301"/>
    <cellStyle name="Normal 2 5 12 2" xfId="302"/>
    <cellStyle name="Normal 2 5 2" xfId="303"/>
    <cellStyle name="Normal 2 5 2 2" xfId="304"/>
    <cellStyle name="Normal 2 5 3" xfId="305"/>
    <cellStyle name="Normal 2 5 3 2" xfId="306"/>
    <cellStyle name="Normal 2 5 4" xfId="307"/>
    <cellStyle name="Normal 2 5 5" xfId="308"/>
    <cellStyle name="Normal 2 5 6" xfId="309"/>
    <cellStyle name="Normal 2 5 7" xfId="310"/>
    <cellStyle name="Normal 2 5 8" xfId="311"/>
    <cellStyle name="Normal 2 5 9" xfId="312"/>
    <cellStyle name="Normal 2 6" xfId="313"/>
    <cellStyle name="Normal 2 6 10" xfId="314"/>
    <cellStyle name="Normal 2 6 11" xfId="315"/>
    <cellStyle name="Normal 2 6 12" xfId="316"/>
    <cellStyle name="Normal 2 6 2" xfId="317"/>
    <cellStyle name="Normal 2 6 2 2" xfId="318"/>
    <cellStyle name="Normal 2 6 3" xfId="319"/>
    <cellStyle name="Normal 2 6 3 2" xfId="320"/>
    <cellStyle name="Normal 2 6 4" xfId="321"/>
    <cellStyle name="Normal 2 6 5" xfId="322"/>
    <cellStyle name="Normal 2 6 6" xfId="323"/>
    <cellStyle name="Normal 2 6 7" xfId="324"/>
    <cellStyle name="Normal 2 6 8" xfId="325"/>
    <cellStyle name="Normal 2 6 9" xfId="326"/>
    <cellStyle name="Normal 2 7" xfId="327"/>
    <cellStyle name="Normal 2 7 10" xfId="328"/>
    <cellStyle name="Normal 2 7 2" xfId="329"/>
    <cellStyle name="Normal 2 7 2 2" xfId="330"/>
    <cellStyle name="Normal 2 7 2 3" xfId="331"/>
    <cellStyle name="Normal 2 7 3" xfId="332"/>
    <cellStyle name="Normal 2 7 3 2" xfId="333"/>
    <cellStyle name="Normal 2 7 4" xfId="334"/>
    <cellStyle name="Normal 2 7 4 2" xfId="335"/>
    <cellStyle name="Normal 2 7 5" xfId="336"/>
    <cellStyle name="Normal 2 7 5 2" xfId="337"/>
    <cellStyle name="Normal 2 7 6" xfId="338"/>
    <cellStyle name="Normal 2 7 6 2" xfId="339"/>
    <cellStyle name="Normal 2 7 7" xfId="340"/>
    <cellStyle name="Normal 2 7 7 2" xfId="341"/>
    <cellStyle name="Normal 2 7 8" xfId="342"/>
    <cellStyle name="Normal 2 7 8 2" xfId="343"/>
    <cellStyle name="Normal 2 7 9" xfId="344"/>
    <cellStyle name="Normal 2 8" xfId="345"/>
    <cellStyle name="Normal 2 8 10" xfId="346"/>
    <cellStyle name="Normal 2 8 2" xfId="347"/>
    <cellStyle name="Normal 2 8 2 2" xfId="348"/>
    <cellStyle name="Normal 2 8 3" xfId="349"/>
    <cellStyle name="Normal 2 8 3 2" xfId="350"/>
    <cellStyle name="Normal 2 8 4" xfId="351"/>
    <cellStyle name="Normal 2 8 4 2" xfId="352"/>
    <cellStyle name="Normal 2 8 5" xfId="353"/>
    <cellStyle name="Normal 2 8 5 2" xfId="354"/>
    <cellStyle name="Normal 2 8 6" xfId="355"/>
    <cellStyle name="Normal 2 8 6 2" xfId="356"/>
    <cellStyle name="Normal 2 8 7" xfId="357"/>
    <cellStyle name="Normal 2 8 7 2" xfId="358"/>
    <cellStyle name="Normal 2 8 8" xfId="359"/>
    <cellStyle name="Normal 2 8 8 2" xfId="360"/>
    <cellStyle name="Normal 2 8 9" xfId="361"/>
    <cellStyle name="Normal 2 9" xfId="362"/>
    <cellStyle name="Normal 2 9 10" xfId="363"/>
    <cellStyle name="Normal 2 9 2" xfId="364"/>
    <cellStyle name="Normal 2 9 2 2" xfId="365"/>
    <cellStyle name="Normal 2 9 3" xfId="366"/>
    <cellStyle name="Normal 2 9 3 2" xfId="367"/>
    <cellStyle name="Normal 2 9 4" xfId="368"/>
    <cellStyle name="Normal 2 9 4 2" xfId="369"/>
    <cellStyle name="Normal 2 9 5" xfId="370"/>
    <cellStyle name="Normal 2 9 5 2" xfId="371"/>
    <cellStyle name="Normal 2 9 6" xfId="372"/>
    <cellStyle name="Normal 2 9 6 2" xfId="373"/>
    <cellStyle name="Normal 2 9 7" xfId="374"/>
    <cellStyle name="Normal 2 9 7 2" xfId="375"/>
    <cellStyle name="Normal 2 9 8" xfId="376"/>
    <cellStyle name="Normal 2 9 8 2" xfId="377"/>
    <cellStyle name="Normal 2 9 9" xfId="378"/>
    <cellStyle name="Normal 20" xfId="379"/>
    <cellStyle name="Normal 20 2" xfId="380"/>
    <cellStyle name="Normal 20 3" xfId="381"/>
    <cellStyle name="Normal 22" xfId="382"/>
    <cellStyle name="Normal 22 2" xfId="383"/>
    <cellStyle name="Normal 22 3" xfId="384"/>
    <cellStyle name="Normal 23" xfId="385"/>
    <cellStyle name="Normal 23 2" xfId="386"/>
    <cellStyle name="Normal 23 3" xfId="387"/>
    <cellStyle name="Normal 24" xfId="388"/>
    <cellStyle name="Normal 24 2" xfId="389"/>
    <cellStyle name="Normal 24 3" xfId="390"/>
    <cellStyle name="Normal 25" xfId="391"/>
    <cellStyle name="Normal 25 2" xfId="392"/>
    <cellStyle name="Normal 25 3" xfId="393"/>
    <cellStyle name="Normal 3" xfId="394"/>
    <cellStyle name="Normal 3 2" xfId="395"/>
    <cellStyle name="Normal 3 2 2" xfId="396"/>
    <cellStyle name="Normal 3 2 2 2" xfId="397"/>
    <cellStyle name="Normal 3 2 2 3" xfId="398"/>
    <cellStyle name="Normal 3 2 3" xfId="399"/>
    <cellStyle name="Normal 3 2 4" xfId="400"/>
    <cellStyle name="Normal 3 2 5" xfId="401"/>
    <cellStyle name="Normal 3 3" xfId="402"/>
    <cellStyle name="Normal 3 3 2" xfId="403"/>
    <cellStyle name="Normal 3 3 2 2" xfId="404"/>
    <cellStyle name="Normal 3 3 2 3" xfId="405"/>
    <cellStyle name="Normal 3 3 3" xfId="406"/>
    <cellStyle name="Normal 3 3 4" xfId="407"/>
    <cellStyle name="Normal 3 4" xfId="408"/>
    <cellStyle name="Normal 3 5" xfId="409"/>
    <cellStyle name="Normal 3 6" xfId="410"/>
    <cellStyle name="Normal 3 7" xfId="411"/>
    <cellStyle name="Normal 3 8" xfId="412"/>
    <cellStyle name="Normal 3 9" xfId="413"/>
    <cellStyle name="Normal 4" xfId="414"/>
    <cellStyle name="Normal 4 2" xfId="415"/>
    <cellStyle name="Normal 4 2 2" xfId="416"/>
    <cellStyle name="Normal 4 2 2 2" xfId="417"/>
    <cellStyle name="Normal 4 2 2 3" xfId="418"/>
    <cellStyle name="Normal 4 2 3" xfId="419"/>
    <cellStyle name="Normal 4 2 4" xfId="420"/>
    <cellStyle name="Normal 4 2 5" xfId="421"/>
    <cellStyle name="Normal 4 3" xfId="422"/>
    <cellStyle name="Normal 4 3 2" xfId="423"/>
    <cellStyle name="Normal 4 3 3" xfId="424"/>
    <cellStyle name="Normal 4 4" xfId="425"/>
    <cellStyle name="Normal 4 5" xfId="426"/>
    <cellStyle name="Normal 4 6" xfId="427"/>
    <cellStyle name="Normal 5" xfId="428"/>
    <cellStyle name="Normal 5 2" xfId="429"/>
    <cellStyle name="Normal 5 3" xfId="430"/>
    <cellStyle name="Normal 5 3 2" xfId="431"/>
    <cellStyle name="Normal 5 3 3" xfId="432"/>
    <cellStyle name="Normal 5 4" xfId="433"/>
    <cellStyle name="Normal 5 5" xfId="434"/>
    <cellStyle name="Normal 6" xfId="435"/>
    <cellStyle name="Normal 6 2" xfId="436"/>
    <cellStyle name="Normal 6 3" xfId="437"/>
    <cellStyle name="Normal 6 4" xfId="438"/>
    <cellStyle name="Normal 6 5" xfId="439"/>
    <cellStyle name="Normal 7" xfId="440"/>
    <cellStyle name="Normal 7 2" xfId="441"/>
    <cellStyle name="Normal 7 2 2" xfId="442"/>
    <cellStyle name="Normal 7 2 2 2" xfId="443"/>
    <cellStyle name="Normal 7 2 3" xfId="444"/>
    <cellStyle name="Normal 7 2 4" xfId="445"/>
    <cellStyle name="Normal 7 3" xfId="446"/>
    <cellStyle name="Normal 7 4" xfId="447"/>
    <cellStyle name="Normal 7 4 2" xfId="448"/>
    <cellStyle name="Normal 7 4 3" xfId="449"/>
    <cellStyle name="Normal 7 5" xfId="450"/>
    <cellStyle name="Normal 7 5 2" xfId="451"/>
    <cellStyle name="Normal 7 5 3" xfId="452"/>
    <cellStyle name="Normal 7 5 4" xfId="453"/>
    <cellStyle name="Normal 7 6" xfId="454"/>
    <cellStyle name="Normal 7 7" xfId="455"/>
    <cellStyle name="Normal 8" xfId="456"/>
    <cellStyle name="Normal 8 2" xfId="457"/>
    <cellStyle name="Normal 9" xfId="458"/>
    <cellStyle name="Normal 9 2" xfId="459"/>
    <cellStyle name="Normal 9 2 2" xfId="460"/>
    <cellStyle name="Normal 9 3" xfId="461"/>
    <cellStyle name="Normal 9 4" xfId="462"/>
    <cellStyle name="Normal 9 5" xfId="463"/>
    <cellStyle name="Normal_debt" xfId="464"/>
    <cellStyle name="Normal_lpform" xfId="465"/>
    <cellStyle name="Normal_Township 07" xfId="466"/>
    <cellStyle name="Note" xfId="467"/>
    <cellStyle name="Output" xfId="468"/>
    <cellStyle name="Percent" xfId="469"/>
    <cellStyle name="Title" xfId="470"/>
    <cellStyle name="Total" xfId="471"/>
    <cellStyle name="Warning Text" xfId="472"/>
  </cellStyles>
  <dxfs count="352">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chartsheet" Target="chartsheets/sheet10.xml" /><Relationship Id="rId12" Type="http://schemas.openxmlformats.org/officeDocument/2006/relationships/chartsheet" Target="chartsheets/sheet11.xml" /><Relationship Id="rId13" Type="http://schemas.openxmlformats.org/officeDocument/2006/relationships/chartsheet" Target="chartsheets/sheet12.xml" /><Relationship Id="rId14" Type="http://schemas.openxmlformats.org/officeDocument/2006/relationships/chartsheet" Target="chartsheets/sheet13.xml" /><Relationship Id="rId15" Type="http://schemas.openxmlformats.org/officeDocument/2006/relationships/chartsheet" Target="chartsheets/sheet14.xml" /><Relationship Id="rId16" Type="http://schemas.openxmlformats.org/officeDocument/2006/relationships/chartsheet" Target="chartsheets/sheet15.xml" /><Relationship Id="rId17" Type="http://schemas.openxmlformats.org/officeDocument/2006/relationships/chartsheet" Target="chartsheets/sheet16.xml" /><Relationship Id="rId18" Type="http://schemas.openxmlformats.org/officeDocument/2006/relationships/chartsheet" Target="chartsheets/sheet17.xml" /><Relationship Id="rId19" Type="http://schemas.openxmlformats.org/officeDocument/2006/relationships/chartsheet" Target="chartsheets/sheet18.xml" /><Relationship Id="rId20" Type="http://schemas.openxmlformats.org/officeDocument/2006/relationships/chartsheet" Target="chartsheets/sheet19.xml" /><Relationship Id="rId21" Type="http://schemas.openxmlformats.org/officeDocument/2006/relationships/chartsheet" Target="chartsheets/sheet20.xml" /><Relationship Id="rId22" Type="http://schemas.openxmlformats.org/officeDocument/2006/relationships/chartsheet" Target="chartsheets/sheet21.xml" /><Relationship Id="rId23" Type="http://schemas.openxmlformats.org/officeDocument/2006/relationships/chartsheet" Target="chartsheets/sheet22.xml" /><Relationship Id="rId24" Type="http://schemas.openxmlformats.org/officeDocument/2006/relationships/chartsheet" Target="chartsheets/sheet23.xml" /><Relationship Id="rId25" Type="http://schemas.openxmlformats.org/officeDocument/2006/relationships/chartsheet" Target="chartsheets/sheet24.xml" /><Relationship Id="rId26" Type="http://schemas.openxmlformats.org/officeDocument/2006/relationships/chartsheet" Target="chartsheets/sheet25.xml" /><Relationship Id="rId27" Type="http://schemas.openxmlformats.org/officeDocument/2006/relationships/chartsheet" Target="chartsheets/sheet26.xml" /><Relationship Id="rId28" Type="http://schemas.openxmlformats.org/officeDocument/2006/relationships/chartsheet" Target="chartsheets/sheet27.xml" /><Relationship Id="rId29" Type="http://schemas.openxmlformats.org/officeDocument/2006/relationships/chartsheet" Target="chartsheets/sheet28.xml" /><Relationship Id="rId30" Type="http://schemas.openxmlformats.org/officeDocument/2006/relationships/chartsheet" Target="chartsheets/sheet29.xml" /><Relationship Id="rId31" Type="http://schemas.openxmlformats.org/officeDocument/2006/relationships/chartsheet" Target="chartsheets/sheet30.xml" /><Relationship Id="rId32" Type="http://schemas.openxmlformats.org/officeDocument/2006/relationships/worksheet" Target="worksheets/sheet2.xml" /><Relationship Id="rId33" Type="http://schemas.openxmlformats.org/officeDocument/2006/relationships/worksheet" Target="worksheets/sheet3.xml" /><Relationship Id="rId34" Type="http://schemas.openxmlformats.org/officeDocument/2006/relationships/worksheet" Target="worksheets/sheet4.xml" /><Relationship Id="rId35" Type="http://schemas.openxmlformats.org/officeDocument/2006/relationships/worksheet" Target="worksheets/sheet5.xml" /><Relationship Id="rId36" Type="http://schemas.openxmlformats.org/officeDocument/2006/relationships/worksheet" Target="worksheets/sheet6.xml" /><Relationship Id="rId37" Type="http://schemas.openxmlformats.org/officeDocument/2006/relationships/worksheet" Target="worksheets/sheet7.xml" /><Relationship Id="rId38" Type="http://schemas.openxmlformats.org/officeDocument/2006/relationships/worksheet" Target="worksheets/sheet8.xml" /><Relationship Id="rId39" Type="http://schemas.openxmlformats.org/officeDocument/2006/relationships/worksheet" Target="worksheets/sheet9.xml" /><Relationship Id="rId40" Type="http://schemas.openxmlformats.org/officeDocument/2006/relationships/worksheet" Target="worksheets/sheet10.xml" /><Relationship Id="rId41" Type="http://schemas.openxmlformats.org/officeDocument/2006/relationships/worksheet" Target="worksheets/sheet11.xml" /><Relationship Id="rId42" Type="http://schemas.openxmlformats.org/officeDocument/2006/relationships/worksheet" Target="worksheets/sheet12.xml" /><Relationship Id="rId43" Type="http://schemas.openxmlformats.org/officeDocument/2006/relationships/worksheet" Target="worksheets/sheet13.xml" /><Relationship Id="rId44" Type="http://schemas.openxmlformats.org/officeDocument/2006/relationships/worksheet" Target="worksheets/sheet14.xml" /><Relationship Id="rId45" Type="http://schemas.openxmlformats.org/officeDocument/2006/relationships/worksheet" Target="worksheets/sheet15.xml" /><Relationship Id="rId46" Type="http://schemas.openxmlformats.org/officeDocument/2006/relationships/worksheet" Target="worksheets/sheet16.xml" /><Relationship Id="rId47" Type="http://schemas.openxmlformats.org/officeDocument/2006/relationships/worksheet" Target="worksheets/sheet17.xml" /><Relationship Id="rId48" Type="http://schemas.openxmlformats.org/officeDocument/2006/relationships/worksheet" Target="worksheets/sheet18.xml" /><Relationship Id="rId49" Type="http://schemas.openxmlformats.org/officeDocument/2006/relationships/worksheet" Target="worksheets/sheet19.xml" /><Relationship Id="rId50" Type="http://schemas.openxmlformats.org/officeDocument/2006/relationships/worksheet" Target="worksheets/sheet20.xml" /><Relationship Id="rId51" Type="http://schemas.openxmlformats.org/officeDocument/2006/relationships/worksheet" Target="worksheets/sheet21.xml" /><Relationship Id="rId52" Type="http://schemas.openxmlformats.org/officeDocument/2006/relationships/worksheet" Target="worksheets/sheet22.xml" /><Relationship Id="rId53" Type="http://schemas.openxmlformats.org/officeDocument/2006/relationships/worksheet" Target="worksheets/sheet23.xml" /><Relationship Id="rId54" Type="http://schemas.openxmlformats.org/officeDocument/2006/relationships/worksheet" Target="worksheets/sheet24.xml" /><Relationship Id="rId55" Type="http://schemas.openxmlformats.org/officeDocument/2006/relationships/worksheet" Target="worksheets/sheet25.xml" /><Relationship Id="rId56" Type="http://schemas.openxmlformats.org/officeDocument/2006/relationships/worksheet" Target="worksheets/sheet26.xml" /><Relationship Id="rId57" Type="http://schemas.openxmlformats.org/officeDocument/2006/relationships/worksheet" Target="worksheets/sheet27.xml" /><Relationship Id="rId58" Type="http://schemas.openxmlformats.org/officeDocument/2006/relationships/worksheet" Target="worksheets/sheet28.xml" /><Relationship Id="rId59" Type="http://schemas.openxmlformats.org/officeDocument/2006/relationships/worksheet" Target="worksheets/sheet29.xml" /><Relationship Id="rId60" Type="http://schemas.openxmlformats.org/officeDocument/2006/relationships/worksheet" Target="worksheets/sheet30.xml" /><Relationship Id="rId61" Type="http://schemas.openxmlformats.org/officeDocument/2006/relationships/worksheet" Target="worksheets/sheet31.xml" /><Relationship Id="rId62" Type="http://schemas.openxmlformats.org/officeDocument/2006/relationships/worksheet" Target="worksheets/sheet32.xml" /><Relationship Id="rId63" Type="http://schemas.openxmlformats.org/officeDocument/2006/relationships/worksheet" Target="worksheets/sheet33.xml" /><Relationship Id="rId64" Type="http://schemas.openxmlformats.org/officeDocument/2006/relationships/worksheet" Target="worksheets/sheet34.xml" /><Relationship Id="rId65" Type="http://schemas.openxmlformats.org/officeDocument/2006/relationships/worksheet" Target="worksheets/sheet35.xml" /><Relationship Id="rId66" Type="http://schemas.openxmlformats.org/officeDocument/2006/relationships/worksheet" Target="worksheets/sheet36.xml" /><Relationship Id="rId67" Type="http://schemas.openxmlformats.org/officeDocument/2006/relationships/worksheet" Target="worksheets/sheet37.xml" /><Relationship Id="rId68" Type="http://schemas.openxmlformats.org/officeDocument/2006/relationships/worksheet" Target="worksheets/sheet38.xml" /><Relationship Id="rId69" Type="http://schemas.openxmlformats.org/officeDocument/2006/relationships/worksheet" Target="worksheets/sheet39.xml" /><Relationship Id="rId70" Type="http://schemas.openxmlformats.org/officeDocument/2006/relationships/worksheet" Target="worksheets/sheet40.xml" /><Relationship Id="rId71" Type="http://schemas.openxmlformats.org/officeDocument/2006/relationships/worksheet" Target="worksheets/sheet41.xml" /><Relationship Id="rId72" Type="http://schemas.openxmlformats.org/officeDocument/2006/relationships/worksheet" Target="worksheets/sheet42.xml" /><Relationship Id="rId73" Type="http://schemas.openxmlformats.org/officeDocument/2006/relationships/worksheet" Target="worksheets/sheet43.xml" /><Relationship Id="rId74" Type="http://schemas.openxmlformats.org/officeDocument/2006/relationships/worksheet" Target="worksheets/sheet44.xml" /><Relationship Id="rId75" Type="http://schemas.openxmlformats.org/officeDocument/2006/relationships/worksheet" Target="worksheets/sheet45.xml" /><Relationship Id="rId76" Type="http://schemas.openxmlformats.org/officeDocument/2006/relationships/worksheet" Target="worksheets/sheet46.xml" /><Relationship Id="rId77" Type="http://schemas.openxmlformats.org/officeDocument/2006/relationships/worksheet" Target="worksheets/sheet4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7175"/>
          <c:h val="0.9675"/>
        </c:manualLayout>
      </c:layout>
      <c:barChart>
        <c:barDir val="col"/>
        <c:grouping val="clustered"/>
        <c:varyColors val="0"/>
        <c:axId val="37744398"/>
        <c:axId val="4155263"/>
      </c:barChart>
      <c:catAx>
        <c:axId val="37744398"/>
        <c:scaling>
          <c:orientation val="minMax"/>
        </c:scaling>
        <c:axPos val="b"/>
        <c:delete val="0"/>
        <c:numFmt formatCode="General" sourceLinked="1"/>
        <c:majorTickMark val="out"/>
        <c:minorTickMark val="none"/>
        <c:tickLblPos val="nextTo"/>
        <c:spPr>
          <a:ln w="3175">
            <a:solidFill>
              <a:srgbClr val="000000"/>
            </a:solidFill>
          </a:ln>
        </c:spPr>
        <c:crossAx val="4155263"/>
        <c:crosses val="autoZero"/>
        <c:auto val="1"/>
        <c:lblOffset val="100"/>
        <c:tickLblSkip val="1"/>
        <c:noMultiLvlLbl val="0"/>
      </c:catAx>
      <c:valAx>
        <c:axId val="41552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44398"/>
        <c:crossesAt val="1"/>
        <c:crossBetween val="between"/>
        <c:dispUnits/>
      </c:valAx>
      <c:spPr>
        <a:solidFill>
          <a:srgbClr val="C0C0C0"/>
        </a:solidFill>
        <a:ln w="12700">
          <a:solidFill>
            <a:srgbClr val="808080"/>
          </a:solidFill>
        </a:ln>
      </c:spPr>
    </c:plotArea>
    <c:legend>
      <c:legendPos val="r"/>
      <c:layout>
        <c:manualLayout>
          <c:xMode val="edge"/>
          <c:yMode val="edge"/>
          <c:x val="0.9955"/>
          <c:y val="0.5"/>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58144584"/>
        <c:axId val="53539209"/>
      </c:barChart>
      <c:catAx>
        <c:axId val="58144584"/>
        <c:scaling>
          <c:orientation val="minMax"/>
        </c:scaling>
        <c:axPos val="b"/>
        <c:delete val="0"/>
        <c:numFmt formatCode="General" sourceLinked="1"/>
        <c:majorTickMark val="out"/>
        <c:minorTickMark val="none"/>
        <c:tickLblPos val="nextTo"/>
        <c:spPr>
          <a:ln w="3175">
            <a:solidFill>
              <a:srgbClr val="000000"/>
            </a:solidFill>
          </a:ln>
        </c:spPr>
        <c:crossAx val="53539209"/>
        <c:crosses val="autoZero"/>
        <c:auto val="1"/>
        <c:lblOffset val="100"/>
        <c:tickLblSkip val="1"/>
        <c:noMultiLvlLbl val="0"/>
      </c:catAx>
      <c:valAx>
        <c:axId val="535392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4458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12090834"/>
        <c:axId val="41708643"/>
      </c:barChart>
      <c:catAx>
        <c:axId val="12090834"/>
        <c:scaling>
          <c:orientation val="minMax"/>
        </c:scaling>
        <c:axPos val="b"/>
        <c:delete val="0"/>
        <c:numFmt formatCode="General" sourceLinked="1"/>
        <c:majorTickMark val="out"/>
        <c:minorTickMark val="none"/>
        <c:tickLblPos val="nextTo"/>
        <c:spPr>
          <a:ln w="3175">
            <a:solidFill>
              <a:srgbClr val="000000"/>
            </a:solidFill>
          </a:ln>
        </c:spPr>
        <c:crossAx val="41708643"/>
        <c:crosses val="autoZero"/>
        <c:auto val="1"/>
        <c:lblOffset val="100"/>
        <c:tickLblSkip val="1"/>
        <c:noMultiLvlLbl val="0"/>
      </c:catAx>
      <c:valAx>
        <c:axId val="417086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09083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39833468"/>
        <c:axId val="22956893"/>
      </c:barChart>
      <c:catAx>
        <c:axId val="39833468"/>
        <c:scaling>
          <c:orientation val="minMax"/>
        </c:scaling>
        <c:axPos val="b"/>
        <c:delete val="0"/>
        <c:numFmt formatCode="General" sourceLinked="1"/>
        <c:majorTickMark val="out"/>
        <c:minorTickMark val="none"/>
        <c:tickLblPos val="nextTo"/>
        <c:spPr>
          <a:ln w="3175">
            <a:solidFill>
              <a:srgbClr val="000000"/>
            </a:solidFill>
          </a:ln>
        </c:spPr>
        <c:crossAx val="22956893"/>
        <c:crosses val="autoZero"/>
        <c:auto val="1"/>
        <c:lblOffset val="100"/>
        <c:tickLblSkip val="1"/>
        <c:noMultiLvlLbl val="0"/>
      </c:catAx>
      <c:valAx>
        <c:axId val="229568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833468"/>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5285446"/>
        <c:axId val="47569015"/>
      </c:barChart>
      <c:catAx>
        <c:axId val="5285446"/>
        <c:scaling>
          <c:orientation val="minMax"/>
        </c:scaling>
        <c:axPos val="b"/>
        <c:delete val="0"/>
        <c:numFmt formatCode="General" sourceLinked="1"/>
        <c:majorTickMark val="out"/>
        <c:minorTickMark val="none"/>
        <c:tickLblPos val="nextTo"/>
        <c:spPr>
          <a:ln w="3175">
            <a:solidFill>
              <a:srgbClr val="000000"/>
            </a:solidFill>
          </a:ln>
        </c:spPr>
        <c:crossAx val="47569015"/>
        <c:crosses val="autoZero"/>
        <c:auto val="1"/>
        <c:lblOffset val="100"/>
        <c:tickLblSkip val="1"/>
        <c:noMultiLvlLbl val="0"/>
      </c:catAx>
      <c:valAx>
        <c:axId val="475690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85446"/>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25467952"/>
        <c:axId val="27884977"/>
      </c:barChart>
      <c:catAx>
        <c:axId val="25467952"/>
        <c:scaling>
          <c:orientation val="minMax"/>
        </c:scaling>
        <c:axPos val="b"/>
        <c:delete val="0"/>
        <c:numFmt formatCode="General" sourceLinked="1"/>
        <c:majorTickMark val="out"/>
        <c:minorTickMark val="none"/>
        <c:tickLblPos val="nextTo"/>
        <c:spPr>
          <a:ln w="3175">
            <a:solidFill>
              <a:srgbClr val="000000"/>
            </a:solidFill>
          </a:ln>
        </c:spPr>
        <c:crossAx val="27884977"/>
        <c:crosses val="autoZero"/>
        <c:auto val="1"/>
        <c:lblOffset val="100"/>
        <c:tickLblSkip val="1"/>
        <c:noMultiLvlLbl val="0"/>
      </c:catAx>
      <c:valAx>
        <c:axId val="278849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467952"/>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49638202"/>
        <c:axId val="44090635"/>
      </c:barChart>
      <c:catAx>
        <c:axId val="49638202"/>
        <c:scaling>
          <c:orientation val="minMax"/>
        </c:scaling>
        <c:axPos val="b"/>
        <c:delete val="0"/>
        <c:numFmt formatCode="General" sourceLinked="1"/>
        <c:majorTickMark val="out"/>
        <c:minorTickMark val="none"/>
        <c:tickLblPos val="nextTo"/>
        <c:spPr>
          <a:ln w="3175">
            <a:solidFill>
              <a:srgbClr val="000000"/>
            </a:solidFill>
          </a:ln>
        </c:spPr>
        <c:crossAx val="44090635"/>
        <c:crosses val="autoZero"/>
        <c:auto val="1"/>
        <c:lblOffset val="100"/>
        <c:tickLblSkip val="1"/>
        <c:noMultiLvlLbl val="0"/>
      </c:catAx>
      <c:valAx>
        <c:axId val="440906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38202"/>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61271396"/>
        <c:axId val="14571653"/>
      </c:barChart>
      <c:catAx>
        <c:axId val="61271396"/>
        <c:scaling>
          <c:orientation val="minMax"/>
        </c:scaling>
        <c:axPos val="b"/>
        <c:delete val="0"/>
        <c:numFmt formatCode="General" sourceLinked="1"/>
        <c:majorTickMark val="out"/>
        <c:minorTickMark val="none"/>
        <c:tickLblPos val="nextTo"/>
        <c:spPr>
          <a:ln w="3175">
            <a:solidFill>
              <a:srgbClr val="000000"/>
            </a:solidFill>
          </a:ln>
        </c:spPr>
        <c:crossAx val="14571653"/>
        <c:crosses val="autoZero"/>
        <c:auto val="1"/>
        <c:lblOffset val="100"/>
        <c:tickLblSkip val="1"/>
        <c:noMultiLvlLbl val="0"/>
      </c:catAx>
      <c:valAx>
        <c:axId val="145716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271396"/>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64036014"/>
        <c:axId val="39453215"/>
      </c:barChart>
      <c:catAx>
        <c:axId val="64036014"/>
        <c:scaling>
          <c:orientation val="minMax"/>
        </c:scaling>
        <c:axPos val="b"/>
        <c:delete val="0"/>
        <c:numFmt formatCode="General" sourceLinked="1"/>
        <c:majorTickMark val="out"/>
        <c:minorTickMark val="none"/>
        <c:tickLblPos val="nextTo"/>
        <c:spPr>
          <a:ln w="3175">
            <a:solidFill>
              <a:srgbClr val="000000"/>
            </a:solidFill>
          </a:ln>
        </c:spPr>
        <c:crossAx val="39453215"/>
        <c:crosses val="autoZero"/>
        <c:auto val="1"/>
        <c:lblOffset val="100"/>
        <c:tickLblSkip val="1"/>
        <c:noMultiLvlLbl val="0"/>
      </c:catAx>
      <c:valAx>
        <c:axId val="394532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03601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19534616"/>
        <c:axId val="41593817"/>
      </c:barChart>
      <c:catAx>
        <c:axId val="19534616"/>
        <c:scaling>
          <c:orientation val="minMax"/>
        </c:scaling>
        <c:axPos val="b"/>
        <c:delete val="0"/>
        <c:numFmt formatCode="General" sourceLinked="1"/>
        <c:majorTickMark val="out"/>
        <c:minorTickMark val="none"/>
        <c:tickLblPos val="nextTo"/>
        <c:spPr>
          <a:ln w="3175">
            <a:solidFill>
              <a:srgbClr val="000000"/>
            </a:solidFill>
          </a:ln>
        </c:spPr>
        <c:crossAx val="41593817"/>
        <c:crosses val="autoZero"/>
        <c:auto val="1"/>
        <c:lblOffset val="100"/>
        <c:tickLblSkip val="1"/>
        <c:noMultiLvlLbl val="0"/>
      </c:catAx>
      <c:valAx>
        <c:axId val="415938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534616"/>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38800034"/>
        <c:axId val="13655987"/>
      </c:barChart>
      <c:catAx>
        <c:axId val="38800034"/>
        <c:scaling>
          <c:orientation val="minMax"/>
        </c:scaling>
        <c:axPos val="b"/>
        <c:delete val="0"/>
        <c:numFmt formatCode="General" sourceLinked="1"/>
        <c:majorTickMark val="out"/>
        <c:minorTickMark val="none"/>
        <c:tickLblPos val="nextTo"/>
        <c:spPr>
          <a:ln w="3175">
            <a:solidFill>
              <a:srgbClr val="000000"/>
            </a:solidFill>
          </a:ln>
        </c:spPr>
        <c:crossAx val="13655987"/>
        <c:crosses val="autoZero"/>
        <c:auto val="1"/>
        <c:lblOffset val="100"/>
        <c:tickLblSkip val="1"/>
        <c:noMultiLvlLbl val="0"/>
      </c:catAx>
      <c:valAx>
        <c:axId val="136559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80003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37397368"/>
        <c:axId val="1031993"/>
      </c:barChart>
      <c:catAx>
        <c:axId val="37397368"/>
        <c:scaling>
          <c:orientation val="minMax"/>
        </c:scaling>
        <c:axPos val="b"/>
        <c:delete val="0"/>
        <c:numFmt formatCode="General" sourceLinked="1"/>
        <c:majorTickMark val="out"/>
        <c:minorTickMark val="none"/>
        <c:tickLblPos val="nextTo"/>
        <c:spPr>
          <a:ln w="3175">
            <a:solidFill>
              <a:srgbClr val="000000"/>
            </a:solidFill>
          </a:ln>
        </c:spPr>
        <c:crossAx val="1031993"/>
        <c:crosses val="autoZero"/>
        <c:auto val="1"/>
        <c:lblOffset val="100"/>
        <c:tickLblSkip val="1"/>
        <c:noMultiLvlLbl val="0"/>
      </c:catAx>
      <c:valAx>
        <c:axId val="10319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97368"/>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55795020"/>
        <c:axId val="32393133"/>
      </c:barChart>
      <c:catAx>
        <c:axId val="55795020"/>
        <c:scaling>
          <c:orientation val="minMax"/>
        </c:scaling>
        <c:axPos val="b"/>
        <c:delete val="0"/>
        <c:numFmt formatCode="General" sourceLinked="1"/>
        <c:majorTickMark val="out"/>
        <c:minorTickMark val="none"/>
        <c:tickLblPos val="nextTo"/>
        <c:spPr>
          <a:ln w="3175">
            <a:solidFill>
              <a:srgbClr val="000000"/>
            </a:solidFill>
          </a:ln>
        </c:spPr>
        <c:crossAx val="32393133"/>
        <c:crosses val="autoZero"/>
        <c:auto val="1"/>
        <c:lblOffset val="100"/>
        <c:tickLblSkip val="1"/>
        <c:noMultiLvlLbl val="0"/>
      </c:catAx>
      <c:valAx>
        <c:axId val="323931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95020"/>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23102742"/>
        <c:axId val="6598087"/>
      </c:barChart>
      <c:catAx>
        <c:axId val="23102742"/>
        <c:scaling>
          <c:orientation val="minMax"/>
        </c:scaling>
        <c:axPos val="b"/>
        <c:delete val="0"/>
        <c:numFmt formatCode="General" sourceLinked="1"/>
        <c:majorTickMark val="out"/>
        <c:minorTickMark val="none"/>
        <c:tickLblPos val="nextTo"/>
        <c:spPr>
          <a:ln w="3175">
            <a:solidFill>
              <a:srgbClr val="000000"/>
            </a:solidFill>
          </a:ln>
        </c:spPr>
        <c:crossAx val="6598087"/>
        <c:crosses val="autoZero"/>
        <c:auto val="1"/>
        <c:lblOffset val="100"/>
        <c:tickLblSkip val="1"/>
        <c:noMultiLvlLbl val="0"/>
      </c:catAx>
      <c:valAx>
        <c:axId val="65980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02742"/>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59382784"/>
        <c:axId val="64683009"/>
      </c:barChart>
      <c:catAx>
        <c:axId val="59382784"/>
        <c:scaling>
          <c:orientation val="minMax"/>
        </c:scaling>
        <c:axPos val="b"/>
        <c:delete val="0"/>
        <c:numFmt formatCode="General" sourceLinked="1"/>
        <c:majorTickMark val="out"/>
        <c:minorTickMark val="none"/>
        <c:tickLblPos val="nextTo"/>
        <c:spPr>
          <a:ln w="3175">
            <a:solidFill>
              <a:srgbClr val="000000"/>
            </a:solidFill>
          </a:ln>
        </c:spPr>
        <c:crossAx val="64683009"/>
        <c:crosses val="autoZero"/>
        <c:auto val="1"/>
        <c:lblOffset val="100"/>
        <c:tickLblSkip val="1"/>
        <c:noMultiLvlLbl val="0"/>
      </c:catAx>
      <c:valAx>
        <c:axId val="646830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8278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45276170"/>
        <c:axId val="4832347"/>
      </c:barChart>
      <c:catAx>
        <c:axId val="45276170"/>
        <c:scaling>
          <c:orientation val="minMax"/>
        </c:scaling>
        <c:axPos val="b"/>
        <c:delete val="0"/>
        <c:numFmt formatCode="General" sourceLinked="1"/>
        <c:majorTickMark val="out"/>
        <c:minorTickMark val="none"/>
        <c:tickLblPos val="nextTo"/>
        <c:spPr>
          <a:ln w="3175">
            <a:solidFill>
              <a:srgbClr val="000000"/>
            </a:solidFill>
          </a:ln>
        </c:spPr>
        <c:crossAx val="4832347"/>
        <c:crosses val="autoZero"/>
        <c:auto val="1"/>
        <c:lblOffset val="100"/>
        <c:tickLblSkip val="1"/>
        <c:noMultiLvlLbl val="0"/>
      </c:catAx>
      <c:valAx>
        <c:axId val="48323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276170"/>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43491124"/>
        <c:axId val="55875797"/>
      </c:barChart>
      <c:catAx>
        <c:axId val="43491124"/>
        <c:scaling>
          <c:orientation val="minMax"/>
        </c:scaling>
        <c:axPos val="b"/>
        <c:delete val="0"/>
        <c:numFmt formatCode="General" sourceLinked="1"/>
        <c:majorTickMark val="out"/>
        <c:minorTickMark val="none"/>
        <c:tickLblPos val="nextTo"/>
        <c:spPr>
          <a:ln w="3175">
            <a:solidFill>
              <a:srgbClr val="000000"/>
            </a:solidFill>
          </a:ln>
        </c:spPr>
        <c:crossAx val="55875797"/>
        <c:crosses val="autoZero"/>
        <c:auto val="1"/>
        <c:lblOffset val="100"/>
        <c:tickLblSkip val="1"/>
        <c:noMultiLvlLbl val="0"/>
      </c:catAx>
      <c:valAx>
        <c:axId val="558757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49112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33120126"/>
        <c:axId val="29645679"/>
      </c:barChart>
      <c:catAx>
        <c:axId val="33120126"/>
        <c:scaling>
          <c:orientation val="minMax"/>
        </c:scaling>
        <c:axPos val="b"/>
        <c:delete val="0"/>
        <c:numFmt formatCode="General" sourceLinked="1"/>
        <c:majorTickMark val="out"/>
        <c:minorTickMark val="none"/>
        <c:tickLblPos val="nextTo"/>
        <c:spPr>
          <a:ln w="3175">
            <a:solidFill>
              <a:srgbClr val="000000"/>
            </a:solidFill>
          </a:ln>
        </c:spPr>
        <c:crossAx val="29645679"/>
        <c:crosses val="autoZero"/>
        <c:auto val="1"/>
        <c:lblOffset val="100"/>
        <c:tickLblSkip val="1"/>
        <c:noMultiLvlLbl val="0"/>
      </c:catAx>
      <c:valAx>
        <c:axId val="296456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20126"/>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65484520"/>
        <c:axId val="52489769"/>
      </c:barChart>
      <c:catAx>
        <c:axId val="65484520"/>
        <c:scaling>
          <c:orientation val="minMax"/>
        </c:scaling>
        <c:axPos val="b"/>
        <c:delete val="0"/>
        <c:numFmt formatCode="General" sourceLinked="1"/>
        <c:majorTickMark val="out"/>
        <c:minorTickMark val="none"/>
        <c:tickLblPos val="nextTo"/>
        <c:spPr>
          <a:ln w="3175">
            <a:solidFill>
              <a:srgbClr val="000000"/>
            </a:solidFill>
          </a:ln>
        </c:spPr>
        <c:crossAx val="52489769"/>
        <c:crosses val="autoZero"/>
        <c:auto val="1"/>
        <c:lblOffset val="100"/>
        <c:tickLblSkip val="1"/>
        <c:noMultiLvlLbl val="0"/>
      </c:catAx>
      <c:valAx>
        <c:axId val="524897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484520"/>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2645874"/>
        <c:axId val="23812867"/>
      </c:barChart>
      <c:catAx>
        <c:axId val="2645874"/>
        <c:scaling>
          <c:orientation val="minMax"/>
        </c:scaling>
        <c:axPos val="b"/>
        <c:delete val="0"/>
        <c:numFmt formatCode="General" sourceLinked="1"/>
        <c:majorTickMark val="out"/>
        <c:minorTickMark val="none"/>
        <c:tickLblPos val="nextTo"/>
        <c:spPr>
          <a:ln w="3175">
            <a:solidFill>
              <a:srgbClr val="000000"/>
            </a:solidFill>
          </a:ln>
        </c:spPr>
        <c:crossAx val="23812867"/>
        <c:crosses val="autoZero"/>
        <c:auto val="1"/>
        <c:lblOffset val="100"/>
        <c:tickLblSkip val="1"/>
        <c:noMultiLvlLbl val="0"/>
      </c:catAx>
      <c:valAx>
        <c:axId val="238128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4587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12989212"/>
        <c:axId val="49794045"/>
      </c:barChart>
      <c:catAx>
        <c:axId val="12989212"/>
        <c:scaling>
          <c:orientation val="minMax"/>
        </c:scaling>
        <c:axPos val="b"/>
        <c:delete val="0"/>
        <c:numFmt formatCode="General" sourceLinked="1"/>
        <c:majorTickMark val="out"/>
        <c:minorTickMark val="none"/>
        <c:tickLblPos val="nextTo"/>
        <c:spPr>
          <a:ln w="3175">
            <a:solidFill>
              <a:srgbClr val="000000"/>
            </a:solidFill>
          </a:ln>
        </c:spPr>
        <c:crossAx val="49794045"/>
        <c:crosses val="autoZero"/>
        <c:auto val="1"/>
        <c:lblOffset val="100"/>
        <c:tickLblSkip val="1"/>
        <c:noMultiLvlLbl val="0"/>
      </c:catAx>
      <c:valAx>
        <c:axId val="497940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989212"/>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45493222"/>
        <c:axId val="6785815"/>
      </c:barChart>
      <c:catAx>
        <c:axId val="45493222"/>
        <c:scaling>
          <c:orientation val="minMax"/>
        </c:scaling>
        <c:axPos val="b"/>
        <c:delete val="0"/>
        <c:numFmt formatCode="General" sourceLinked="1"/>
        <c:majorTickMark val="out"/>
        <c:minorTickMark val="none"/>
        <c:tickLblPos val="nextTo"/>
        <c:spPr>
          <a:ln w="3175">
            <a:solidFill>
              <a:srgbClr val="000000"/>
            </a:solidFill>
          </a:ln>
        </c:spPr>
        <c:crossAx val="6785815"/>
        <c:crosses val="autoZero"/>
        <c:auto val="1"/>
        <c:lblOffset val="100"/>
        <c:tickLblSkip val="1"/>
        <c:noMultiLvlLbl val="0"/>
      </c:catAx>
      <c:valAx>
        <c:axId val="67858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493222"/>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9287938"/>
        <c:axId val="16482579"/>
      </c:barChart>
      <c:catAx>
        <c:axId val="9287938"/>
        <c:scaling>
          <c:orientation val="minMax"/>
        </c:scaling>
        <c:axPos val="b"/>
        <c:delete val="0"/>
        <c:numFmt formatCode="General" sourceLinked="1"/>
        <c:majorTickMark val="out"/>
        <c:minorTickMark val="none"/>
        <c:tickLblPos val="nextTo"/>
        <c:spPr>
          <a:ln w="3175">
            <a:solidFill>
              <a:srgbClr val="000000"/>
            </a:solidFill>
          </a:ln>
        </c:spPr>
        <c:crossAx val="16482579"/>
        <c:crosses val="autoZero"/>
        <c:auto val="1"/>
        <c:lblOffset val="100"/>
        <c:tickLblSkip val="1"/>
        <c:noMultiLvlLbl val="0"/>
      </c:catAx>
      <c:valAx>
        <c:axId val="164825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287938"/>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61072336"/>
        <c:axId val="12780113"/>
      </c:barChart>
      <c:catAx>
        <c:axId val="61072336"/>
        <c:scaling>
          <c:orientation val="minMax"/>
        </c:scaling>
        <c:axPos val="b"/>
        <c:delete val="0"/>
        <c:numFmt formatCode="General" sourceLinked="1"/>
        <c:majorTickMark val="out"/>
        <c:minorTickMark val="none"/>
        <c:tickLblPos val="nextTo"/>
        <c:spPr>
          <a:ln w="3175">
            <a:solidFill>
              <a:srgbClr val="000000"/>
            </a:solidFill>
          </a:ln>
        </c:spPr>
        <c:crossAx val="12780113"/>
        <c:crosses val="autoZero"/>
        <c:auto val="1"/>
        <c:lblOffset val="100"/>
        <c:tickLblSkip val="1"/>
        <c:noMultiLvlLbl val="0"/>
      </c:catAx>
      <c:valAx>
        <c:axId val="127801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072336"/>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14125484"/>
        <c:axId val="60020493"/>
      </c:barChart>
      <c:catAx>
        <c:axId val="14125484"/>
        <c:scaling>
          <c:orientation val="minMax"/>
        </c:scaling>
        <c:axPos val="b"/>
        <c:delete val="0"/>
        <c:numFmt formatCode="General" sourceLinked="1"/>
        <c:majorTickMark val="out"/>
        <c:minorTickMark val="none"/>
        <c:tickLblPos val="nextTo"/>
        <c:spPr>
          <a:ln w="3175">
            <a:solidFill>
              <a:srgbClr val="000000"/>
            </a:solidFill>
          </a:ln>
        </c:spPr>
        <c:crossAx val="60020493"/>
        <c:crosses val="autoZero"/>
        <c:auto val="1"/>
        <c:lblOffset val="100"/>
        <c:tickLblSkip val="1"/>
        <c:noMultiLvlLbl val="0"/>
      </c:catAx>
      <c:valAx>
        <c:axId val="600204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12548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3313526"/>
        <c:axId val="29821735"/>
      </c:barChart>
      <c:catAx>
        <c:axId val="3313526"/>
        <c:scaling>
          <c:orientation val="minMax"/>
        </c:scaling>
        <c:axPos val="b"/>
        <c:delete val="0"/>
        <c:numFmt formatCode="General" sourceLinked="1"/>
        <c:majorTickMark val="out"/>
        <c:minorTickMark val="none"/>
        <c:tickLblPos val="nextTo"/>
        <c:spPr>
          <a:ln w="3175">
            <a:solidFill>
              <a:srgbClr val="000000"/>
            </a:solidFill>
          </a:ln>
        </c:spPr>
        <c:crossAx val="29821735"/>
        <c:crosses val="autoZero"/>
        <c:auto val="1"/>
        <c:lblOffset val="100"/>
        <c:tickLblSkip val="1"/>
        <c:noMultiLvlLbl val="0"/>
      </c:catAx>
      <c:valAx>
        <c:axId val="298217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13526"/>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67069024"/>
        <c:axId val="66750305"/>
      </c:barChart>
      <c:catAx>
        <c:axId val="67069024"/>
        <c:scaling>
          <c:orientation val="minMax"/>
        </c:scaling>
        <c:axPos val="b"/>
        <c:delete val="0"/>
        <c:numFmt formatCode="General" sourceLinked="1"/>
        <c:majorTickMark val="out"/>
        <c:minorTickMark val="none"/>
        <c:tickLblPos val="nextTo"/>
        <c:spPr>
          <a:ln w="3175">
            <a:solidFill>
              <a:srgbClr val="000000"/>
            </a:solidFill>
          </a:ln>
        </c:spPr>
        <c:crossAx val="66750305"/>
        <c:crosses val="autoZero"/>
        <c:auto val="1"/>
        <c:lblOffset val="100"/>
        <c:tickLblSkip val="1"/>
        <c:noMultiLvlLbl val="0"/>
      </c:catAx>
      <c:valAx>
        <c:axId val="667503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706902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63881834"/>
        <c:axId val="38065595"/>
      </c:barChart>
      <c:catAx>
        <c:axId val="63881834"/>
        <c:scaling>
          <c:orientation val="minMax"/>
        </c:scaling>
        <c:axPos val="b"/>
        <c:delete val="0"/>
        <c:numFmt formatCode="General" sourceLinked="1"/>
        <c:majorTickMark val="out"/>
        <c:minorTickMark val="none"/>
        <c:tickLblPos val="nextTo"/>
        <c:spPr>
          <a:ln w="3175">
            <a:solidFill>
              <a:srgbClr val="000000"/>
            </a:solidFill>
          </a:ln>
        </c:spPr>
        <c:crossAx val="38065595"/>
        <c:crosses val="autoZero"/>
        <c:auto val="1"/>
        <c:lblOffset val="100"/>
        <c:tickLblSkip val="1"/>
        <c:noMultiLvlLbl val="0"/>
      </c:catAx>
      <c:valAx>
        <c:axId val="380655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88183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7046036"/>
        <c:axId val="63414325"/>
      </c:barChart>
      <c:catAx>
        <c:axId val="7046036"/>
        <c:scaling>
          <c:orientation val="minMax"/>
        </c:scaling>
        <c:axPos val="b"/>
        <c:delete val="0"/>
        <c:numFmt formatCode="General" sourceLinked="1"/>
        <c:majorTickMark val="out"/>
        <c:minorTickMark val="none"/>
        <c:tickLblPos val="nextTo"/>
        <c:spPr>
          <a:ln w="3175">
            <a:solidFill>
              <a:srgbClr val="000000"/>
            </a:solidFill>
          </a:ln>
        </c:spPr>
        <c:crossAx val="63414325"/>
        <c:crosses val="autoZero"/>
        <c:auto val="1"/>
        <c:lblOffset val="100"/>
        <c:tickLblSkip val="1"/>
        <c:noMultiLvlLbl val="0"/>
      </c:catAx>
      <c:valAx>
        <c:axId val="634143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46036"/>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11"/>
          <c:y val="0.09325"/>
          <c:w val="0.75975"/>
          <c:h val="0.8905"/>
        </c:manualLayout>
      </c:layout>
      <c:barChart>
        <c:barDir val="col"/>
        <c:grouping val="clustered"/>
        <c:varyColors val="0"/>
        <c:ser>
          <c:idx val="0"/>
          <c:order val="0"/>
          <c:tx>
            <c:strRef>
              <c:f>inputPrYr!$D$66</c:f>
              <c:strCache>
                <c:ptCount val="1"/>
                <c:pt idx="0">
                  <c:v>2010 Tax Rate (2011 Column)</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inputPrYr!$D$67:$D$69</c:f>
              <c:numCache>
                <c:ptCount val="3"/>
                <c:pt idx="1">
                  <c:v>16.508</c:v>
                </c:pt>
              </c:numCache>
            </c:numRef>
          </c:val>
        </c:ser>
        <c:axId val="33858014"/>
        <c:axId val="36286671"/>
      </c:barChart>
      <c:catAx>
        <c:axId val="33858014"/>
        <c:scaling>
          <c:orientation val="minMax"/>
        </c:scaling>
        <c:axPos val="b"/>
        <c:delete val="0"/>
        <c:numFmt formatCode="General" sourceLinked="1"/>
        <c:majorTickMark val="out"/>
        <c:minorTickMark val="none"/>
        <c:tickLblPos val="nextTo"/>
        <c:spPr>
          <a:ln w="3175">
            <a:solidFill>
              <a:srgbClr val="000000"/>
            </a:solidFill>
          </a:ln>
        </c:spPr>
        <c:crossAx val="36286671"/>
        <c:crosses val="autoZero"/>
        <c:auto val="1"/>
        <c:lblOffset val="100"/>
        <c:tickLblSkip val="1"/>
        <c:noMultiLvlLbl val="0"/>
      </c:catAx>
      <c:valAx>
        <c:axId val="362866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858014"/>
        <c:crossesAt val="1"/>
        <c:crossBetween val="between"/>
        <c:dispUnits/>
      </c:valAx>
      <c:spPr>
        <a:solidFill>
          <a:srgbClr val="C0C0C0"/>
        </a:solidFill>
        <a:ln w="12700">
          <a:solidFill>
            <a:srgbClr val="808080"/>
          </a:solidFill>
        </a:ln>
      </c:spPr>
    </c:plotArea>
    <c:legend>
      <c:legendPos val="r"/>
      <c:layout>
        <c:manualLayout>
          <c:xMode val="edge"/>
          <c:yMode val="edge"/>
          <c:x val="0.78275"/>
          <c:y val="0.5035"/>
          <c:w val="0.21275"/>
          <c:h val="0.03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2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3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Chart 1"/>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
      <selection activeCell="BD3" sqref="BD3"/>
    </sheetView>
  </sheetViews>
  <sheetFormatPr defaultColWidth="8.796875" defaultRowHeight="15"/>
  <cols>
    <col min="1" max="1" width="79.3984375" style="52" customWidth="1"/>
    <col min="2" max="16384" width="8.8984375" style="52" customWidth="1"/>
  </cols>
  <sheetData>
    <row r="1" ht="15.75">
      <c r="A1" s="51" t="s">
        <v>887</v>
      </c>
    </row>
    <row r="3" ht="34.5" customHeight="1">
      <c r="A3" s="53" t="s">
        <v>945</v>
      </c>
    </row>
    <row r="4" ht="15.75">
      <c r="A4" s="54"/>
    </row>
    <row r="5" ht="52.5" customHeight="1">
      <c r="A5" s="55" t="s">
        <v>888</v>
      </c>
    </row>
    <row r="6" ht="15.75">
      <c r="A6" s="55"/>
    </row>
    <row r="7" ht="31.5">
      <c r="A7" s="55" t="s">
        <v>290</v>
      </c>
    </row>
    <row r="8" ht="15.75">
      <c r="A8" s="55"/>
    </row>
    <row r="9" ht="54" customHeight="1">
      <c r="A9" s="55" t="s">
        <v>295</v>
      </c>
    </row>
    <row r="10" ht="15.75">
      <c r="A10" s="55"/>
    </row>
    <row r="11" ht="15.75">
      <c r="A11" s="55" t="s">
        <v>884</v>
      </c>
    </row>
    <row r="13" ht="118.5" customHeight="1">
      <c r="A13" s="55" t="s">
        <v>985</v>
      </c>
    </row>
    <row r="14" ht="15.75">
      <c r="A14" s="55"/>
    </row>
    <row r="15" ht="83.25" customHeight="1">
      <c r="A15" s="55" t="s">
        <v>987</v>
      </c>
    </row>
    <row r="17" ht="15.75">
      <c r="A17" s="51" t="s">
        <v>39</v>
      </c>
    </row>
    <row r="18" ht="15.75">
      <c r="A18" s="51"/>
    </row>
    <row r="19" ht="15.75">
      <c r="A19" s="54" t="s">
        <v>986</v>
      </c>
    </row>
    <row r="21" ht="22.5" customHeight="1">
      <c r="A21" s="52" t="s">
        <v>334</v>
      </c>
    </row>
    <row r="22" ht="15.75" customHeight="1"/>
    <row r="23" ht="57.75" customHeight="1">
      <c r="A23" s="56" t="s">
        <v>294</v>
      </c>
    </row>
    <row r="24" ht="18.75" customHeight="1">
      <c r="A24" s="56"/>
    </row>
    <row r="26" ht="15.75">
      <c r="A26" s="51" t="s">
        <v>689</v>
      </c>
    </row>
    <row r="28" ht="34.5" customHeight="1">
      <c r="A28" s="55" t="s">
        <v>980</v>
      </c>
    </row>
    <row r="29" ht="9.75" customHeight="1">
      <c r="A29" s="55"/>
    </row>
    <row r="30" ht="15.75">
      <c r="A30" s="57" t="s">
        <v>946</v>
      </c>
    </row>
    <row r="31" ht="15.75">
      <c r="A31" s="55"/>
    </row>
    <row r="32" ht="17.25" customHeight="1">
      <c r="A32" s="58" t="s">
        <v>854</v>
      </c>
    </row>
    <row r="33" ht="17.25" customHeight="1">
      <c r="A33" s="59"/>
    </row>
    <row r="34" ht="87.75" customHeight="1">
      <c r="A34" s="60" t="s">
        <v>961</v>
      </c>
    </row>
    <row r="36" ht="15.75">
      <c r="A36" s="61" t="s">
        <v>947</v>
      </c>
    </row>
    <row r="38" ht="15.75">
      <c r="A38" s="62" t="s">
        <v>984</v>
      </c>
    </row>
    <row r="40" ht="15.75">
      <c r="A40" s="55" t="s">
        <v>690</v>
      </c>
    </row>
    <row r="42" ht="15.75">
      <c r="A42" s="51" t="s">
        <v>691</v>
      </c>
    </row>
    <row r="44" ht="70.5" customHeight="1">
      <c r="A44" s="55" t="s">
        <v>155</v>
      </c>
    </row>
    <row r="45" ht="52.5" customHeight="1">
      <c r="A45" s="63" t="s">
        <v>948</v>
      </c>
    </row>
    <row r="46" ht="108" customHeight="1">
      <c r="A46" s="63" t="s">
        <v>262</v>
      </c>
    </row>
    <row r="47" ht="15.75">
      <c r="A47" s="55"/>
    </row>
    <row r="48" ht="68.25" customHeight="1">
      <c r="A48" s="55" t="s">
        <v>156</v>
      </c>
    </row>
    <row r="49" ht="53.25" customHeight="1">
      <c r="A49" s="55" t="s">
        <v>949</v>
      </c>
    </row>
    <row r="50" ht="110.25" customHeight="1">
      <c r="A50" s="55" t="s">
        <v>291</v>
      </c>
    </row>
    <row r="51" ht="73.5" customHeight="1">
      <c r="A51" s="688" t="s">
        <v>240</v>
      </c>
    </row>
    <row r="52" ht="73.5" customHeight="1">
      <c r="A52" s="689" t="s">
        <v>635</v>
      </c>
    </row>
    <row r="53" ht="69.75" customHeight="1">
      <c r="A53" s="689" t="s">
        <v>225</v>
      </c>
    </row>
    <row r="54" ht="12" customHeight="1">
      <c r="A54" s="55"/>
    </row>
    <row r="55" ht="68.25" customHeight="1">
      <c r="A55" s="55" t="s">
        <v>636</v>
      </c>
    </row>
    <row r="56" ht="68.25" customHeight="1">
      <c r="A56" s="55" t="s">
        <v>637</v>
      </c>
    </row>
    <row r="57" ht="33.75" customHeight="1">
      <c r="A57" s="55" t="s">
        <v>264</v>
      </c>
    </row>
    <row r="58" ht="31.5">
      <c r="A58" s="55" t="s">
        <v>638</v>
      </c>
    </row>
    <row r="59" ht="15.75" customHeight="1"/>
    <row r="60" ht="68.25" customHeight="1">
      <c r="A60" s="55" t="s">
        <v>639</v>
      </c>
    </row>
    <row r="61" ht="118.5" customHeight="1">
      <c r="A61" s="55" t="s">
        <v>640</v>
      </c>
    </row>
    <row r="62" ht="31.5">
      <c r="A62" s="55" t="s">
        <v>641</v>
      </c>
    </row>
    <row r="63" ht="15.75">
      <c r="A63" s="55"/>
    </row>
    <row r="64" ht="70.5" customHeight="1">
      <c r="A64" s="55" t="s">
        <v>226</v>
      </c>
    </row>
    <row r="65" ht="15.75">
      <c r="A65" s="55"/>
    </row>
    <row r="66" ht="69" customHeight="1">
      <c r="A66" s="55" t="s">
        <v>642</v>
      </c>
    </row>
    <row r="67" ht="24.75" customHeight="1">
      <c r="A67" s="55" t="s">
        <v>47</v>
      </c>
    </row>
    <row r="68" ht="84.75" customHeight="1">
      <c r="A68" s="55" t="s">
        <v>48</v>
      </c>
    </row>
    <row r="69" ht="25.5" customHeight="1">
      <c r="A69" s="403" t="s">
        <v>46</v>
      </c>
    </row>
    <row r="70" ht="15.75">
      <c r="A70" s="55"/>
    </row>
    <row r="71" ht="60" customHeight="1">
      <c r="A71" s="55" t="s">
        <v>643</v>
      </c>
    </row>
    <row r="73" s="55" customFormat="1" ht="69" customHeight="1">
      <c r="A73" s="55" t="s">
        <v>644</v>
      </c>
    </row>
    <row r="75" ht="92.25" customHeight="1">
      <c r="A75" s="55" t="s">
        <v>645</v>
      </c>
    </row>
    <row r="76" ht="97.5" customHeight="1">
      <c r="A76" s="504" t="s">
        <v>227</v>
      </c>
    </row>
    <row r="77" ht="92.25" customHeight="1">
      <c r="A77" s="504" t="s">
        <v>228</v>
      </c>
    </row>
    <row r="78" ht="82.5" customHeight="1">
      <c r="A78" s="504" t="s">
        <v>242</v>
      </c>
    </row>
    <row r="79" ht="72.75" customHeight="1">
      <c r="A79" s="55" t="s">
        <v>243</v>
      </c>
    </row>
    <row r="80" ht="92.25" customHeight="1">
      <c r="A80" s="55" t="s">
        <v>272</v>
      </c>
    </row>
    <row r="81" ht="117" customHeight="1">
      <c r="A81" s="55" t="s">
        <v>270</v>
      </c>
    </row>
    <row r="82" ht="140.25" customHeight="1">
      <c r="A82" s="55" t="s">
        <v>271</v>
      </c>
    </row>
    <row r="83" ht="132.75" customHeight="1">
      <c r="A83" s="55" t="s">
        <v>273</v>
      </c>
    </row>
    <row r="84" ht="37.5" customHeight="1">
      <c r="A84" s="55" t="s">
        <v>274</v>
      </c>
    </row>
    <row r="85" ht="87" customHeight="1">
      <c r="A85" s="55" t="s">
        <v>275</v>
      </c>
    </row>
    <row r="86" ht="36.75" customHeight="1">
      <c r="A86" s="55" t="s">
        <v>276</v>
      </c>
    </row>
    <row r="87" ht="125.25" customHeight="1">
      <c r="A87" s="698" t="s">
        <v>277</v>
      </c>
    </row>
    <row r="88" ht="117.75" customHeight="1">
      <c r="A88" s="698" t="s">
        <v>278</v>
      </c>
    </row>
    <row r="89" ht="56.25" customHeight="1">
      <c r="A89" s="55" t="s">
        <v>419</v>
      </c>
    </row>
    <row r="91" ht="138" customHeight="1">
      <c r="A91" s="55" t="s">
        <v>646</v>
      </c>
    </row>
    <row r="92" ht="130.5" customHeight="1">
      <c r="A92" s="55" t="s">
        <v>33</v>
      </c>
    </row>
    <row r="93" ht="53.25" customHeight="1">
      <c r="A93" s="55" t="s">
        <v>35</v>
      </c>
    </row>
    <row r="94" ht="19.5" customHeight="1">
      <c r="A94" s="55" t="s">
        <v>34</v>
      </c>
    </row>
    <row r="96" ht="52.5" customHeight="1">
      <c r="A96" s="55" t="s">
        <v>36</v>
      </c>
    </row>
    <row r="97" ht="24.75" customHeight="1">
      <c r="A97" s="431" t="s">
        <v>37</v>
      </c>
    </row>
    <row r="98" ht="41.25" customHeight="1">
      <c r="A98" s="504" t="s">
        <v>229</v>
      </c>
    </row>
    <row r="99" ht="125.25" customHeight="1">
      <c r="A99" s="504" t="s">
        <v>230</v>
      </c>
    </row>
    <row r="100" ht="143.25" customHeight="1">
      <c r="A100" s="504" t="s">
        <v>231</v>
      </c>
    </row>
    <row r="101" ht="79.5" customHeight="1">
      <c r="A101" s="696" t="s">
        <v>232</v>
      </c>
    </row>
    <row r="102" ht="52.5" customHeight="1">
      <c r="A102" s="55" t="s">
        <v>233</v>
      </c>
    </row>
    <row r="103" ht="56.25" customHeight="1">
      <c r="A103" s="55" t="s">
        <v>234</v>
      </c>
    </row>
    <row r="105" ht="66" customHeight="1">
      <c r="A105" s="55" t="s">
        <v>38</v>
      </c>
    </row>
    <row r="106" ht="17.25" customHeight="1"/>
    <row r="107" ht="64.5" customHeight="1">
      <c r="A107" s="504" t="s">
        <v>157</v>
      </c>
    </row>
    <row r="108" ht="106.5" customHeight="1">
      <c r="A108" s="504" t="s">
        <v>158</v>
      </c>
    </row>
    <row r="109" ht="117.75" customHeight="1">
      <c r="A109" s="504" t="s">
        <v>159</v>
      </c>
    </row>
  </sheetData>
  <sheetProtection sheet="1"/>
  <printOptions/>
  <pageMargins left="0.5" right="0.5" top="0.5" bottom="0.5" header="0.5" footer="0.5"/>
  <pageSetup blackAndWhite="1" fitToHeight="2" horizontalDpi="300" verticalDpi="300" orientation="portrait" scale="90" r:id="rId1"/>
  <rowBreaks count="3" manualBreakCount="3">
    <brk id="24" max="0" man="1"/>
    <brk id="59" max="0" man="1"/>
    <brk id="83" max="0" man="1"/>
  </rowBreaks>
</worksheet>
</file>

<file path=xl/worksheets/sheet10.xml><?xml version="1.0" encoding="utf-8"?>
<worksheet xmlns="http://schemas.openxmlformats.org/spreadsheetml/2006/main" xmlns:r="http://schemas.openxmlformats.org/officeDocument/2006/relationships">
  <dimension ref="A1:I65"/>
  <sheetViews>
    <sheetView zoomScalePageLayoutView="0" workbookViewId="0" topLeftCell="A1">
      <selection activeCell="I12" sqref="I12"/>
    </sheetView>
  </sheetViews>
  <sheetFormatPr defaultColWidth="8.796875" defaultRowHeight="15"/>
  <cols>
    <col min="1" max="1" width="8.8984375" style="52" customWidth="1"/>
    <col min="2" max="2" width="18.796875" style="52" customWidth="1"/>
    <col min="3" max="3" width="12.796875" style="52" customWidth="1"/>
    <col min="4" max="4" width="0.1015625" style="52" customWidth="1"/>
    <col min="5" max="5" width="11.8984375" style="52" customWidth="1"/>
    <col min="6" max="6" width="12.09765625" style="52" customWidth="1"/>
    <col min="7" max="8" width="11.796875" style="52" customWidth="1"/>
    <col min="9" max="16384" width="8.8984375" style="52" customWidth="1"/>
  </cols>
  <sheetData>
    <row r="1" spans="1:9" ht="15.75">
      <c r="A1" s="67"/>
      <c r="B1" s="67"/>
      <c r="C1" s="67"/>
      <c r="D1" s="67"/>
      <c r="E1" s="67"/>
      <c r="F1" s="67"/>
      <c r="G1" s="67"/>
      <c r="H1" s="67"/>
      <c r="I1" s="67"/>
    </row>
    <row r="2" spans="1:9" ht="15.75">
      <c r="A2" s="67"/>
      <c r="B2" s="67"/>
      <c r="C2" s="67"/>
      <c r="D2" s="67"/>
      <c r="E2" s="67"/>
      <c r="F2" s="67"/>
      <c r="G2" s="67"/>
      <c r="H2" s="67"/>
      <c r="I2" s="67"/>
    </row>
    <row r="3" spans="1:9" ht="15.75">
      <c r="A3" s="67"/>
      <c r="B3" s="200" t="str">
        <f>inputPrYr!C3</f>
        <v>Russell County</v>
      </c>
      <c r="C3" s="67"/>
      <c r="D3" s="67"/>
      <c r="E3" s="67"/>
      <c r="F3" s="67"/>
      <c r="G3" s="107"/>
      <c r="H3" s="108"/>
      <c r="I3" s="67"/>
    </row>
    <row r="4" spans="1:9" ht="15.75">
      <c r="A4" s="67"/>
      <c r="B4" s="67"/>
      <c r="C4" s="67"/>
      <c r="D4" s="67"/>
      <c r="E4" s="67"/>
      <c r="F4" s="67"/>
      <c r="G4" s="107"/>
      <c r="H4" s="108">
        <f>inputPrYr!C5</f>
        <v>2013</v>
      </c>
      <c r="I4" s="67"/>
    </row>
    <row r="5" spans="1:9" ht="15.75">
      <c r="A5" s="67"/>
      <c r="B5" s="728" t="s">
        <v>192</v>
      </c>
      <c r="C5" s="728"/>
      <c r="D5" s="728"/>
      <c r="E5" s="728"/>
      <c r="F5" s="728"/>
      <c r="G5" s="728"/>
      <c r="H5" s="67"/>
      <c r="I5" s="67"/>
    </row>
    <row r="6" spans="1:9" ht="15.75">
      <c r="A6" s="67"/>
      <c r="B6" s="64"/>
      <c r="C6" s="64"/>
      <c r="D6" s="64"/>
      <c r="E6" s="64"/>
      <c r="F6" s="64"/>
      <c r="G6" s="64"/>
      <c r="H6" s="126"/>
      <c r="I6" s="67"/>
    </row>
    <row r="7" spans="1:9" ht="15.75">
      <c r="A7" s="67"/>
      <c r="B7" s="144"/>
      <c r="C7" s="75"/>
      <c r="D7" s="75"/>
      <c r="E7" s="75"/>
      <c r="F7" s="75"/>
      <c r="G7" s="67"/>
      <c r="H7" s="108"/>
      <c r="I7" s="67"/>
    </row>
    <row r="8" spans="1:9" ht="21.75" customHeight="1">
      <c r="A8" s="67"/>
      <c r="B8" s="223"/>
      <c r="C8" s="729" t="str">
        <f>CONCATENATE("Budget Tax Levy Amount for ",H4-2,"")</f>
        <v>Budget Tax Levy Amount for 2011</v>
      </c>
      <c r="D8" s="739"/>
      <c r="E8" s="740" t="str">
        <f>CONCATENATE("Allocation for Year ",H4,"")</f>
        <v>Allocation for Year 2013</v>
      </c>
      <c r="F8" s="741"/>
      <c r="G8" s="742"/>
      <c r="H8" s="224"/>
      <c r="I8" s="67"/>
    </row>
    <row r="9" spans="1:9" ht="23.25" customHeight="1">
      <c r="A9" s="67"/>
      <c r="B9" s="155" t="str">
        <f>CONCATENATE("",H4-1," Budgeted Funds")</f>
        <v>2012 Budgeted Funds</v>
      </c>
      <c r="C9" s="714"/>
      <c r="D9" s="714"/>
      <c r="E9" s="152" t="s">
        <v>721</v>
      </c>
      <c r="F9" s="152" t="s">
        <v>813</v>
      </c>
      <c r="G9" s="152" t="s">
        <v>840</v>
      </c>
      <c r="H9" s="126"/>
      <c r="I9" s="67"/>
    </row>
    <row r="10" spans="1:9" ht="16.5" customHeight="1">
      <c r="A10" s="67"/>
      <c r="B10" s="110" t="str">
        <f>(inputPrYr!B16)</f>
        <v>General</v>
      </c>
      <c r="C10" s="158">
        <f>IF(inputPrYr!E16&gt;0,inputPrYr!E16,"  ")</f>
        <v>1685132</v>
      </c>
      <c r="D10" s="225">
        <f>IF(inputPrYr!F16&gt;0,(inputPrYr!F16),"  ")</f>
        <v>15.64</v>
      </c>
      <c r="E10" s="158">
        <f>IF(inputPrYr!$E$16=0,0,E37-SUM(E11:E34))</f>
        <v>120071</v>
      </c>
      <c r="F10" s="158">
        <f>IF(inputPrYr!E16=0,0,F39-SUM(F11:F34))</f>
        <v>1933</v>
      </c>
      <c r="G10" s="158">
        <f>IF(inputPrYr!$E16=0,0,G41-SUM(G11:G34))</f>
        <v>8168</v>
      </c>
      <c r="H10" s="126"/>
      <c r="I10" s="67"/>
    </row>
    <row r="11" spans="1:9" ht="15.75">
      <c r="A11" s="67"/>
      <c r="B11" s="110" t="str">
        <f>(inputPrYr!B17)</f>
        <v>Debt Service</v>
      </c>
      <c r="C11" s="158" t="str">
        <f>IF(inputPrYr!E17&gt;0,inputPrYr!E17,"  ")</f>
        <v>  </v>
      </c>
      <c r="D11" s="225" t="str">
        <f>IF(inputPrYr!F17&gt;0,(inputPrYr!F17),"  ")</f>
        <v>  </v>
      </c>
      <c r="E11" s="158" t="str">
        <f>IF(inputPrYr!$E$17&gt;0,ROUND(+C11*E$44,0)," ")</f>
        <v> </v>
      </c>
      <c r="F11" s="158" t="str">
        <f>IF(inputPrYr!$E$17&gt;0,ROUND(+C11*F$46,0)," ")</f>
        <v> </v>
      </c>
      <c r="G11" s="158" t="str">
        <f>IF(inputPrYr!$E$17&gt;0,ROUND(+C11*G$48,0)," ")</f>
        <v> </v>
      </c>
      <c r="H11" s="126"/>
      <c r="I11" s="67"/>
    </row>
    <row r="12" spans="1:9" ht="15.75">
      <c r="A12" s="67"/>
      <c r="B12" s="110" t="str">
        <f>(inputPrYr!B18)</f>
        <v>Road &amp; Bridge</v>
      </c>
      <c r="C12" s="158">
        <f>IF(inputPrYr!E18&gt;0,inputPrYr!E18,"  ")</f>
        <v>1734507</v>
      </c>
      <c r="D12" s="225">
        <f>IF(inputPrYr!F18&gt;0,(inputPrYr!F18),"  ")</f>
        <v>16.099</v>
      </c>
      <c r="E12" s="158">
        <f>IF(inputPrYr!$E$18&gt;0,ROUND(+C12*E$44,0)," ")</f>
        <v>123590</v>
      </c>
      <c r="F12" s="158">
        <f>IF(inputPrYr!$E$18&gt;0,ROUND(+C12*F$46,0)," ")</f>
        <v>1989</v>
      </c>
      <c r="G12" s="158">
        <f>IF(inputPrYr!$E$18&gt;0,ROUND(+C12*G$48,0)," ")</f>
        <v>8406</v>
      </c>
      <c r="H12" s="126"/>
      <c r="I12" s="67"/>
    </row>
    <row r="13" spans="1:9" ht="15.75">
      <c r="A13" s="67"/>
      <c r="B13" s="110" t="str">
        <f>IF((inputPrYr!$B19&gt;" "),(inputPrYr!$B19),"  ")</f>
        <v>Special Bridge</v>
      </c>
      <c r="C13" s="158">
        <f>IF(inputPrYr!E19&gt;0,inputPrYr!E19,"  ")</f>
        <v>356819</v>
      </c>
      <c r="D13" s="225">
        <f>IF(inputPrYr!F19&gt;0,(inputPrYr!F19),"  ")</f>
        <v>3.312</v>
      </c>
      <c r="E13" s="158">
        <f>IF(inputPrYr!$E$19&gt;0,ROUND(+C13*E$44,0)," ")</f>
        <v>25425</v>
      </c>
      <c r="F13" s="158">
        <f>IF(inputPrYr!$E$19&gt;0,ROUND(+C13*F$46,0)," ")</f>
        <v>409</v>
      </c>
      <c r="G13" s="158">
        <f>IF(inputPrYr!$E$19&gt;0,ROUND(+C13*G$48,0)," ")</f>
        <v>1729</v>
      </c>
      <c r="H13" s="126"/>
      <c r="I13" s="67"/>
    </row>
    <row r="14" spans="1:9" ht="15.75">
      <c r="A14" s="67"/>
      <c r="B14" s="110" t="str">
        <f>IF((inputPrYr!$B20&gt;" "),(inputPrYr!$B20),"  ")</f>
        <v>Noxious Weed</v>
      </c>
      <c r="C14" s="158">
        <f>IF(inputPrYr!E20&gt;0,inputPrYr!E20,"  ")</f>
        <v>161316</v>
      </c>
      <c r="D14" s="225">
        <f>IF(inputPrYr!F20&gt;0,(inputPrYr!F20),"  ")</f>
        <v>1.5</v>
      </c>
      <c r="E14" s="158">
        <f>IF(inputPrYr!E20&gt;0,ROUND(+C14*E$44,0)," ")</f>
        <v>11494</v>
      </c>
      <c r="F14" s="158">
        <f>IF(inputPrYr!$E$20&gt;0,ROUND(+C14*F$46,0)," ")</f>
        <v>185</v>
      </c>
      <c r="G14" s="158">
        <f>IF(inputPrYr!$E$20&gt;0,ROUND(+C14*G$48,0)," ")</f>
        <v>782</v>
      </c>
      <c r="H14" s="126"/>
      <c r="I14" s="67"/>
    </row>
    <row r="15" spans="1:9" ht="15.75">
      <c r="A15" s="67"/>
      <c r="B15" s="110" t="str">
        <f>IF((inputPrYr!$B21&gt;" "),(inputPrYr!$B21),"  ")</f>
        <v>4-H Bldg Maintenance</v>
      </c>
      <c r="C15" s="158">
        <f>IF(inputPrYr!E21&gt;0,inputPrYr!E21,"  ")</f>
        <v>72423</v>
      </c>
      <c r="D15" s="225">
        <f>IF(inputPrYr!F21&gt;0,(inputPrYr!F21),"  ")</f>
        <v>0.672</v>
      </c>
      <c r="E15" s="158">
        <f>IF(inputPrYr!E21&gt;0,ROUND(+C15*E$44,0),"  ")</f>
        <v>5160</v>
      </c>
      <c r="F15" s="158">
        <f>IF(inputPrYr!E21&gt;0,ROUND(+C15*F$46,0),"  ")</f>
        <v>83</v>
      </c>
      <c r="G15" s="158">
        <f>IF(inputPrYr!E21&gt;0,ROUND(+C15*G$48,0),"  ")</f>
        <v>351</v>
      </c>
      <c r="H15" s="126"/>
      <c r="I15" s="67"/>
    </row>
    <row r="16" spans="1:9" ht="15.75">
      <c r="A16" s="67"/>
      <c r="B16" s="110" t="str">
        <f>IF((inputPrYr!$B22&gt;" "),(inputPrYr!$B22),"  ")</f>
        <v>Election Expense</v>
      </c>
      <c r="C16" s="158">
        <f>IF(inputPrYr!E22&gt;0,inputPrYr!E22,"  ")</f>
        <v>28356</v>
      </c>
      <c r="D16" s="225">
        <f>IF(inputPrYr!F22&gt;0,(inputPrYr!F22),"  ")</f>
        <v>0.263</v>
      </c>
      <c r="E16" s="158">
        <f>IF(inputPrYr!E22&gt;0,ROUND(+C16*E$44,0),"  ")</f>
        <v>2020</v>
      </c>
      <c r="F16" s="158">
        <f>IF(inputPrYr!E22&gt;0,ROUND(+C16*F$46,0),"  ")</f>
        <v>33</v>
      </c>
      <c r="G16" s="158">
        <f>IF(inputPrYr!E22&gt;0,ROUND(+C16*G$48,0),"  ")</f>
        <v>137</v>
      </c>
      <c r="H16" s="126"/>
      <c r="I16" s="67"/>
    </row>
    <row r="17" spans="1:9" ht="15.75">
      <c r="A17" s="67"/>
      <c r="B17" s="110" t="str">
        <f>IF((inputPrYr!$B23&gt;" "),(inputPrYr!$B23),"  ")</f>
        <v>Ambulance</v>
      </c>
      <c r="C17" s="158">
        <f>IF(inputPrYr!E23&gt;0,inputPrYr!E23,"  ")</f>
        <v>750000</v>
      </c>
      <c r="D17" s="225">
        <f>IF(inputPrYr!F23&gt;0,(inputPrYr!F23),"  ")</f>
        <v>6.961</v>
      </c>
      <c r="E17" s="158">
        <f>IF(inputPrYr!E23&gt;0,ROUND(+C17*E$44,0),"  ")</f>
        <v>53440</v>
      </c>
      <c r="F17" s="158">
        <f>IF(inputPrYr!E23&gt;0,ROUND(+C17*F$46,0),"  ")</f>
        <v>860</v>
      </c>
      <c r="G17" s="158">
        <f>IF(inputPrYr!E23&gt;0,ROUND(+C17*G$48,0),"  ")</f>
        <v>3635</v>
      </c>
      <c r="H17" s="126"/>
      <c r="I17" s="67"/>
    </row>
    <row r="18" spans="1:9" ht="15.75">
      <c r="A18" s="67"/>
      <c r="B18" s="110" t="str">
        <f>IF((inputPrYr!$B24&gt;" "),(inputPrYr!$B24),"  ")</f>
        <v>Free Fair</v>
      </c>
      <c r="C18" s="158">
        <f>IF(inputPrYr!E24&gt;0,inputPrYr!E24,"  ")</f>
        <v>45969</v>
      </c>
      <c r="D18" s="225">
        <f>IF(inputPrYr!F24&gt;0,(inputPrYr!F24),"  ")</f>
        <v>0.426</v>
      </c>
      <c r="E18" s="158">
        <f>IF(inputPrYr!E24&gt;0,ROUND(C18*E$44,0),"  ")</f>
        <v>3275</v>
      </c>
      <c r="F18" s="158">
        <f>IF(inputPrYr!E24&gt;0,ROUND(+C18*F$46,0),"  ")</f>
        <v>53</v>
      </c>
      <c r="G18" s="158">
        <f>IF(inputPrYr!E24&gt;0,ROUND(+C18*G$48,0),"  ")</f>
        <v>223</v>
      </c>
      <c r="H18" s="126"/>
      <c r="I18" s="67"/>
    </row>
    <row r="19" spans="1:9" ht="15.75">
      <c r="A19" s="67"/>
      <c r="B19" s="110" t="str">
        <f>IF((inputPrYr!$B25&gt;" "),(inputPrYr!$B25),"  ")</f>
        <v>Ag Extension Council</v>
      </c>
      <c r="C19" s="158">
        <f>IF(inputPrYr!E25&gt;0,inputPrYr!E25,"  ")</f>
        <v>148101</v>
      </c>
      <c r="D19" s="225">
        <f>IF(inputPrYr!F25&gt;0,(inputPrYr!F25),"  ")</f>
        <v>1.375</v>
      </c>
      <c r="E19" s="158">
        <f>IF(inputPrYr!E25&gt;0,ROUND(+C19*E$44,0),"  ")</f>
        <v>10553</v>
      </c>
      <c r="F19" s="158">
        <f>IF(inputPrYr!E25&gt;0,ROUND(+C19*F$46,0),"  ")</f>
        <v>170</v>
      </c>
      <c r="G19" s="158">
        <f>IF(inputPrYr!E25&gt;0,ROUND(+C19*G$48,0),"  ")</f>
        <v>718</v>
      </c>
      <c r="H19" s="126"/>
      <c r="I19" s="67"/>
    </row>
    <row r="20" spans="1:9" ht="15.75">
      <c r="A20" s="67"/>
      <c r="B20" s="110" t="str">
        <f>IF((inputPrYr!$B26&gt;" "),(inputPrYr!$B26),"  ")</f>
        <v>Mental Health</v>
      </c>
      <c r="C20" s="158">
        <f>IF(inputPrYr!E26&gt;0,inputPrYr!E26,"  ")</f>
        <v>44776</v>
      </c>
      <c r="D20" s="225">
        <f>IF(inputPrYr!F26&gt;0,(inputPrYr!F26),"  ")</f>
        <v>0.416</v>
      </c>
      <c r="E20" s="158">
        <f>IF(inputPrYr!E26&gt;0,ROUND(+C20*E$44,0),"  ")</f>
        <v>3190</v>
      </c>
      <c r="F20" s="158">
        <f>IF(inputPrYr!E26&gt;0,ROUND(+C20*F$46,0),"  ")</f>
        <v>51</v>
      </c>
      <c r="G20" s="158">
        <f>IF(inputPrYr!E26&gt;0,ROUND(+C20*G$48,0),"  ")</f>
        <v>217</v>
      </c>
      <c r="H20" s="126"/>
      <c r="I20" s="67"/>
    </row>
    <row r="21" spans="1:9" ht="15.75">
      <c r="A21" s="67"/>
      <c r="B21" s="110" t="str">
        <f>IF((inputPrYr!$B27&gt;" "),(inputPrYr!$B27),"  ")</f>
        <v>Service for the Elderly</v>
      </c>
      <c r="C21" s="158">
        <f>IF(inputPrYr!E27&gt;0,inputPrYr!E27,"  ")</f>
        <v>107020</v>
      </c>
      <c r="D21" s="225">
        <f>IF(inputPrYr!F27&gt;0,(inputPrYr!F27),"  ")</f>
        <v>1</v>
      </c>
      <c r="E21" s="158">
        <f>IF(inputPrYr!E27&gt;0,ROUND(+C21*E$44,0),"  ")</f>
        <v>7626</v>
      </c>
      <c r="F21" s="158">
        <f>IF(inputPrYr!E27&gt;0,ROUND(+C21*F$46,0),"  ")</f>
        <v>123</v>
      </c>
      <c r="G21" s="158">
        <f>IF(inputPrYr!E27&gt;0,ROUND(+C21*G$48,0),"  ")</f>
        <v>519</v>
      </c>
      <c r="H21" s="126"/>
      <c r="I21" s="67"/>
    </row>
    <row r="22" spans="1:9" ht="15.75">
      <c r="A22" s="67"/>
      <c r="B22" s="110" t="str">
        <f>IF((inputPrYr!$B28&gt;" "),(inputPrYr!$B28),"  ")</f>
        <v>County Health</v>
      </c>
      <c r="C22" s="158">
        <f>IF(inputPrYr!E28&gt;0,inputPrYr!E28,"  ")</f>
        <v>115273</v>
      </c>
      <c r="D22" s="225">
        <f>IF(inputPrYr!F28&gt;0,(inputPrYr!F28),"  ")</f>
        <v>1.07</v>
      </c>
      <c r="E22" s="158">
        <f>IF(inputPrYr!E28&gt;0,ROUND(+C22*E$44,0),"  ")</f>
        <v>8214</v>
      </c>
      <c r="F22" s="158">
        <f>IF(inputPrYr!E28&gt;0,ROUND(+C22*F$46,0),"  ")</f>
        <v>132</v>
      </c>
      <c r="G22" s="158">
        <f>IF(inputPrYr!E28&gt;0,ROUND(+C22*G$48,0),"  ")</f>
        <v>559</v>
      </c>
      <c r="H22" s="126"/>
      <c r="I22" s="67"/>
    </row>
    <row r="23" spans="1:9" ht="15.75">
      <c r="A23" s="67"/>
      <c r="B23" s="110" t="str">
        <f>IF((inputPrYr!$B29&gt;" "),(inputPrYr!$B29),"  ")</f>
        <v>Developmental Service</v>
      </c>
      <c r="C23" s="158">
        <f>IF(inputPrYr!E29&gt;0,inputPrYr!E29,"  ")</f>
        <v>71038</v>
      </c>
      <c r="D23" s="225">
        <f>IF(inputPrYr!F29&gt;0,(inputPrYr!F29),"  ")</f>
        <v>0.659</v>
      </c>
      <c r="E23" s="158">
        <f>IF(inputPrYr!E29&gt;0,ROUND(+C23*E$44,0),"  ")</f>
        <v>5062</v>
      </c>
      <c r="F23" s="158">
        <f>IF(inputPrYr!E29&gt;0,ROUND(+C23*F$46,0),"  ")</f>
        <v>81</v>
      </c>
      <c r="G23" s="158">
        <f>IF(inputPrYr!E29&gt;0,ROUND(+C23*G$48,0),"  ")</f>
        <v>344</v>
      </c>
      <c r="H23" s="126"/>
      <c r="I23" s="67"/>
    </row>
    <row r="24" spans="1:9" ht="15.75">
      <c r="A24" s="67"/>
      <c r="B24" s="110" t="str">
        <f>IF((inputPrYr!$B30&gt;" "),(inputPrYr!$B30),"  ")</f>
        <v>Appraiser</v>
      </c>
      <c r="C24" s="158">
        <f>IF(inputPrYr!E30&gt;0,inputPrYr!E30,"  ")</f>
        <v>168257</v>
      </c>
      <c r="D24" s="225">
        <f>IF(inputPrYr!F30&gt;0,(inputPrYr!F30),"  ")</f>
        <v>1.561</v>
      </c>
      <c r="E24" s="158">
        <f>IF(inputPrYr!E30&gt;0,ROUND(+C24*E$44,0),"  ")</f>
        <v>11989</v>
      </c>
      <c r="F24" s="158">
        <f>IF(inputPrYr!E30&gt;0,ROUND(+C24*F$46,0),"  ")</f>
        <v>193</v>
      </c>
      <c r="G24" s="158">
        <f>IF(inputPrYr!E30&gt;0,ROUND(+C24*G$48,0),"  ")</f>
        <v>815</v>
      </c>
      <c r="H24" s="126"/>
      <c r="I24" s="67"/>
    </row>
    <row r="25" spans="1:9" ht="15.75">
      <c r="A25" s="67"/>
      <c r="B25" s="110" t="str">
        <f>IF((inputPrYr!$B31&gt;" "),(inputPrYr!$B31),"  ")</f>
        <v>Special Road and Bridge</v>
      </c>
      <c r="C25" s="158">
        <f>IF(inputPrYr!E31&gt;0,inputPrYr!E31,"  ")</f>
        <v>214038</v>
      </c>
      <c r="D25" s="225">
        <f>IF(inputPrYr!F31&gt;0,(inputPrYr!F31),"  ")</f>
        <v>2</v>
      </c>
      <c r="E25" s="158">
        <f>IF(inputPrYr!E31&gt;0,ROUND(+C25*E$44,0),"  ")</f>
        <v>15251</v>
      </c>
      <c r="F25" s="158">
        <f>IF(inputPrYr!E31&gt;0,ROUND(C25*F$46,0),"  ")</f>
        <v>245</v>
      </c>
      <c r="G25" s="158">
        <f>IF(inputPrYr!E31&gt;0,ROUND(+C25*G$48,0),"  ")</f>
        <v>1037</v>
      </c>
      <c r="H25" s="126"/>
      <c r="I25" s="67"/>
    </row>
    <row r="26" spans="1:9" ht="15.75">
      <c r="A26" s="67"/>
      <c r="B26" s="110" t="str">
        <f>IF((inputPrYr!$B32&gt;" "),(inputPrYr!$B32),"  ")</f>
        <v>Employee Benefit</v>
      </c>
      <c r="C26" s="158">
        <f>IF(inputPrYr!E32&gt;0,inputPrYr!E32,"  ")</f>
        <v>1954751</v>
      </c>
      <c r="D26" s="225">
        <f>IF(inputPrYr!F32&gt;0,(inputPrYr!F32),"  ")</f>
        <v>18.143</v>
      </c>
      <c r="E26" s="158">
        <f>IF(inputPrYr!E32&gt;0,ROUND(+C26*E$44,0),"  ")</f>
        <v>139283</v>
      </c>
      <c r="F26" s="158">
        <f>IF(inputPrYr!E32&gt;0,ROUND(+C26*F$46,0),"  ")</f>
        <v>2242</v>
      </c>
      <c r="G26" s="158">
        <f>IF(inputPrYr!E32&gt;0,ROUND(+C26*G$48,0),"  ")</f>
        <v>9473</v>
      </c>
      <c r="H26" s="126"/>
      <c r="I26" s="67"/>
    </row>
    <row r="27" spans="1:9" ht="15.75">
      <c r="A27" s="67"/>
      <c r="B27" s="110" t="str">
        <f>IF((inputPrYr!$B33&gt;" "),(inputPrYr!$B33),"  ")</f>
        <v>Historical Society</v>
      </c>
      <c r="C27" s="158">
        <f>IF(inputPrYr!E33&gt;0,inputPrYr!E33,"  ")</f>
        <v>53510</v>
      </c>
      <c r="D27" s="225">
        <f>IF(inputPrYr!F33&gt;0,(inputPrYr!F33),"  ")</f>
        <v>0.5</v>
      </c>
      <c r="E27" s="158">
        <f>IF(inputPrYr!E33&gt;0,ROUND(+C27*E$44,0),"  ")</f>
        <v>3813</v>
      </c>
      <c r="F27" s="158">
        <f>IF(inputPrYr!E33&gt;0,ROUND(+C27*F$46,0),"  ")</f>
        <v>61</v>
      </c>
      <c r="G27" s="158">
        <f>IF(inputPrYr!E33&gt;0,ROUND(+C27*G$48,0),"  ")</f>
        <v>259</v>
      </c>
      <c r="H27" s="126"/>
      <c r="I27" s="67"/>
    </row>
    <row r="28" spans="1:9" ht="15.75">
      <c r="A28" s="67"/>
      <c r="B28" s="110" t="str">
        <f>IF((inputPrYr!$B34&gt;" "),(inputPrYr!$B34),"  ")</f>
        <v>Hospital Board</v>
      </c>
      <c r="C28" s="158">
        <f>IF(inputPrYr!E34&gt;0,inputPrYr!E34,"  ")</f>
        <v>631418</v>
      </c>
      <c r="D28" s="225">
        <f>IF(inputPrYr!F34&gt;0,(inputPrYr!F34),"  ")</f>
        <v>5.9</v>
      </c>
      <c r="E28" s="158">
        <f>IF(inputPrYr!E34&gt;0,ROUND(+C28*E$44,0),"  ")</f>
        <v>44991</v>
      </c>
      <c r="F28" s="158">
        <f>IF(inputPrYr!E34&gt;0,ROUND(+C28*F$46,0),"  ")</f>
        <v>724</v>
      </c>
      <c r="G28" s="158">
        <f>IF(inputPrYr!E34&gt;0,ROUND(+C28*G$48,0),"  ")</f>
        <v>3060</v>
      </c>
      <c r="H28" s="126"/>
      <c r="I28" s="67"/>
    </row>
    <row r="29" spans="1:9" ht="15.75">
      <c r="A29" s="67"/>
      <c r="B29" s="110" t="str">
        <f>IF((inputPrYr!$B35&gt;" "),(inputPrYr!$B35),"  ")</f>
        <v>Economic Development</v>
      </c>
      <c r="C29" s="158" t="str">
        <f>IF(inputPrYr!E35&gt;0,inputPrYr!E35,"  ")</f>
        <v>  </v>
      </c>
      <c r="D29" s="225" t="str">
        <f>IF(inputPrYr!F35&gt;0,(inputPrYr!F35),"  ")</f>
        <v>  </v>
      </c>
      <c r="E29" s="158" t="str">
        <f>IF(inputPrYr!E35&gt;0,ROUND(+C29*E$44,0),"  ")</f>
        <v>  </v>
      </c>
      <c r="F29" s="158" t="str">
        <f>IF(inputPrYr!E35&gt;0,ROUND(+C29*F$46,0),"  ")</f>
        <v>  </v>
      </c>
      <c r="G29" s="158" t="str">
        <f>IF(inputPrYr!E35&gt;0,ROUND(+C29*G$48,0),"  ")</f>
        <v>  </v>
      </c>
      <c r="H29" s="126"/>
      <c r="I29" s="67"/>
    </row>
    <row r="30" spans="1:9" ht="15.75">
      <c r="A30" s="67"/>
      <c r="B30" s="110" t="str">
        <f>IF((inputPrYr!$B36&gt;" "),(inputPrYr!$B36),"  ")</f>
        <v>  </v>
      </c>
      <c r="C30" s="158" t="str">
        <f>IF(inputPrYr!E36&gt;0,inputPrYr!E36,"  ")</f>
        <v>  </v>
      </c>
      <c r="D30" s="225" t="str">
        <f>IF(inputPrYr!F36&gt;0,(inputPrYr!F36),"  ")</f>
        <v>  </v>
      </c>
      <c r="E30" s="158" t="str">
        <f>IF(inputPrYr!E36&gt;0,ROUND(+C30*E$44,0),"  ")</f>
        <v>  </v>
      </c>
      <c r="F30" s="158" t="str">
        <f>IF(inputPrYr!E36&gt;0,ROUND(+C30*F$46,0),"  ")</f>
        <v>  </v>
      </c>
      <c r="G30" s="158" t="str">
        <f>IF(inputPrYr!E36&gt;0,ROUND(+C30*G$48,0),"  ")</f>
        <v>  </v>
      </c>
      <c r="H30" s="126"/>
      <c r="I30" s="67"/>
    </row>
    <row r="31" spans="1:9" ht="15.75">
      <c r="A31" s="67"/>
      <c r="B31" s="110" t="str">
        <f>IF((inputPrYr!$B37&gt;" "),(inputPrYr!$B37),"  ")</f>
        <v>  </v>
      </c>
      <c r="C31" s="158" t="str">
        <f>IF(inputPrYr!E37&gt;0,inputPrYr!E37,"  ")</f>
        <v>  </v>
      </c>
      <c r="D31" s="225" t="str">
        <f>IF(inputPrYr!F37&gt;0,(inputPrYr!F37),"  ")</f>
        <v>  </v>
      </c>
      <c r="E31" s="158" t="str">
        <f>IF(inputPrYr!E37&gt;0,ROUND(+C31*E$44,0),"  ")</f>
        <v>  </v>
      </c>
      <c r="F31" s="158" t="str">
        <f>IF(inputPrYr!E37&gt;0,ROUND(+C31*F$46,0),"  ")</f>
        <v>  </v>
      </c>
      <c r="G31" s="158" t="str">
        <f>IF(inputPrYr!E37&gt;0,ROUND(+C31*G$48,0),"  ")</f>
        <v>  </v>
      </c>
      <c r="H31" s="126"/>
      <c r="I31" s="67"/>
    </row>
    <row r="32" spans="1:9" ht="15.75">
      <c r="A32" s="67"/>
      <c r="B32" s="110" t="str">
        <f>IF((inputPrYr!$B38&gt;" "),(inputPrYr!$B38),"  ")</f>
        <v>  </v>
      </c>
      <c r="C32" s="158" t="str">
        <f>IF(inputPrYr!E38&gt;0,inputPrYr!E38,"  ")</f>
        <v>  </v>
      </c>
      <c r="D32" s="225" t="str">
        <f>IF(inputPrYr!F38&gt;0,(inputPrYr!F38),"  ")</f>
        <v>  </v>
      </c>
      <c r="E32" s="158" t="str">
        <f>IF(inputPrYr!E38&gt;0,ROUND(+C32*E$44,0),"  ")</f>
        <v>  </v>
      </c>
      <c r="F32" s="158" t="str">
        <f>IF(inputPrYr!E38&gt;0,ROUND(+C32*F$46,0),"  ")</f>
        <v>  </v>
      </c>
      <c r="G32" s="158" t="str">
        <f>IF(inputPrYr!E38&gt;0,ROUND(+C32*G$48,0),"  ")</f>
        <v>  </v>
      </c>
      <c r="H32" s="126"/>
      <c r="I32" s="67"/>
    </row>
    <row r="33" spans="1:9" ht="15.75">
      <c r="A33" s="67"/>
      <c r="B33" s="110" t="str">
        <f>IF((inputPrYr!$B39&gt;" "),(inputPrYr!$B39),"  ")</f>
        <v>  </v>
      </c>
      <c r="C33" s="158" t="str">
        <f>IF(inputPrYr!E39&gt;0,inputPrYr!E39,"  ")</f>
        <v>  </v>
      </c>
      <c r="D33" s="225" t="str">
        <f>IF(inputPrYr!F39&gt;0,(inputPrYr!F39),"  ")</f>
        <v>  </v>
      </c>
      <c r="E33" s="158" t="str">
        <f>IF(inputPrYr!E39&gt;0,ROUND(+C33*E$44,0),"  ")</f>
        <v>  </v>
      </c>
      <c r="F33" s="158" t="str">
        <f>IF(inputPrYr!E39&gt;0,ROUND(+C33*F$46,0),"  ")</f>
        <v>  </v>
      </c>
      <c r="G33" s="158" t="str">
        <f>IF(inputPrYr!E39&gt;0,ROUND(+C33*G$48,0),"  ")</f>
        <v>  </v>
      </c>
      <c r="H33" s="126"/>
      <c r="I33" s="67"/>
    </row>
    <row r="34" spans="1:9" ht="15.75">
      <c r="A34" s="67"/>
      <c r="B34" s="110" t="str">
        <f>IF((inputPrYr!$B40&gt;" "),(inputPrYr!$B40),"  ")</f>
        <v>  </v>
      </c>
      <c r="C34" s="158" t="str">
        <f>IF(inputPrYr!E40&gt;0,inputPrYr!E40,"  ")</f>
        <v>  </v>
      </c>
      <c r="D34" s="225" t="str">
        <f>IF(inputPrYr!F40&gt;0,(inputPrYr!F40),"  ")</f>
        <v>  </v>
      </c>
      <c r="E34" s="158" t="str">
        <f>IF(inputPrYr!E40&gt;0,ROUND(+C34*E$44,0),"  ")</f>
        <v>  </v>
      </c>
      <c r="F34" s="158" t="str">
        <f>IF(inputPrYr!E40&gt;0,ROUND(+C34*F$46,0),"  ")</f>
        <v>  </v>
      </c>
      <c r="G34" s="158" t="str">
        <f>IF(inputPrYr!E40&gt;0,ROUND(+C34*G$48,0),"  ")</f>
        <v>  </v>
      </c>
      <c r="H34" s="126"/>
      <c r="I34" s="67"/>
    </row>
    <row r="35" spans="1:9" ht="21.75" customHeight="1" thickBot="1">
      <c r="A35" s="67"/>
      <c r="B35" s="86" t="s">
        <v>717</v>
      </c>
      <c r="C35" s="226">
        <f>SUM(C10:C34)</f>
        <v>8342704</v>
      </c>
      <c r="D35" s="227">
        <f>SUM(D10:D34)</f>
        <v>77.497</v>
      </c>
      <c r="E35" s="226">
        <f>SUM(E10:E34)</f>
        <v>594447</v>
      </c>
      <c r="F35" s="226">
        <f>SUM(F10:F34)</f>
        <v>9567</v>
      </c>
      <c r="G35" s="226">
        <f>SUM(G10:G34)</f>
        <v>40432</v>
      </c>
      <c r="H35" s="126"/>
      <c r="I35" s="67"/>
    </row>
    <row r="36" spans="1:9" ht="16.5" thickTop="1">
      <c r="A36" s="67"/>
      <c r="B36" s="67"/>
      <c r="C36" s="81"/>
      <c r="D36" s="81"/>
      <c r="E36" s="81"/>
      <c r="F36" s="81"/>
      <c r="G36" s="81"/>
      <c r="H36" s="228"/>
      <c r="I36" s="67"/>
    </row>
    <row r="37" spans="1:9" ht="19.5" customHeight="1">
      <c r="A37" s="67"/>
      <c r="B37" s="66" t="s">
        <v>718</v>
      </c>
      <c r="C37" s="229"/>
      <c r="D37" s="229"/>
      <c r="E37" s="230">
        <f>(inputOth!E14)</f>
        <v>594447</v>
      </c>
      <c r="F37" s="229"/>
      <c r="G37" s="81"/>
      <c r="H37" s="228"/>
      <c r="I37" s="67"/>
    </row>
    <row r="38" spans="1:9" ht="15.75">
      <c r="A38" s="67"/>
      <c r="B38" s="66"/>
      <c r="C38" s="229"/>
      <c r="D38" s="229"/>
      <c r="E38" s="231"/>
      <c r="F38" s="229"/>
      <c r="G38" s="81"/>
      <c r="H38" s="228"/>
      <c r="I38" s="67"/>
    </row>
    <row r="39" spans="1:9" ht="19.5" customHeight="1">
      <c r="A39" s="67"/>
      <c r="B39" s="66" t="s">
        <v>719</v>
      </c>
      <c r="C39" s="81"/>
      <c r="D39" s="81"/>
      <c r="E39" s="81"/>
      <c r="F39" s="230">
        <f>(inputOth!E15)</f>
        <v>9567</v>
      </c>
      <c r="G39" s="81"/>
      <c r="H39" s="228"/>
      <c r="I39" s="67"/>
    </row>
    <row r="40" spans="1:9" ht="15.75">
      <c r="A40" s="67"/>
      <c r="B40" s="66"/>
      <c r="C40" s="81"/>
      <c r="D40" s="81"/>
      <c r="E40" s="81"/>
      <c r="F40" s="231"/>
      <c r="G40" s="81"/>
      <c r="H40" s="228"/>
      <c r="I40" s="67"/>
    </row>
    <row r="41" spans="1:9" ht="18.75" customHeight="1">
      <c r="A41" s="67"/>
      <c r="B41" s="66" t="s">
        <v>814</v>
      </c>
      <c r="C41" s="81"/>
      <c r="D41" s="81"/>
      <c r="E41" s="81"/>
      <c r="F41" s="81"/>
      <c r="G41" s="230">
        <f>inputOth!E16</f>
        <v>40432</v>
      </c>
      <c r="H41" s="228"/>
      <c r="I41" s="67"/>
    </row>
    <row r="42" spans="1:9" ht="15.75">
      <c r="A42" s="67"/>
      <c r="B42" s="67"/>
      <c r="C42" s="81"/>
      <c r="D42" s="81"/>
      <c r="E42" s="81"/>
      <c r="F42" s="81"/>
      <c r="G42" s="81"/>
      <c r="H42" s="228"/>
      <c r="I42" s="67"/>
    </row>
    <row r="43" spans="1:9" ht="15.75">
      <c r="A43" s="67"/>
      <c r="B43" s="67"/>
      <c r="C43" s="81"/>
      <c r="D43" s="81"/>
      <c r="E43" s="81"/>
      <c r="F43" s="81"/>
      <c r="G43" s="81"/>
      <c r="H43" s="228"/>
      <c r="I43" s="67"/>
    </row>
    <row r="44" spans="1:9" ht="20.25" customHeight="1">
      <c r="A44" s="67"/>
      <c r="B44" s="66" t="s">
        <v>720</v>
      </c>
      <c r="C44" s="81"/>
      <c r="D44" s="81"/>
      <c r="E44" s="233">
        <f>IF(C35=0,0,E37/C35)</f>
        <v>0.07125351684537772</v>
      </c>
      <c r="F44" s="81"/>
      <c r="G44" s="81"/>
      <c r="H44" s="228"/>
      <c r="I44" s="67"/>
    </row>
    <row r="45" spans="1:9" ht="15.75">
      <c r="A45" s="67"/>
      <c r="B45" s="66"/>
      <c r="C45" s="81"/>
      <c r="D45" s="81"/>
      <c r="E45" s="234"/>
      <c r="F45" s="81"/>
      <c r="G45" s="81"/>
      <c r="H45" s="228"/>
      <c r="I45" s="67"/>
    </row>
    <row r="46" spans="1:9" ht="19.5" customHeight="1">
      <c r="A46" s="67"/>
      <c r="B46" s="66" t="s">
        <v>875</v>
      </c>
      <c r="C46" s="81"/>
      <c r="D46" s="81"/>
      <c r="E46" s="81"/>
      <c r="F46" s="233">
        <f>IF(C35=0,0,F39/C35)</f>
        <v>0.001146750501995516</v>
      </c>
      <c r="G46" s="81"/>
      <c r="H46" s="228"/>
      <c r="I46" s="67"/>
    </row>
    <row r="47" spans="1:9" ht="15.75">
      <c r="A47" s="67"/>
      <c r="B47" s="66"/>
      <c r="C47" s="81"/>
      <c r="D47" s="81"/>
      <c r="E47" s="81"/>
      <c r="F47" s="234"/>
      <c r="G47" s="81"/>
      <c r="H47" s="228"/>
      <c r="I47" s="67"/>
    </row>
    <row r="48" spans="1:9" ht="20.25" customHeight="1">
      <c r="A48" s="67"/>
      <c r="B48" s="66" t="s">
        <v>874</v>
      </c>
      <c r="C48" s="81"/>
      <c r="D48" s="81"/>
      <c r="E48" s="81"/>
      <c r="F48" s="81"/>
      <c r="G48" s="233">
        <f>IF(G41=0,0,G41/C35)</f>
        <v>0.004846390331000597</v>
      </c>
      <c r="H48" s="228"/>
      <c r="I48" s="67"/>
    </row>
    <row r="49" spans="1:9" s="124" customFormat="1" ht="15" customHeight="1">
      <c r="A49" s="67"/>
      <c r="B49" s="126"/>
      <c r="C49" s="235"/>
      <c r="D49" s="235"/>
      <c r="E49" s="235"/>
      <c r="F49" s="235"/>
      <c r="G49" s="235"/>
      <c r="H49" s="235"/>
      <c r="I49" s="67"/>
    </row>
    <row r="50" spans="1:9" s="124" customFormat="1" ht="15" customHeight="1">
      <c r="A50" s="67"/>
      <c r="B50" s="126"/>
      <c r="C50" s="235"/>
      <c r="D50" s="235"/>
      <c r="E50" s="235"/>
      <c r="F50" s="235"/>
      <c r="G50" s="235"/>
      <c r="H50" s="235"/>
      <c r="I50" s="67"/>
    </row>
    <row r="51" spans="1:9" s="198" customFormat="1" ht="15" customHeight="1">
      <c r="A51" s="67"/>
      <c r="B51" s="126"/>
      <c r="C51" s="235"/>
      <c r="D51" s="235"/>
      <c r="E51" s="235"/>
      <c r="F51" s="235"/>
      <c r="G51" s="235"/>
      <c r="H51" s="235"/>
      <c r="I51" s="81"/>
    </row>
    <row r="52" spans="2:8" s="124" customFormat="1" ht="15" customHeight="1">
      <c r="B52" s="47"/>
      <c r="C52" s="47"/>
      <c r="D52" s="47"/>
      <c r="E52" s="47"/>
      <c r="F52" s="47"/>
      <c r="G52" s="47"/>
      <c r="H52" s="47"/>
    </row>
    <row r="53" spans="2:8" s="124" customFormat="1" ht="15" customHeight="1">
      <c r="B53" s="47"/>
      <c r="C53" s="47"/>
      <c r="D53" s="47"/>
      <c r="E53" s="47"/>
      <c r="F53" s="47"/>
      <c r="G53" s="47"/>
      <c r="H53" s="47"/>
    </row>
    <row r="54" spans="2:8" s="124" customFormat="1" ht="15" customHeight="1">
      <c r="B54" s="47"/>
      <c r="C54" s="47"/>
      <c r="D54" s="47"/>
      <c r="E54" s="47"/>
      <c r="F54" s="47"/>
      <c r="G54" s="47"/>
      <c r="H54" s="47"/>
    </row>
    <row r="55" spans="2:8" s="124" customFormat="1" ht="15" customHeight="1">
      <c r="B55" s="47"/>
      <c r="C55" s="47"/>
      <c r="D55" s="47"/>
      <c r="E55" s="47"/>
      <c r="F55" s="47"/>
      <c r="G55" s="47"/>
      <c r="H55" s="47"/>
    </row>
    <row r="56" spans="2:8" s="124" customFormat="1" ht="15" customHeight="1">
      <c r="B56" s="47"/>
      <c r="C56" s="47"/>
      <c r="D56" s="47"/>
      <c r="E56" s="47"/>
      <c r="F56" s="47"/>
      <c r="G56" s="47"/>
      <c r="H56" s="47"/>
    </row>
    <row r="57" spans="2:8" s="124" customFormat="1" ht="15" customHeight="1">
      <c r="B57" s="47"/>
      <c r="C57" s="47"/>
      <c r="D57" s="47"/>
      <c r="E57" s="47"/>
      <c r="F57" s="47"/>
      <c r="G57" s="47"/>
      <c r="H57" s="47"/>
    </row>
    <row r="58" spans="2:8" s="124" customFormat="1" ht="15" customHeight="1">
      <c r="B58" s="47"/>
      <c r="C58" s="47"/>
      <c r="D58" s="47"/>
      <c r="E58" s="47"/>
      <c r="F58" s="47"/>
      <c r="G58" s="47"/>
      <c r="H58" s="47"/>
    </row>
    <row r="59" spans="2:8" s="124" customFormat="1" ht="15" customHeight="1">
      <c r="B59" s="47"/>
      <c r="C59" s="47"/>
      <c r="D59" s="47"/>
      <c r="E59" s="47"/>
      <c r="F59" s="47"/>
      <c r="G59" s="47"/>
      <c r="H59" s="47"/>
    </row>
    <row r="60" spans="2:8" s="124" customFormat="1" ht="15" customHeight="1">
      <c r="B60" s="47"/>
      <c r="C60" s="47"/>
      <c r="D60" s="47"/>
      <c r="E60" s="47"/>
      <c r="F60" s="47"/>
      <c r="G60" s="47"/>
      <c r="H60" s="47"/>
    </row>
    <row r="61" spans="2:8" s="124" customFormat="1" ht="15" customHeight="1">
      <c r="B61" s="47"/>
      <c r="C61" s="47"/>
      <c r="D61" s="47"/>
      <c r="E61" s="47"/>
      <c r="F61" s="47"/>
      <c r="G61" s="47"/>
      <c r="H61" s="47"/>
    </row>
    <row r="62" spans="2:8" s="124" customFormat="1" ht="15" customHeight="1">
      <c r="B62" s="47"/>
      <c r="C62" s="47"/>
      <c r="D62" s="47"/>
      <c r="E62" s="47"/>
      <c r="F62" s="47"/>
      <c r="G62" s="47"/>
      <c r="H62" s="47"/>
    </row>
    <row r="63" spans="2:8" s="124" customFormat="1" ht="15" customHeight="1">
      <c r="B63" s="47"/>
      <c r="C63" s="47"/>
      <c r="D63" s="47"/>
      <c r="E63" s="47"/>
      <c r="F63" s="47"/>
      <c r="G63" s="47"/>
      <c r="H63" s="47"/>
    </row>
    <row r="64" spans="2:8" s="124" customFormat="1" ht="15" customHeight="1">
      <c r="B64" s="47"/>
      <c r="C64" s="47"/>
      <c r="D64" s="47"/>
      <c r="E64" s="47"/>
      <c r="F64" s="47"/>
      <c r="G64" s="47"/>
      <c r="H64" s="47"/>
    </row>
    <row r="65" spans="2:8" s="124" customFormat="1" ht="15" customHeight="1">
      <c r="B65" s="47"/>
      <c r="C65" s="47"/>
      <c r="D65" s="47"/>
      <c r="E65" s="47"/>
      <c r="F65" s="47"/>
      <c r="G65" s="47"/>
      <c r="H65" s="47"/>
    </row>
  </sheetData>
  <sheetProtection sheet="1"/>
  <mergeCells count="4">
    <mergeCell ref="C8:C9"/>
    <mergeCell ref="D8:D9"/>
    <mergeCell ref="E8:G8"/>
    <mergeCell ref="B5:G5"/>
  </mergeCells>
  <printOptions/>
  <pageMargins left="1.17" right="0.5" top="0.72" bottom="0.23" header="0.5" footer="0"/>
  <pageSetup blackAndWhite="1" horizontalDpi="120" verticalDpi="120" orientation="portrait" scale="75" r:id="rId1"/>
  <headerFooter alignWithMargins="0">
    <oddHeader>&amp;RState of Kansas
County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2" sqref="C22:E22"/>
    </sheetView>
  </sheetViews>
  <sheetFormatPr defaultColWidth="8.796875" defaultRowHeight="15"/>
  <cols>
    <col min="1" max="2" width="17.796875" style="124" customWidth="1"/>
    <col min="3" max="6" width="12.796875" style="124" customWidth="1"/>
    <col min="7" max="16384" width="8.8984375" style="124" customWidth="1"/>
  </cols>
  <sheetData>
    <row r="1" spans="1:6" ht="15.75">
      <c r="A1" s="200"/>
      <c r="B1" s="67"/>
      <c r="C1" s="67"/>
      <c r="D1" s="67"/>
      <c r="E1" s="107"/>
      <c r="F1" s="67">
        <f>inputPrYr!C5</f>
        <v>2013</v>
      </c>
    </row>
    <row r="2" spans="1:6" ht="15.75">
      <c r="A2" s="125" t="str">
        <f>inputPrYr!C3</f>
        <v>Russell County</v>
      </c>
      <c r="B2" s="125"/>
      <c r="C2" s="67"/>
      <c r="D2" s="67"/>
      <c r="E2" s="107"/>
      <c r="F2" s="67"/>
    </row>
    <row r="3" spans="1:6" ht="15.75">
      <c r="A3" s="200"/>
      <c r="B3" s="125"/>
      <c r="C3" s="67"/>
      <c r="D3" s="67"/>
      <c r="E3" s="107"/>
      <c r="F3" s="67"/>
    </row>
    <row r="4" spans="1:6" ht="15.75">
      <c r="A4" s="200"/>
      <c r="B4" s="67"/>
      <c r="C4" s="67"/>
      <c r="D4" s="67"/>
      <c r="E4" s="107"/>
      <c r="F4" s="67"/>
    </row>
    <row r="5" spans="1:6" ht="15" customHeight="1">
      <c r="A5" s="738" t="s">
        <v>856</v>
      </c>
      <c r="B5" s="738"/>
      <c r="C5" s="738"/>
      <c r="D5" s="738"/>
      <c r="E5" s="738"/>
      <c r="F5" s="738"/>
    </row>
    <row r="6" spans="1:6" ht="14.25" customHeight="1">
      <c r="A6" s="201"/>
      <c r="B6" s="236"/>
      <c r="C6" s="236"/>
      <c r="D6" s="236"/>
      <c r="E6" s="236"/>
      <c r="F6" s="236"/>
    </row>
    <row r="7" spans="1:6" ht="15" customHeight="1">
      <c r="A7" s="237" t="s">
        <v>50</v>
      </c>
      <c r="B7" s="237" t="s">
        <v>51</v>
      </c>
      <c r="C7" s="238" t="s">
        <v>764</v>
      </c>
      <c r="D7" s="238" t="s">
        <v>871</v>
      </c>
      <c r="E7" s="237" t="s">
        <v>872</v>
      </c>
      <c r="F7" s="237" t="s">
        <v>900</v>
      </c>
    </row>
    <row r="8" spans="1:6" ht="15" customHeight="1">
      <c r="A8" s="239" t="s">
        <v>52</v>
      </c>
      <c r="B8" s="239" t="s">
        <v>53</v>
      </c>
      <c r="C8" s="240" t="s">
        <v>899</v>
      </c>
      <c r="D8" s="240" t="s">
        <v>899</v>
      </c>
      <c r="E8" s="240" t="s">
        <v>899</v>
      </c>
      <c r="F8" s="240" t="s">
        <v>873</v>
      </c>
    </row>
    <row r="9" spans="1:6" s="198" customFormat="1" ht="15" customHeight="1" thickBot="1">
      <c r="A9" s="241" t="s">
        <v>897</v>
      </c>
      <c r="B9" s="242" t="s">
        <v>898</v>
      </c>
      <c r="C9" s="242">
        <f>F1-2</f>
        <v>2011</v>
      </c>
      <c r="D9" s="242">
        <f>F1-1</f>
        <v>2012</v>
      </c>
      <c r="E9" s="242">
        <f>F1</f>
        <v>2013</v>
      </c>
      <c r="F9" s="242" t="s">
        <v>693</v>
      </c>
    </row>
    <row r="10" spans="1:6" ht="15" customHeight="1" thickTop="1">
      <c r="A10" s="243"/>
      <c r="B10" s="243"/>
      <c r="C10" s="244"/>
      <c r="D10" s="244"/>
      <c r="E10" s="244"/>
      <c r="F10" s="243"/>
    </row>
    <row r="11" spans="1:6" ht="15" customHeight="1">
      <c r="A11" s="91"/>
      <c r="B11" s="91"/>
      <c r="C11" s="245"/>
      <c r="D11" s="245"/>
      <c r="E11" s="245"/>
      <c r="F11" s="243"/>
    </row>
    <row r="12" spans="1:6" ht="15" customHeight="1">
      <c r="A12" s="91"/>
      <c r="B12" s="91"/>
      <c r="C12" s="245"/>
      <c r="D12" s="245"/>
      <c r="E12" s="245"/>
      <c r="F12" s="243"/>
    </row>
    <row r="13" spans="1:6" ht="15" customHeight="1">
      <c r="A13" s="91"/>
      <c r="B13" s="91"/>
      <c r="C13" s="245"/>
      <c r="D13" s="245"/>
      <c r="E13" s="245"/>
      <c r="F13" s="243"/>
    </row>
    <row r="14" spans="1:6" ht="15" customHeight="1">
      <c r="A14" s="91"/>
      <c r="B14" s="91"/>
      <c r="C14" s="245"/>
      <c r="D14" s="245"/>
      <c r="E14" s="245"/>
      <c r="F14" s="243"/>
    </row>
    <row r="15" spans="1:6" ht="15" customHeight="1">
      <c r="A15" s="91"/>
      <c r="B15" s="91"/>
      <c r="C15" s="245"/>
      <c r="D15" s="245"/>
      <c r="E15" s="245"/>
      <c r="F15" s="243"/>
    </row>
    <row r="16" spans="1:6" ht="15" customHeight="1">
      <c r="A16" s="91"/>
      <c r="B16" s="91"/>
      <c r="C16" s="245"/>
      <c r="D16" s="245"/>
      <c r="E16" s="245"/>
      <c r="F16" s="243"/>
    </row>
    <row r="17" spans="1:6" ht="15" customHeight="1">
      <c r="A17" s="91"/>
      <c r="B17" s="91"/>
      <c r="C17" s="245"/>
      <c r="D17" s="245"/>
      <c r="E17" s="245"/>
      <c r="F17" s="243"/>
    </row>
    <row r="18" spans="1:6" ht="15" customHeight="1">
      <c r="A18" s="91"/>
      <c r="B18" s="91"/>
      <c r="C18" s="245"/>
      <c r="D18" s="245"/>
      <c r="E18" s="245"/>
      <c r="F18" s="243"/>
    </row>
    <row r="19" spans="1:6" ht="15" customHeight="1">
      <c r="A19" s="91"/>
      <c r="B19" s="91"/>
      <c r="C19" s="245"/>
      <c r="D19" s="245"/>
      <c r="E19" s="245"/>
      <c r="F19" s="243"/>
    </row>
    <row r="20" spans="1:6" ht="15" customHeight="1">
      <c r="A20" s="91"/>
      <c r="B20" s="91"/>
      <c r="C20" s="245"/>
      <c r="D20" s="245"/>
      <c r="E20" s="245"/>
      <c r="F20" s="243"/>
    </row>
    <row r="21" spans="1:6" ht="15" customHeight="1">
      <c r="A21" s="91"/>
      <c r="B21" s="91"/>
      <c r="C21" s="245"/>
      <c r="D21" s="245"/>
      <c r="E21" s="245"/>
      <c r="F21" s="243"/>
    </row>
    <row r="22" spans="1:6" ht="15" customHeight="1">
      <c r="A22" s="91"/>
      <c r="B22" s="91"/>
      <c r="C22" s="245"/>
      <c r="D22" s="245"/>
      <c r="E22" s="245"/>
      <c r="F22" s="243"/>
    </row>
    <row r="23" spans="1:6" ht="15" customHeight="1">
      <c r="A23" s="91"/>
      <c r="B23" s="91"/>
      <c r="C23" s="245"/>
      <c r="D23" s="245"/>
      <c r="E23" s="245"/>
      <c r="F23" s="243"/>
    </row>
    <row r="24" spans="1:6" ht="15" customHeight="1">
      <c r="A24" s="91"/>
      <c r="B24" s="91"/>
      <c r="C24" s="245"/>
      <c r="D24" s="245"/>
      <c r="E24" s="245"/>
      <c r="F24" s="243"/>
    </row>
    <row r="25" spans="1:6" ht="15" customHeight="1">
      <c r="A25" s="91"/>
      <c r="B25" s="91"/>
      <c r="C25" s="245"/>
      <c r="D25" s="245"/>
      <c r="E25" s="245"/>
      <c r="F25" s="243"/>
    </row>
    <row r="26" spans="1:6" ht="15" customHeight="1">
      <c r="A26" s="91"/>
      <c r="B26" s="91"/>
      <c r="C26" s="245"/>
      <c r="D26" s="245"/>
      <c r="E26" s="245"/>
      <c r="F26" s="243"/>
    </row>
    <row r="27" spans="1:6" ht="15.75">
      <c r="A27" s="117"/>
      <c r="B27" s="246" t="s">
        <v>695</v>
      </c>
      <c r="C27" s="98">
        <f>SUM(C10:C26)</f>
        <v>0</v>
      </c>
      <c r="D27" s="98">
        <f>SUM(D10:D26)</f>
        <v>0</v>
      </c>
      <c r="E27" s="98">
        <f>SUM(E10:E26)</f>
        <v>0</v>
      </c>
      <c r="F27" s="117"/>
    </row>
    <row r="28" spans="1:6" ht="15.75">
      <c r="A28" s="117"/>
      <c r="B28" s="247" t="s">
        <v>49</v>
      </c>
      <c r="C28" s="117"/>
      <c r="D28" s="91"/>
      <c r="E28" s="91"/>
      <c r="F28" s="117"/>
    </row>
    <row r="29" spans="1:6" ht="15.75">
      <c r="A29" s="117"/>
      <c r="B29" s="246" t="s">
        <v>901</v>
      </c>
      <c r="C29" s="98">
        <f>C27</f>
        <v>0</v>
      </c>
      <c r="D29" s="98">
        <f>SUM(D27-D28)</f>
        <v>0</v>
      </c>
      <c r="E29" s="98">
        <f>SUM(E27-E28)</f>
        <v>0</v>
      </c>
      <c r="F29" s="117"/>
    </row>
    <row r="30" spans="1:6" ht="15.75">
      <c r="A30" s="117"/>
      <c r="B30" s="117"/>
      <c r="C30" s="117"/>
      <c r="D30" s="117"/>
      <c r="E30" s="117"/>
      <c r="F30" s="117"/>
    </row>
    <row r="31" spans="1:6" ht="15.75">
      <c r="A31" s="117"/>
      <c r="B31" s="117"/>
      <c r="C31" s="117"/>
      <c r="D31" s="117"/>
      <c r="E31" s="117"/>
      <c r="F31" s="117"/>
    </row>
    <row r="32" spans="1:6" ht="15.75">
      <c r="A32" s="434" t="s">
        <v>54</v>
      </c>
      <c r="B32" s="435" t="str">
        <f>CONCATENATE("Adjustments are required only if the transfer is being made in ",D9," and/or ",E9," from a non-budgeted fund.")</f>
        <v>Adjustments are required only if the transfer is being made in 2012 and/or 2013 from a non-budgeted fund.</v>
      </c>
      <c r="C32" s="117"/>
      <c r="D32" s="117"/>
      <c r="E32" s="117"/>
      <c r="F32" s="117"/>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County</oddHeader>
    <oddFooter>&amp;CPage No. 4</oddFooter>
  </headerFooter>
</worksheet>
</file>

<file path=xl/worksheets/sheet12.xml><?xml version="1.0" encoding="utf-8"?>
<worksheet xmlns="http://schemas.openxmlformats.org/spreadsheetml/2006/main" xmlns:r="http://schemas.openxmlformats.org/officeDocument/2006/relationships">
  <dimension ref="A1:G48"/>
  <sheetViews>
    <sheetView zoomScalePageLayoutView="0" workbookViewId="0" topLeftCell="A28">
      <selection activeCell="A31" sqref="A31"/>
    </sheetView>
  </sheetViews>
  <sheetFormatPr defaultColWidth="8.796875" defaultRowHeight="15"/>
  <cols>
    <col min="1" max="1" width="70.3984375" style="47" customWidth="1"/>
    <col min="2" max="16384" width="8.8984375" style="47" customWidth="1"/>
  </cols>
  <sheetData>
    <row r="1" spans="1:7" ht="30" customHeight="1">
      <c r="A1" s="405" t="s">
        <v>301</v>
      </c>
      <c r="B1" s="49"/>
      <c r="C1" s="49"/>
      <c r="D1" s="49"/>
      <c r="E1" s="49"/>
      <c r="F1" s="49"/>
      <c r="G1" s="49"/>
    </row>
    <row r="2" ht="15.75" customHeight="1">
      <c r="A2" s="1"/>
    </row>
    <row r="3" ht="54" customHeight="1">
      <c r="A3" s="453" t="s">
        <v>62</v>
      </c>
    </row>
    <row r="4" ht="15.75" customHeight="1">
      <c r="A4" s="1"/>
    </row>
    <row r="5" ht="52.5" customHeight="1">
      <c r="A5" s="453" t="s">
        <v>63</v>
      </c>
    </row>
    <row r="6" ht="15.75" customHeight="1">
      <c r="A6" s="1"/>
    </row>
    <row r="7" s="50" customFormat="1" ht="45.75" customHeight="1">
      <c r="A7" s="406" t="s">
        <v>340</v>
      </c>
    </row>
    <row r="8" ht="15.75" customHeight="1">
      <c r="A8" s="1"/>
    </row>
    <row r="9" ht="46.5" customHeight="1">
      <c r="A9" s="406" t="s">
        <v>341</v>
      </c>
    </row>
    <row r="10" ht="15.75" customHeight="1"/>
    <row r="11" ht="45.75" customHeight="1">
      <c r="A11" s="406" t="s">
        <v>342</v>
      </c>
    </row>
    <row r="12" ht="15.75" customHeight="1">
      <c r="A12" s="1"/>
    </row>
    <row r="13" ht="62.25" customHeight="1">
      <c r="A13" s="406" t="s">
        <v>343</v>
      </c>
    </row>
    <row r="14" ht="15.75" customHeight="1">
      <c r="A14" s="1"/>
    </row>
    <row r="15" ht="32.25" customHeight="1">
      <c r="A15" s="406" t="s">
        <v>344</v>
      </c>
    </row>
    <row r="16" ht="15.75" customHeight="1"/>
    <row r="17" ht="67.5" customHeight="1">
      <c r="A17" s="407" t="s">
        <v>64</v>
      </c>
    </row>
    <row r="18" ht="15.75" customHeight="1"/>
    <row r="19" ht="81" customHeight="1">
      <c r="A19" s="407" t="s">
        <v>345</v>
      </c>
    </row>
    <row r="20" ht="15.75" customHeight="1">
      <c r="A20" s="1"/>
    </row>
    <row r="21" ht="78" customHeight="1">
      <c r="A21" s="406" t="s">
        <v>346</v>
      </c>
    </row>
    <row r="22" ht="15.75" customHeight="1">
      <c r="A22" s="1"/>
    </row>
    <row r="23" ht="44.25" customHeight="1">
      <c r="A23" s="406" t="s">
        <v>347</v>
      </c>
    </row>
    <row r="24" ht="15.75" customHeight="1"/>
    <row r="25" ht="53.25" customHeight="1">
      <c r="A25" s="407" t="s">
        <v>348</v>
      </c>
    </row>
    <row r="26" ht="16.5" customHeight="1">
      <c r="A26" s="1"/>
    </row>
    <row r="27" ht="40.5" customHeight="1">
      <c r="A27" s="453" t="s">
        <v>65</v>
      </c>
    </row>
    <row r="28" ht="16.5" customHeight="1">
      <c r="A28" s="1"/>
    </row>
    <row r="29" ht="69.75" customHeight="1">
      <c r="A29" s="406" t="s">
        <v>349</v>
      </c>
    </row>
    <row r="30" ht="15.75" customHeight="1">
      <c r="A30" s="406"/>
    </row>
    <row r="31" ht="78" customHeight="1">
      <c r="A31" s="406" t="s">
        <v>237</v>
      </c>
    </row>
    <row r="32" ht="15.75" customHeight="1">
      <c r="A32" s="1"/>
    </row>
    <row r="33" ht="58.5" customHeight="1">
      <c r="A33" s="406" t="s">
        <v>350</v>
      </c>
    </row>
    <row r="35" ht="60.75" customHeight="1">
      <c r="A35" s="406" t="s">
        <v>351</v>
      </c>
    </row>
    <row r="36" ht="15.75">
      <c r="A36" s="1"/>
    </row>
    <row r="37" ht="82.5" customHeight="1">
      <c r="A37" s="406" t="s">
        <v>352</v>
      </c>
    </row>
    <row r="38" ht="15.75">
      <c r="A38" s="404"/>
    </row>
    <row r="39" ht="15.75">
      <c r="A39" s="404"/>
    </row>
    <row r="41" ht="15.75">
      <c r="A41" s="404"/>
    </row>
    <row r="42" ht="15.75">
      <c r="A42" s="404"/>
    </row>
    <row r="44" ht="15.75">
      <c r="A44" s="1"/>
    </row>
    <row r="45" ht="15.75">
      <c r="A45" s="404"/>
    </row>
    <row r="47" ht="15.75">
      <c r="A47" s="404"/>
    </row>
    <row r="48" ht="15.75">
      <c r="A48" s="404"/>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AC52"/>
  <sheetViews>
    <sheetView zoomScale="75" zoomScaleNormal="75" zoomScalePageLayoutView="0" workbookViewId="0" topLeftCell="A1">
      <selection activeCell="B38" sqref="B38"/>
    </sheetView>
  </sheetViews>
  <sheetFormatPr defaultColWidth="8.796875" defaultRowHeight="15"/>
  <cols>
    <col min="1" max="1" width="8.8984375" style="124" customWidth="1"/>
    <col min="2" max="2" width="20.796875" style="124" customWidth="1"/>
    <col min="3" max="3" width="9" style="124" customWidth="1"/>
    <col min="4" max="4" width="9.09765625" style="124" customWidth="1"/>
    <col min="5" max="5" width="8.796875" style="124" customWidth="1"/>
    <col min="6" max="6" width="12.796875" style="124" customWidth="1"/>
    <col min="7" max="7" width="14.09765625" style="124" customWidth="1"/>
    <col min="8" max="13" width="9.796875" style="124" customWidth="1"/>
    <col min="14" max="16384" width="8.8984375" style="124" customWidth="1"/>
  </cols>
  <sheetData>
    <row r="1" spans="2:13" ht="15.75">
      <c r="B1" s="200" t="str">
        <f>inputPrYr!$C$3</f>
        <v>Russell County</v>
      </c>
      <c r="C1" s="67"/>
      <c r="D1" s="67"/>
      <c r="E1" s="67"/>
      <c r="F1" s="67"/>
      <c r="G1" s="67"/>
      <c r="H1" s="67"/>
      <c r="I1" s="67"/>
      <c r="J1" s="67"/>
      <c r="K1" s="67"/>
      <c r="L1" s="67"/>
      <c r="M1" s="248">
        <f>inputPrYr!$C$5</f>
        <v>2013</v>
      </c>
    </row>
    <row r="2" spans="2:13" ht="15.75">
      <c r="B2" s="200"/>
      <c r="C2" s="67"/>
      <c r="D2" s="67"/>
      <c r="E2" s="67"/>
      <c r="F2" s="67"/>
      <c r="G2" s="67"/>
      <c r="H2" s="67"/>
      <c r="I2" s="67"/>
      <c r="J2" s="67"/>
      <c r="K2" s="67"/>
      <c r="L2" s="67"/>
      <c r="M2" s="107"/>
    </row>
    <row r="3" spans="2:13" ht="15.75">
      <c r="B3" s="249" t="s">
        <v>812</v>
      </c>
      <c r="C3" s="75"/>
      <c r="D3" s="75"/>
      <c r="E3" s="75"/>
      <c r="F3" s="75"/>
      <c r="G3" s="75"/>
      <c r="H3" s="75"/>
      <c r="I3" s="75"/>
      <c r="J3" s="75"/>
      <c r="K3" s="75"/>
      <c r="L3" s="75"/>
      <c r="M3" s="75"/>
    </row>
    <row r="4" spans="2:13" ht="15.75">
      <c r="B4" s="67"/>
      <c r="C4" s="250"/>
      <c r="D4" s="250"/>
      <c r="E4" s="250"/>
      <c r="F4" s="250"/>
      <c r="G4" s="250"/>
      <c r="H4" s="250"/>
      <c r="I4" s="250"/>
      <c r="J4" s="250"/>
      <c r="K4" s="250"/>
      <c r="L4" s="250"/>
      <c r="M4" s="250"/>
    </row>
    <row r="5" spans="2:13" ht="15.75">
      <c r="B5" s="251" t="s">
        <v>194</v>
      </c>
      <c r="C5" s="622" t="s">
        <v>780</v>
      </c>
      <c r="D5" s="251" t="s">
        <v>780</v>
      </c>
      <c r="E5" s="251" t="s">
        <v>794</v>
      </c>
      <c r="F5" s="251"/>
      <c r="G5" s="251" t="s">
        <v>910</v>
      </c>
      <c r="H5" s="67"/>
      <c r="I5" s="67"/>
      <c r="J5" s="252" t="s">
        <v>781</v>
      </c>
      <c r="K5" s="253"/>
      <c r="L5" s="252" t="s">
        <v>781</v>
      </c>
      <c r="M5" s="253"/>
    </row>
    <row r="6" spans="2:13" ht="15.75">
      <c r="B6" s="254" t="s">
        <v>782</v>
      </c>
      <c r="C6" s="621" t="s">
        <v>782</v>
      </c>
      <c r="D6" s="254" t="s">
        <v>911</v>
      </c>
      <c r="E6" s="254" t="s">
        <v>783</v>
      </c>
      <c r="F6" s="254" t="s">
        <v>715</v>
      </c>
      <c r="G6" s="254" t="s">
        <v>857</v>
      </c>
      <c r="H6" s="743" t="s">
        <v>784</v>
      </c>
      <c r="I6" s="744"/>
      <c r="J6" s="745">
        <f>M1-1</f>
        <v>2012</v>
      </c>
      <c r="K6" s="746"/>
      <c r="L6" s="745">
        <f>M1</f>
        <v>2013</v>
      </c>
      <c r="M6" s="746"/>
    </row>
    <row r="7" spans="2:13" ht="15.75">
      <c r="B7" s="257" t="s">
        <v>193</v>
      </c>
      <c r="C7" s="623" t="s">
        <v>785</v>
      </c>
      <c r="D7" s="257" t="s">
        <v>912</v>
      </c>
      <c r="E7" s="257" t="s">
        <v>739</v>
      </c>
      <c r="F7" s="257" t="s">
        <v>786</v>
      </c>
      <c r="G7" s="255" t="str">
        <f>CONCATENATE("Jan 1,",M1-1,"")</f>
        <v>Jan 1,2012</v>
      </c>
      <c r="H7" s="246" t="s">
        <v>794</v>
      </c>
      <c r="I7" s="246" t="s">
        <v>795</v>
      </c>
      <c r="J7" s="246" t="s">
        <v>794</v>
      </c>
      <c r="K7" s="246" t="s">
        <v>795</v>
      </c>
      <c r="L7" s="246" t="s">
        <v>794</v>
      </c>
      <c r="M7" s="246" t="s">
        <v>795</v>
      </c>
    </row>
    <row r="8" spans="2:13" ht="15.75">
      <c r="B8" s="256" t="s">
        <v>787</v>
      </c>
      <c r="C8" s="163"/>
      <c r="D8" s="163"/>
      <c r="E8" s="258"/>
      <c r="F8" s="259"/>
      <c r="G8" s="259"/>
      <c r="H8" s="163"/>
      <c r="I8" s="163"/>
      <c r="J8" s="259"/>
      <c r="K8" s="259"/>
      <c r="L8" s="259"/>
      <c r="M8" s="259"/>
    </row>
    <row r="9" spans="2:13" ht="15.75">
      <c r="B9" s="260"/>
      <c r="C9" s="436"/>
      <c r="D9" s="436"/>
      <c r="E9" s="261"/>
      <c r="F9" s="262"/>
      <c r="G9" s="263"/>
      <c r="H9" s="264"/>
      <c r="I9" s="264"/>
      <c r="J9" s="263"/>
      <c r="K9" s="263"/>
      <c r="L9" s="263"/>
      <c r="M9" s="263"/>
    </row>
    <row r="10" spans="2:13" ht="15.75">
      <c r="B10" s="260" t="s">
        <v>433</v>
      </c>
      <c r="C10" s="436">
        <v>38169</v>
      </c>
      <c r="D10" s="436"/>
      <c r="E10" s="261"/>
      <c r="F10" s="262">
        <v>5500000</v>
      </c>
      <c r="G10" s="263">
        <v>4175000</v>
      </c>
      <c r="H10" s="264" t="s">
        <v>434</v>
      </c>
      <c r="I10" s="264" t="s">
        <v>435</v>
      </c>
      <c r="J10" s="263">
        <v>180065</v>
      </c>
      <c r="K10" s="263">
        <v>245000</v>
      </c>
      <c r="L10" s="263">
        <v>170265</v>
      </c>
      <c r="M10" s="263">
        <v>255000</v>
      </c>
    </row>
    <row r="11" spans="2:13" ht="15.75">
      <c r="B11" s="260"/>
      <c r="C11" s="436"/>
      <c r="D11" s="436"/>
      <c r="E11" s="261"/>
      <c r="F11" s="262"/>
      <c r="G11" s="263"/>
      <c r="H11" s="264"/>
      <c r="I11" s="264"/>
      <c r="J11" s="263"/>
      <c r="K11" s="263"/>
      <c r="L11" s="263"/>
      <c r="M11" s="263"/>
    </row>
    <row r="12" spans="2:13" ht="15.75">
      <c r="B12" s="260"/>
      <c r="C12" s="436"/>
      <c r="D12" s="436"/>
      <c r="E12" s="261"/>
      <c r="F12" s="262"/>
      <c r="G12" s="263"/>
      <c r="H12" s="264"/>
      <c r="I12" s="264"/>
      <c r="J12" s="263"/>
      <c r="K12" s="263"/>
      <c r="L12" s="263"/>
      <c r="M12" s="263"/>
    </row>
    <row r="13" spans="2:13" ht="15.75">
      <c r="B13" s="260"/>
      <c r="C13" s="436"/>
      <c r="D13" s="436"/>
      <c r="E13" s="261"/>
      <c r="F13" s="262"/>
      <c r="G13" s="263"/>
      <c r="H13" s="264"/>
      <c r="I13" s="264"/>
      <c r="J13" s="263"/>
      <c r="K13" s="263"/>
      <c r="L13" s="263"/>
      <c r="M13" s="263"/>
    </row>
    <row r="14" spans="2:13" ht="15.75">
      <c r="B14" s="260"/>
      <c r="C14" s="436"/>
      <c r="D14" s="436"/>
      <c r="E14" s="261"/>
      <c r="F14" s="262"/>
      <c r="G14" s="263"/>
      <c r="H14" s="264"/>
      <c r="I14" s="264"/>
      <c r="J14" s="263"/>
      <c r="K14" s="263"/>
      <c r="L14" s="263"/>
      <c r="M14" s="263"/>
    </row>
    <row r="15" spans="2:13" ht="15.75">
      <c r="B15" s="260"/>
      <c r="C15" s="436"/>
      <c r="D15" s="436"/>
      <c r="E15" s="261"/>
      <c r="F15" s="262"/>
      <c r="G15" s="263"/>
      <c r="H15" s="264"/>
      <c r="I15" s="264"/>
      <c r="J15" s="263"/>
      <c r="K15" s="263"/>
      <c r="L15" s="263"/>
      <c r="M15" s="263"/>
    </row>
    <row r="16" spans="2:13" ht="15.75">
      <c r="B16" s="260"/>
      <c r="C16" s="436"/>
      <c r="D16" s="436"/>
      <c r="E16" s="261"/>
      <c r="F16" s="262"/>
      <c r="G16" s="263"/>
      <c r="H16" s="264"/>
      <c r="I16" s="264"/>
      <c r="J16" s="263"/>
      <c r="K16" s="263"/>
      <c r="L16" s="263"/>
      <c r="M16" s="263"/>
    </row>
    <row r="17" spans="2:13" ht="15.75">
      <c r="B17" s="260"/>
      <c r="C17" s="436"/>
      <c r="D17" s="436"/>
      <c r="E17" s="261"/>
      <c r="F17" s="262"/>
      <c r="G17" s="263"/>
      <c r="H17" s="264"/>
      <c r="I17" s="264"/>
      <c r="J17" s="263"/>
      <c r="K17" s="263"/>
      <c r="L17" s="263"/>
      <c r="M17" s="263"/>
    </row>
    <row r="18" spans="2:13" ht="15.75">
      <c r="B18" s="260"/>
      <c r="C18" s="436"/>
      <c r="D18" s="436"/>
      <c r="E18" s="261"/>
      <c r="F18" s="262"/>
      <c r="G18" s="263"/>
      <c r="H18" s="264"/>
      <c r="I18" s="264"/>
      <c r="J18" s="263"/>
      <c r="K18" s="263"/>
      <c r="L18" s="263"/>
      <c r="M18" s="263"/>
    </row>
    <row r="19" spans="2:13" ht="15.75">
      <c r="B19" s="260"/>
      <c r="C19" s="436"/>
      <c r="D19" s="436"/>
      <c r="E19" s="261"/>
      <c r="F19" s="262"/>
      <c r="G19" s="263"/>
      <c r="H19" s="264"/>
      <c r="I19" s="264"/>
      <c r="J19" s="263"/>
      <c r="K19" s="263"/>
      <c r="L19" s="263"/>
      <c r="M19" s="263"/>
    </row>
    <row r="20" spans="2:13" ht="15.75">
      <c r="B20" s="260"/>
      <c r="C20" s="436"/>
      <c r="D20" s="436"/>
      <c r="E20" s="261"/>
      <c r="F20" s="262"/>
      <c r="G20" s="263"/>
      <c r="H20" s="264"/>
      <c r="I20" s="264"/>
      <c r="J20" s="263"/>
      <c r="K20" s="263"/>
      <c r="L20" s="263"/>
      <c r="M20" s="263"/>
    </row>
    <row r="21" spans="2:13" ht="15.75">
      <c r="B21" s="260"/>
      <c r="C21" s="436"/>
      <c r="D21" s="436"/>
      <c r="E21" s="261"/>
      <c r="F21" s="262"/>
      <c r="G21" s="263"/>
      <c r="H21" s="264"/>
      <c r="I21" s="264"/>
      <c r="J21" s="263"/>
      <c r="K21" s="263"/>
      <c r="L21" s="263"/>
      <c r="M21" s="263"/>
    </row>
    <row r="22" spans="2:13" ht="15.75">
      <c r="B22" s="265" t="s">
        <v>788</v>
      </c>
      <c r="C22" s="266"/>
      <c r="D22" s="266"/>
      <c r="E22" s="267"/>
      <c r="F22" s="268"/>
      <c r="G22" s="269">
        <f>SUM(G9:G21)</f>
        <v>4175000</v>
      </c>
      <c r="H22" s="270"/>
      <c r="I22" s="270"/>
      <c r="J22" s="269">
        <f>SUM(J9:J21)</f>
        <v>180065</v>
      </c>
      <c r="K22" s="269">
        <f>SUM(K9:K21)</f>
        <v>245000</v>
      </c>
      <c r="L22" s="269">
        <f>SUM(L9:L21)</f>
        <v>170265</v>
      </c>
      <c r="M22" s="269">
        <f>SUM(M9:M21)</f>
        <v>255000</v>
      </c>
    </row>
    <row r="23" spans="2:13" ht="15.75">
      <c r="B23" s="246" t="s">
        <v>789</v>
      </c>
      <c r="C23" s="271"/>
      <c r="D23" s="271"/>
      <c r="E23" s="272"/>
      <c r="F23" s="273"/>
      <c r="G23" s="273"/>
      <c r="H23" s="274"/>
      <c r="I23" s="274"/>
      <c r="J23" s="273"/>
      <c r="K23" s="273"/>
      <c r="L23" s="273"/>
      <c r="M23" s="273"/>
    </row>
    <row r="24" spans="2:13" ht="15.75">
      <c r="B24" s="260"/>
      <c r="C24" s="436"/>
      <c r="D24" s="436"/>
      <c r="E24" s="261"/>
      <c r="F24" s="262"/>
      <c r="G24" s="263"/>
      <c r="H24" s="264"/>
      <c r="I24" s="264"/>
      <c r="J24" s="263"/>
      <c r="K24" s="263"/>
      <c r="L24" s="263"/>
      <c r="M24" s="263"/>
    </row>
    <row r="25" spans="2:13" ht="15.75">
      <c r="B25" s="260" t="s">
        <v>436</v>
      </c>
      <c r="C25" s="436"/>
      <c r="D25" s="436"/>
      <c r="E25" s="261"/>
      <c r="F25" s="262"/>
      <c r="G25" s="263"/>
      <c r="H25" s="264"/>
      <c r="I25" s="264"/>
      <c r="J25" s="263"/>
      <c r="K25" s="263"/>
      <c r="L25" s="263"/>
      <c r="M25" s="263"/>
    </row>
    <row r="26" spans="2:13" ht="15.75">
      <c r="B26" s="260"/>
      <c r="C26" s="436"/>
      <c r="D26" s="436"/>
      <c r="E26" s="261"/>
      <c r="F26" s="262"/>
      <c r="G26" s="263"/>
      <c r="H26" s="264"/>
      <c r="I26" s="264"/>
      <c r="J26" s="263"/>
      <c r="K26" s="263"/>
      <c r="L26" s="263"/>
      <c r="M26" s="263"/>
    </row>
    <row r="27" spans="2:13" ht="15.75">
      <c r="B27" s="260"/>
      <c r="C27" s="436"/>
      <c r="D27" s="436"/>
      <c r="E27" s="261"/>
      <c r="F27" s="262"/>
      <c r="G27" s="263"/>
      <c r="H27" s="264"/>
      <c r="I27" s="264"/>
      <c r="J27" s="263"/>
      <c r="K27" s="263"/>
      <c r="L27" s="263"/>
      <c r="M27" s="263"/>
    </row>
    <row r="28" spans="2:13" ht="15.75">
      <c r="B28" s="260"/>
      <c r="C28" s="436"/>
      <c r="D28" s="436"/>
      <c r="E28" s="261"/>
      <c r="F28" s="262"/>
      <c r="G28" s="263"/>
      <c r="H28" s="264"/>
      <c r="I28" s="264"/>
      <c r="J28" s="263"/>
      <c r="K28" s="263"/>
      <c r="L28" s="263"/>
      <c r="M28" s="263"/>
    </row>
    <row r="29" spans="2:13" ht="15.75">
      <c r="B29" s="260"/>
      <c r="C29" s="436"/>
      <c r="D29" s="436"/>
      <c r="E29" s="261"/>
      <c r="F29" s="262"/>
      <c r="G29" s="263"/>
      <c r="H29" s="264"/>
      <c r="I29" s="264"/>
      <c r="J29" s="263"/>
      <c r="K29" s="263"/>
      <c r="L29" s="263"/>
      <c r="M29" s="263"/>
    </row>
    <row r="30" spans="2:13" ht="15.75">
      <c r="B30" s="260"/>
      <c r="C30" s="436"/>
      <c r="D30" s="436"/>
      <c r="E30" s="261"/>
      <c r="F30" s="262"/>
      <c r="G30" s="263"/>
      <c r="H30" s="264"/>
      <c r="I30" s="264"/>
      <c r="J30" s="263"/>
      <c r="K30" s="263"/>
      <c r="L30" s="263"/>
      <c r="M30" s="263"/>
    </row>
    <row r="31" spans="2:13" ht="15.75">
      <c r="B31" s="260"/>
      <c r="C31" s="436"/>
      <c r="D31" s="436"/>
      <c r="E31" s="261"/>
      <c r="F31" s="262"/>
      <c r="G31" s="263"/>
      <c r="H31" s="264"/>
      <c r="I31" s="264"/>
      <c r="J31" s="263"/>
      <c r="K31" s="263"/>
      <c r="L31" s="263"/>
      <c r="M31" s="263"/>
    </row>
    <row r="32" spans="2:13" ht="15.75">
      <c r="B32" s="260"/>
      <c r="C32" s="436"/>
      <c r="D32" s="436"/>
      <c r="E32" s="261"/>
      <c r="F32" s="262"/>
      <c r="G32" s="263"/>
      <c r="H32" s="264"/>
      <c r="I32" s="264"/>
      <c r="J32" s="263"/>
      <c r="K32" s="263"/>
      <c r="L32" s="263"/>
      <c r="M32" s="263"/>
    </row>
    <row r="33" spans="2:13" ht="15.75">
      <c r="B33" s="260"/>
      <c r="C33" s="436"/>
      <c r="D33" s="436"/>
      <c r="E33" s="261"/>
      <c r="F33" s="262"/>
      <c r="G33" s="263"/>
      <c r="H33" s="264"/>
      <c r="I33" s="264"/>
      <c r="J33" s="263"/>
      <c r="K33" s="263"/>
      <c r="L33" s="263"/>
      <c r="M33" s="263"/>
    </row>
    <row r="34" spans="2:13" ht="15.75">
      <c r="B34" s="260"/>
      <c r="C34" s="436"/>
      <c r="D34" s="436"/>
      <c r="E34" s="261"/>
      <c r="F34" s="262"/>
      <c r="G34" s="263"/>
      <c r="H34" s="264"/>
      <c r="I34" s="264"/>
      <c r="J34" s="263"/>
      <c r="K34" s="263"/>
      <c r="L34" s="263"/>
      <c r="M34" s="263"/>
    </row>
    <row r="35" spans="2:13" ht="15.75">
      <c r="B35" s="265" t="s">
        <v>790</v>
      </c>
      <c r="C35" s="266"/>
      <c r="D35" s="266"/>
      <c r="E35" s="275"/>
      <c r="F35" s="268"/>
      <c r="G35" s="276">
        <f>SUM(G24:G34)</f>
        <v>0</v>
      </c>
      <c r="H35" s="270"/>
      <c r="I35" s="270"/>
      <c r="J35" s="276">
        <f>SUM(J24:J34)</f>
        <v>0</v>
      </c>
      <c r="K35" s="276">
        <f>SUM(K24:K34)</f>
        <v>0</v>
      </c>
      <c r="L35" s="269">
        <f>SUM(L24:L34)</f>
        <v>0</v>
      </c>
      <c r="M35" s="276">
        <f>SUM(M24:M34)</f>
        <v>0</v>
      </c>
    </row>
    <row r="36" spans="2:13" ht="15.75">
      <c r="B36" s="246" t="s">
        <v>791</v>
      </c>
      <c r="C36" s="271"/>
      <c r="D36" s="271"/>
      <c r="E36" s="272"/>
      <c r="F36" s="273"/>
      <c r="G36" s="277"/>
      <c r="H36" s="274"/>
      <c r="I36" s="274"/>
      <c r="J36" s="273"/>
      <c r="K36" s="273"/>
      <c r="L36" s="273"/>
      <c r="M36" s="273"/>
    </row>
    <row r="37" spans="2:13" ht="15.75">
      <c r="B37" s="260"/>
      <c r="C37" s="436"/>
      <c r="D37" s="436"/>
      <c r="E37" s="261"/>
      <c r="F37" s="262"/>
      <c r="G37" s="263"/>
      <c r="H37" s="264"/>
      <c r="I37" s="264"/>
      <c r="J37" s="263"/>
      <c r="K37" s="263"/>
      <c r="L37" s="263"/>
      <c r="M37" s="263"/>
    </row>
    <row r="38" spans="2:13" ht="15.75">
      <c r="B38" s="260" t="s">
        <v>436</v>
      </c>
      <c r="C38" s="436"/>
      <c r="D38" s="436"/>
      <c r="E38" s="261"/>
      <c r="F38" s="262"/>
      <c r="G38" s="263"/>
      <c r="H38" s="264"/>
      <c r="I38" s="264"/>
      <c r="J38" s="263"/>
      <c r="K38" s="263"/>
      <c r="L38" s="263"/>
      <c r="M38" s="263"/>
    </row>
    <row r="39" spans="2:13" ht="15.75">
      <c r="B39" s="260"/>
      <c r="C39" s="436"/>
      <c r="D39" s="436"/>
      <c r="E39" s="261"/>
      <c r="F39" s="262"/>
      <c r="G39" s="263"/>
      <c r="H39" s="264"/>
      <c r="I39" s="264"/>
      <c r="J39" s="263"/>
      <c r="K39" s="263"/>
      <c r="L39" s="263"/>
      <c r="M39" s="263"/>
    </row>
    <row r="40" spans="2:13" ht="15.75">
      <c r="B40" s="260"/>
      <c r="C40" s="436"/>
      <c r="D40" s="436"/>
      <c r="E40" s="261"/>
      <c r="F40" s="262"/>
      <c r="G40" s="263"/>
      <c r="H40" s="264"/>
      <c r="I40" s="264"/>
      <c r="J40" s="263"/>
      <c r="K40" s="263"/>
      <c r="L40" s="263"/>
      <c r="M40" s="263"/>
    </row>
    <row r="41" spans="2:13" ht="15.75">
      <c r="B41" s="260"/>
      <c r="C41" s="436"/>
      <c r="D41" s="436"/>
      <c r="E41" s="261"/>
      <c r="F41" s="262"/>
      <c r="G41" s="263"/>
      <c r="H41" s="264"/>
      <c r="I41" s="264"/>
      <c r="J41" s="263"/>
      <c r="K41" s="263"/>
      <c r="L41" s="263"/>
      <c r="M41" s="263"/>
    </row>
    <row r="42" spans="2:13" ht="15.75">
      <c r="B42" s="260"/>
      <c r="C42" s="436"/>
      <c r="D42" s="436"/>
      <c r="E42" s="261"/>
      <c r="F42" s="262"/>
      <c r="G42" s="263"/>
      <c r="H42" s="264"/>
      <c r="I42" s="264"/>
      <c r="J42" s="263"/>
      <c r="K42" s="263"/>
      <c r="L42" s="263"/>
      <c r="M42" s="263"/>
    </row>
    <row r="43" spans="2:13" ht="15.75">
      <c r="B43" s="260"/>
      <c r="C43" s="436"/>
      <c r="D43" s="436"/>
      <c r="E43" s="261"/>
      <c r="F43" s="262"/>
      <c r="G43" s="263"/>
      <c r="H43" s="264"/>
      <c r="I43" s="264"/>
      <c r="J43" s="263"/>
      <c r="K43" s="263"/>
      <c r="L43" s="263"/>
      <c r="M43" s="263"/>
    </row>
    <row r="44" spans="2:13" ht="15.75">
      <c r="B44" s="260"/>
      <c r="C44" s="436"/>
      <c r="D44" s="436"/>
      <c r="E44" s="261"/>
      <c r="F44" s="262"/>
      <c r="G44" s="263"/>
      <c r="H44" s="264"/>
      <c r="I44" s="264"/>
      <c r="J44" s="263"/>
      <c r="K44" s="263"/>
      <c r="L44" s="263"/>
      <c r="M44" s="263"/>
    </row>
    <row r="45" spans="2:29" ht="15.75">
      <c r="B45" s="260"/>
      <c r="C45" s="436"/>
      <c r="D45" s="436"/>
      <c r="E45" s="261"/>
      <c r="F45" s="262"/>
      <c r="G45" s="263"/>
      <c r="H45" s="264"/>
      <c r="I45" s="264"/>
      <c r="J45" s="263"/>
      <c r="K45" s="263"/>
      <c r="L45" s="263"/>
      <c r="M45" s="263"/>
      <c r="N45" s="52"/>
      <c r="O45" s="52"/>
      <c r="P45" s="52"/>
      <c r="Q45" s="52"/>
      <c r="R45" s="52"/>
      <c r="S45" s="52"/>
      <c r="T45" s="52"/>
      <c r="U45" s="52"/>
      <c r="V45" s="52"/>
      <c r="W45" s="52"/>
      <c r="X45" s="52"/>
      <c r="Y45" s="52"/>
      <c r="Z45" s="52"/>
      <c r="AA45" s="52"/>
      <c r="AB45" s="52"/>
      <c r="AC45" s="52"/>
    </row>
    <row r="46" spans="2:13" ht="15.75">
      <c r="B46" s="265" t="s">
        <v>913</v>
      </c>
      <c r="C46" s="265"/>
      <c r="D46" s="265"/>
      <c r="E46" s="275"/>
      <c r="F46" s="268"/>
      <c r="G46" s="276">
        <f>SUM(G37:G45)</f>
        <v>0</v>
      </c>
      <c r="H46" s="268"/>
      <c r="I46" s="268"/>
      <c r="J46" s="276">
        <f>SUM(J37:J45)</f>
        <v>0</v>
      </c>
      <c r="K46" s="276">
        <f>SUM(K37:K45)</f>
        <v>0</v>
      </c>
      <c r="L46" s="276">
        <f>SUM(L37:L45)</f>
        <v>0</v>
      </c>
      <c r="M46" s="276">
        <f>SUM(M37:M45)</f>
        <v>0</v>
      </c>
    </row>
    <row r="47" spans="2:13" ht="15.75">
      <c r="B47" s="265" t="s">
        <v>792</v>
      </c>
      <c r="C47" s="265"/>
      <c r="D47" s="265"/>
      <c r="E47" s="265"/>
      <c r="F47" s="268"/>
      <c r="G47" s="276">
        <f>SUM(G22+G35+G46)</f>
        <v>4175000</v>
      </c>
      <c r="H47" s="268"/>
      <c r="I47" s="268"/>
      <c r="J47" s="276">
        <f>SUM(J22+J35+J46)</f>
        <v>180065</v>
      </c>
      <c r="K47" s="276">
        <f>SUM(K22+K35+K46)</f>
        <v>245000</v>
      </c>
      <c r="L47" s="276">
        <f>SUM(L22+L35+L46)</f>
        <v>170265</v>
      </c>
      <c r="M47" s="276">
        <f>SUM(M22+M35+M46)</f>
        <v>255000</v>
      </c>
    </row>
    <row r="48" spans="2:13" ht="15.75">
      <c r="B48" s="52"/>
      <c r="C48" s="52"/>
      <c r="D48" s="52"/>
      <c r="E48" s="52"/>
      <c r="F48" s="52"/>
      <c r="G48" s="52"/>
      <c r="H48" s="52"/>
      <c r="I48" s="52"/>
      <c r="J48" s="52"/>
      <c r="K48" s="52"/>
      <c r="L48" s="52"/>
      <c r="M48" s="52"/>
    </row>
    <row r="49" spans="6:13" ht="15.75">
      <c r="F49" s="278"/>
      <c r="G49" s="278"/>
      <c r="J49" s="278"/>
      <c r="K49" s="278"/>
      <c r="L49" s="278"/>
      <c r="M49" s="278"/>
    </row>
    <row r="50" spans="6:14" ht="15.75">
      <c r="F50" s="52"/>
      <c r="H50" s="279"/>
      <c r="N50" s="52"/>
    </row>
    <row r="51" spans="2:13" ht="15.75">
      <c r="B51" s="52"/>
      <c r="C51" s="52"/>
      <c r="D51" s="52"/>
      <c r="E51" s="52"/>
      <c r="F51" s="52"/>
      <c r="G51" s="52"/>
      <c r="H51" s="52"/>
      <c r="I51" s="52"/>
      <c r="J51" s="52"/>
      <c r="K51" s="52"/>
      <c r="L51" s="52"/>
      <c r="M51" s="52"/>
    </row>
    <row r="52" spans="2:13" ht="15.75">
      <c r="B52" s="52"/>
      <c r="C52" s="52"/>
      <c r="D52" s="52"/>
      <c r="E52" s="52"/>
      <c r="F52" s="52"/>
      <c r="G52" s="52"/>
      <c r="H52" s="52"/>
      <c r="I52" s="52"/>
      <c r="J52" s="52"/>
      <c r="K52" s="52"/>
      <c r="L52" s="52"/>
      <c r="M52" s="52"/>
    </row>
  </sheetData>
  <sheetProtection sheet="1"/>
  <mergeCells count="3">
    <mergeCell ref="H6:I6"/>
    <mergeCell ref="J6:K6"/>
    <mergeCell ref="L6:M6"/>
  </mergeCells>
  <printOptions/>
  <pageMargins left="0.48" right="0.5" top="0.78" bottom="0.4" header="0.5" footer="0"/>
  <pageSetup blackAndWhite="1" fitToHeight="1" fitToWidth="1" horizontalDpi="120" verticalDpi="120" orientation="landscape" scale="72" r:id="rId1"/>
  <headerFooter alignWithMargins="0">
    <oddHeader>&amp;RState of Kansas
County
</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I16" sqref="I16"/>
    </sheetView>
  </sheetViews>
  <sheetFormatPr defaultColWidth="8.796875" defaultRowHeight="15"/>
  <cols>
    <col min="1" max="1" width="8.8984375" style="52" customWidth="1"/>
    <col min="2" max="2" width="25.796875" style="52" customWidth="1"/>
    <col min="3" max="5" width="9.796875" style="52" customWidth="1"/>
    <col min="6" max="6" width="17.09765625" style="52" customWidth="1"/>
    <col min="7" max="9" width="15.796875" style="52" customWidth="1"/>
    <col min="10" max="16384" width="8.8984375" style="52" customWidth="1"/>
  </cols>
  <sheetData>
    <row r="1" spans="2:9" ht="15.75">
      <c r="B1" s="200" t="str">
        <f>inputPrYr!$C$3</f>
        <v>Russell County</v>
      </c>
      <c r="C1" s="67"/>
      <c r="D1" s="67"/>
      <c r="E1" s="67"/>
      <c r="F1" s="67"/>
      <c r="G1" s="67"/>
      <c r="H1" s="67"/>
      <c r="I1" s="280">
        <f>inputPrYr!C5</f>
        <v>2013</v>
      </c>
    </row>
    <row r="2" spans="2:9" ht="15.75">
      <c r="B2" s="67"/>
      <c r="C2" s="67"/>
      <c r="D2" s="67"/>
      <c r="E2" s="67"/>
      <c r="F2" s="67"/>
      <c r="G2" s="67"/>
      <c r="H2" s="67"/>
      <c r="I2" s="107"/>
    </row>
    <row r="3" spans="2:9" ht="15.75">
      <c r="B3" s="67"/>
      <c r="C3" s="75"/>
      <c r="D3" s="75"/>
      <c r="E3" s="75"/>
      <c r="F3" s="75"/>
      <c r="G3" s="75"/>
      <c r="H3" s="75"/>
      <c r="I3" s="281"/>
    </row>
    <row r="4" spans="2:9" ht="15.75">
      <c r="B4" s="249" t="s">
        <v>804</v>
      </c>
      <c r="C4" s="75"/>
      <c r="D4" s="75"/>
      <c r="E4" s="75"/>
      <c r="F4" s="75"/>
      <c r="G4" s="75"/>
      <c r="H4" s="75"/>
      <c r="I4" s="75"/>
    </row>
    <row r="5" spans="2:9" ht="15.75">
      <c r="B5" s="96"/>
      <c r="C5" s="250"/>
      <c r="D5" s="250"/>
      <c r="E5" s="250"/>
      <c r="F5" s="250"/>
      <c r="G5" s="250"/>
      <c r="H5" s="250"/>
      <c r="I5" s="250"/>
    </row>
    <row r="6" spans="2:9" ht="15.75">
      <c r="B6" s="282"/>
      <c r="C6" s="283"/>
      <c r="D6" s="283"/>
      <c r="E6" s="283"/>
      <c r="F6" s="251" t="s">
        <v>695</v>
      </c>
      <c r="G6" s="283"/>
      <c r="H6" s="283"/>
      <c r="I6" s="283"/>
    </row>
    <row r="7" spans="2:9" ht="15.75">
      <c r="B7" s="282"/>
      <c r="C7" s="254"/>
      <c r="D7" s="254" t="s">
        <v>793</v>
      </c>
      <c r="E7" s="254" t="s">
        <v>794</v>
      </c>
      <c r="F7" s="254" t="s">
        <v>715</v>
      </c>
      <c r="G7" s="254" t="s">
        <v>795</v>
      </c>
      <c r="H7" s="254" t="s">
        <v>796</v>
      </c>
      <c r="I7" s="254" t="s">
        <v>796</v>
      </c>
    </row>
    <row r="8" spans="2:9" ht="15.75">
      <c r="B8" s="624" t="s">
        <v>196</v>
      </c>
      <c r="C8" s="254" t="s">
        <v>797</v>
      </c>
      <c r="D8" s="254" t="s">
        <v>798</v>
      </c>
      <c r="E8" s="254" t="s">
        <v>783</v>
      </c>
      <c r="F8" s="254" t="s">
        <v>799</v>
      </c>
      <c r="G8" s="254" t="s">
        <v>839</v>
      </c>
      <c r="H8" s="254" t="s">
        <v>800</v>
      </c>
      <c r="I8" s="254" t="s">
        <v>800</v>
      </c>
    </row>
    <row r="9" spans="2:9" ht="15.75">
      <c r="B9" s="607" t="s">
        <v>195</v>
      </c>
      <c r="C9" s="257" t="s">
        <v>780</v>
      </c>
      <c r="D9" s="285" t="s">
        <v>801</v>
      </c>
      <c r="E9" s="257" t="s">
        <v>739</v>
      </c>
      <c r="F9" s="285" t="s">
        <v>858</v>
      </c>
      <c r="G9" s="286" t="str">
        <f>CONCATENATE("Jan 1,",I1-1,"")</f>
        <v>Jan 1,2012</v>
      </c>
      <c r="H9" s="257">
        <f>I1-1</f>
        <v>2012</v>
      </c>
      <c r="I9" s="257">
        <f>I1</f>
        <v>2013</v>
      </c>
    </row>
    <row r="10" spans="2:9" ht="15.75">
      <c r="B10" s="93"/>
      <c r="C10" s="93"/>
      <c r="D10" s="287"/>
      <c r="E10" s="288"/>
      <c r="F10" s="94"/>
      <c r="G10" s="94"/>
      <c r="H10" s="94"/>
      <c r="I10" s="94"/>
    </row>
    <row r="11" spans="2:9" ht="15.75">
      <c r="B11" s="93" t="s">
        <v>437</v>
      </c>
      <c r="C11" s="452">
        <v>38512</v>
      </c>
      <c r="D11" s="287">
        <v>60</v>
      </c>
      <c r="E11" s="288">
        <v>4.39</v>
      </c>
      <c r="F11" s="94">
        <v>390912</v>
      </c>
      <c r="G11" s="94">
        <v>39451</v>
      </c>
      <c r="H11" s="94">
        <v>41181</v>
      </c>
      <c r="I11" s="94"/>
    </row>
    <row r="12" spans="2:9" ht="15.75">
      <c r="B12" s="93" t="s">
        <v>438</v>
      </c>
      <c r="C12" s="93"/>
      <c r="D12" s="287">
        <v>60</v>
      </c>
      <c r="E12" s="288"/>
      <c r="F12" s="94">
        <v>219500</v>
      </c>
      <c r="G12" s="94">
        <v>91413</v>
      </c>
      <c r="H12" s="94">
        <v>48425</v>
      </c>
      <c r="I12" s="94">
        <v>48426</v>
      </c>
    </row>
    <row r="13" spans="2:9" ht="15.75">
      <c r="B13" s="93" t="s">
        <v>439</v>
      </c>
      <c r="C13" s="452"/>
      <c r="D13" s="287">
        <v>120</v>
      </c>
      <c r="E13" s="288">
        <v>4.86</v>
      </c>
      <c r="F13" s="94">
        <v>188505</v>
      </c>
      <c r="G13" s="94">
        <v>150686</v>
      </c>
      <c r="H13" s="94">
        <v>21101</v>
      </c>
      <c r="I13" s="94">
        <v>21101</v>
      </c>
    </row>
    <row r="14" spans="2:9" ht="15.75">
      <c r="B14" s="93" t="s">
        <v>440</v>
      </c>
      <c r="C14" s="93"/>
      <c r="D14" s="287">
        <v>60</v>
      </c>
      <c r="E14" s="288"/>
      <c r="F14" s="94">
        <v>332500</v>
      </c>
      <c r="G14" s="94">
        <v>270246</v>
      </c>
      <c r="H14" s="94">
        <v>73226</v>
      </c>
      <c r="I14" s="94">
        <v>73226</v>
      </c>
    </row>
    <row r="15" spans="2:9" ht="15.75">
      <c r="B15" s="93" t="s">
        <v>437</v>
      </c>
      <c r="C15" s="93"/>
      <c r="D15" s="287">
        <v>60</v>
      </c>
      <c r="E15" s="288"/>
      <c r="F15" s="94">
        <v>253900</v>
      </c>
      <c r="G15" s="94">
        <v>253900</v>
      </c>
      <c r="H15" s="94">
        <v>55683</v>
      </c>
      <c r="I15" s="94">
        <v>55683</v>
      </c>
    </row>
    <row r="16" spans="2:9" ht="15.75">
      <c r="B16" s="93"/>
      <c r="C16" s="93"/>
      <c r="D16" s="287"/>
      <c r="E16" s="288"/>
      <c r="F16" s="94"/>
      <c r="G16" s="94"/>
      <c r="H16" s="94"/>
      <c r="I16" s="94"/>
    </row>
    <row r="17" spans="2:9" ht="15.75">
      <c r="B17" s="93"/>
      <c r="C17" s="93"/>
      <c r="D17" s="287"/>
      <c r="E17" s="288"/>
      <c r="F17" s="94"/>
      <c r="G17" s="94"/>
      <c r="H17" s="94"/>
      <c r="I17" s="94"/>
    </row>
    <row r="18" spans="2:9" ht="15.75">
      <c r="B18" s="93"/>
      <c r="C18" s="93"/>
      <c r="D18" s="287"/>
      <c r="E18" s="288"/>
      <c r="F18" s="94"/>
      <c r="G18" s="94"/>
      <c r="H18" s="94"/>
      <c r="I18" s="94"/>
    </row>
    <row r="19" spans="2:9" ht="15.75">
      <c r="B19" s="93"/>
      <c r="C19" s="93"/>
      <c r="D19" s="287"/>
      <c r="E19" s="288"/>
      <c r="F19" s="94"/>
      <c r="G19" s="94"/>
      <c r="H19" s="94"/>
      <c r="I19" s="94"/>
    </row>
    <row r="20" spans="2:9" ht="15.75">
      <c r="B20" s="93"/>
      <c r="C20" s="93"/>
      <c r="D20" s="287"/>
      <c r="E20" s="288"/>
      <c r="F20" s="94"/>
      <c r="G20" s="94"/>
      <c r="H20" s="94"/>
      <c r="I20" s="94"/>
    </row>
    <row r="21" spans="2:9" ht="15.75">
      <c r="B21" s="93"/>
      <c r="C21" s="93"/>
      <c r="D21" s="287"/>
      <c r="E21" s="288"/>
      <c r="F21" s="94"/>
      <c r="G21" s="94"/>
      <c r="H21" s="94"/>
      <c r="I21" s="94"/>
    </row>
    <row r="22" spans="2:9" ht="15.75">
      <c r="B22" s="93"/>
      <c r="C22" s="93"/>
      <c r="D22" s="287"/>
      <c r="E22" s="288"/>
      <c r="F22" s="94"/>
      <c r="G22" s="94"/>
      <c r="H22" s="94"/>
      <c r="I22" s="94"/>
    </row>
    <row r="23" spans="2:9" ht="15.75">
      <c r="B23" s="93"/>
      <c r="C23" s="93"/>
      <c r="D23" s="287"/>
      <c r="E23" s="288"/>
      <c r="F23" s="94"/>
      <c r="G23" s="94"/>
      <c r="H23" s="94"/>
      <c r="I23" s="94"/>
    </row>
    <row r="24" spans="2:9" ht="15.75">
      <c r="B24" s="93"/>
      <c r="C24" s="93"/>
      <c r="D24" s="287"/>
      <c r="E24" s="288"/>
      <c r="F24" s="94"/>
      <c r="G24" s="94"/>
      <c r="H24" s="94"/>
      <c r="I24" s="94"/>
    </row>
    <row r="25" spans="2:9" ht="15.75">
      <c r="B25" s="93"/>
      <c r="C25" s="93"/>
      <c r="D25" s="287"/>
      <c r="E25" s="288"/>
      <c r="F25" s="94"/>
      <c r="G25" s="94"/>
      <c r="H25" s="94"/>
      <c r="I25" s="94"/>
    </row>
    <row r="26" spans="2:9" ht="15.75">
      <c r="B26" s="93"/>
      <c r="C26" s="93"/>
      <c r="D26" s="287"/>
      <c r="E26" s="288"/>
      <c r="F26" s="94"/>
      <c r="G26" s="94"/>
      <c r="H26" s="94"/>
      <c r="I26" s="94"/>
    </row>
    <row r="27" spans="2:9" ht="15.75">
      <c r="B27" s="93"/>
      <c r="C27" s="93"/>
      <c r="D27" s="287"/>
      <c r="E27" s="288"/>
      <c r="F27" s="94"/>
      <c r="G27" s="94"/>
      <c r="H27" s="94"/>
      <c r="I27" s="94"/>
    </row>
    <row r="28" spans="2:9" ht="15.75">
      <c r="B28" s="93"/>
      <c r="C28" s="93"/>
      <c r="D28" s="287"/>
      <c r="E28" s="288"/>
      <c r="F28" s="94"/>
      <c r="G28" s="94"/>
      <c r="H28" s="94"/>
      <c r="I28" s="94"/>
    </row>
    <row r="29" spans="2:9" ht="15.75">
      <c r="B29" s="93"/>
      <c r="C29" s="93"/>
      <c r="D29" s="287"/>
      <c r="E29" s="288"/>
      <c r="F29" s="94"/>
      <c r="G29" s="94"/>
      <c r="H29" s="94"/>
      <c r="I29" s="94"/>
    </row>
    <row r="30" spans="2:9" ht="15.75">
      <c r="B30" s="93"/>
      <c r="C30" s="93"/>
      <c r="D30" s="287"/>
      <c r="E30" s="288"/>
      <c r="F30" s="94"/>
      <c r="G30" s="94"/>
      <c r="H30" s="94"/>
      <c r="I30" s="94"/>
    </row>
    <row r="31" spans="2:9" ht="15.75">
      <c r="B31" s="93"/>
      <c r="C31" s="93"/>
      <c r="D31" s="287"/>
      <c r="E31" s="288"/>
      <c r="F31" s="94"/>
      <c r="G31" s="94"/>
      <c r="H31" s="94"/>
      <c r="I31" s="94"/>
    </row>
    <row r="32" spans="2:9" ht="15.75">
      <c r="B32" s="93"/>
      <c r="C32" s="93"/>
      <c r="D32" s="287"/>
      <c r="E32" s="288"/>
      <c r="F32" s="94"/>
      <c r="G32" s="94"/>
      <c r="H32" s="94"/>
      <c r="I32" s="94"/>
    </row>
    <row r="33" spans="2:9" ht="15.75">
      <c r="B33" s="93"/>
      <c r="C33" s="93"/>
      <c r="D33" s="287"/>
      <c r="E33" s="288"/>
      <c r="F33" s="94"/>
      <c r="G33" s="94"/>
      <c r="H33" s="94"/>
      <c r="I33" s="94"/>
    </row>
    <row r="34" spans="2:9" ht="15.75">
      <c r="B34" s="93"/>
      <c r="C34" s="93"/>
      <c r="D34" s="287"/>
      <c r="E34" s="288"/>
      <c r="F34" s="94"/>
      <c r="G34" s="94"/>
      <c r="H34" s="94"/>
      <c r="I34" s="94"/>
    </row>
    <row r="35" spans="2:9" ht="15.75">
      <c r="B35" s="93"/>
      <c r="C35" s="93"/>
      <c r="D35" s="287"/>
      <c r="E35" s="288"/>
      <c r="F35" s="94"/>
      <c r="G35" s="94"/>
      <c r="H35" s="94"/>
      <c r="I35" s="94"/>
    </row>
    <row r="36" spans="2:9" ht="15.75">
      <c r="B36" s="93"/>
      <c r="C36" s="93"/>
      <c r="D36" s="287"/>
      <c r="E36" s="288"/>
      <c r="F36" s="94"/>
      <c r="G36" s="94"/>
      <c r="H36" s="94"/>
      <c r="I36" s="94"/>
    </row>
    <row r="37" spans="2:10" ht="16.5" thickBot="1">
      <c r="B37" s="67"/>
      <c r="C37" s="67"/>
      <c r="D37" s="67"/>
      <c r="E37" s="67"/>
      <c r="F37" s="246" t="s">
        <v>722</v>
      </c>
      <c r="G37" s="289">
        <f>SUM(G10:G36)</f>
        <v>805696</v>
      </c>
      <c r="H37" s="289">
        <f>SUM(H10:H36)</f>
        <v>239616</v>
      </c>
      <c r="I37" s="289">
        <f>SUM(I10:I36)</f>
        <v>198436</v>
      </c>
      <c r="J37" s="290"/>
    </row>
    <row r="38" spans="2:9" ht="16.5" thickTop="1">
      <c r="B38" s="67"/>
      <c r="C38" s="67"/>
      <c r="D38" s="67"/>
      <c r="E38" s="67"/>
      <c r="F38" s="67"/>
      <c r="G38" s="67"/>
      <c r="H38" s="200"/>
      <c r="I38" s="200"/>
    </row>
    <row r="39" spans="2:9" ht="15.75">
      <c r="B39" s="291" t="s">
        <v>210</v>
      </c>
      <c r="C39" s="292"/>
      <c r="D39" s="292"/>
      <c r="E39" s="292"/>
      <c r="F39" s="292"/>
      <c r="G39" s="292"/>
      <c r="H39" s="200"/>
      <c r="I39" s="200"/>
    </row>
    <row r="40" spans="2:9" ht="15.75">
      <c r="B40" s="124"/>
      <c r="C40" s="124"/>
      <c r="D40" s="279"/>
      <c r="E40" s="124"/>
      <c r="F40" s="124"/>
      <c r="G40" s="124"/>
      <c r="H40" s="278"/>
      <c r="I40" s="278"/>
    </row>
    <row r="41" spans="2:9" ht="15.75">
      <c r="B41" s="124"/>
      <c r="C41" s="124"/>
      <c r="D41" s="124"/>
      <c r="E41" s="124"/>
      <c r="F41" s="124"/>
      <c r="G41" s="124"/>
      <c r="H41" s="124"/>
      <c r="I41" s="124"/>
    </row>
    <row r="42" spans="2:9" ht="15.75">
      <c r="B42" s="124"/>
      <c r="C42" s="124"/>
      <c r="D42" s="124"/>
      <c r="E42" s="124"/>
      <c r="F42" s="124"/>
      <c r="G42" s="124"/>
      <c r="H42" s="124"/>
      <c r="I42" s="124"/>
    </row>
    <row r="43" spans="2:9" ht="15.75">
      <c r="B43" s="124"/>
      <c r="C43" s="124"/>
      <c r="D43" s="124"/>
      <c r="E43" s="124"/>
      <c r="F43" s="124"/>
      <c r="G43" s="124"/>
      <c r="H43" s="124"/>
      <c r="I43" s="124"/>
    </row>
    <row r="44" spans="2:9" ht="15.75">
      <c r="B44" s="124"/>
      <c r="C44" s="124"/>
      <c r="D44" s="124"/>
      <c r="E44" s="124"/>
      <c r="F44" s="124"/>
      <c r="G44" s="124"/>
      <c r="H44" s="124"/>
      <c r="I44" s="124"/>
    </row>
    <row r="45" spans="2:9" ht="15.75">
      <c r="B45" s="124"/>
      <c r="C45" s="124"/>
      <c r="D45" s="124"/>
      <c r="E45" s="124"/>
      <c r="F45" s="124"/>
      <c r="G45" s="124"/>
      <c r="H45" s="124"/>
      <c r="I45" s="124"/>
    </row>
    <row r="46" spans="2:9" ht="15.75">
      <c r="B46" s="124"/>
      <c r="C46" s="124"/>
      <c r="D46" s="124"/>
      <c r="E46" s="124"/>
      <c r="F46" s="124"/>
      <c r="G46" s="124"/>
      <c r="H46" s="124"/>
      <c r="I46" s="124"/>
    </row>
    <row r="47" spans="2:9" ht="15.75">
      <c r="B47" s="124"/>
      <c r="C47" s="124"/>
      <c r="D47" s="124"/>
      <c r="E47" s="124"/>
      <c r="F47" s="124"/>
      <c r="G47" s="124"/>
      <c r="H47" s="124"/>
      <c r="I47" s="124"/>
    </row>
    <row r="48" spans="2:9" ht="15.75">
      <c r="B48" s="124"/>
      <c r="C48" s="124"/>
      <c r="D48" s="124"/>
      <c r="E48" s="124"/>
      <c r="F48" s="124"/>
      <c r="G48" s="124"/>
      <c r="H48" s="124"/>
      <c r="I48" s="124"/>
    </row>
  </sheetData>
  <sheetProtection sheet="1"/>
  <printOptions/>
  <pageMargins left="0.24" right="0.82" top="0.78" bottom="0.4" header="0.5" footer="0"/>
  <pageSetup blackAndWhite="1" fitToHeight="1" fitToWidth="1" horizontalDpi="120" verticalDpi="120" orientation="landscape" scale="82" r:id="rId1"/>
  <headerFooter alignWithMargins="0">
    <oddHeader>&amp;RState of Kansas
County
</oddHeader>
    <oddFooter>&amp;CPage No. 6</oddFooter>
  </headerFooter>
</worksheet>
</file>

<file path=xl/worksheets/sheet15.xml><?xml version="1.0" encoding="utf-8"?>
<worksheet xmlns="http://schemas.openxmlformats.org/spreadsheetml/2006/main" xmlns:r="http://schemas.openxmlformats.org/officeDocument/2006/relationships">
  <dimension ref="B1:K134"/>
  <sheetViews>
    <sheetView zoomScalePageLayoutView="0" workbookViewId="0" topLeftCell="A1">
      <selection activeCell="D62" sqref="D62"/>
    </sheetView>
  </sheetViews>
  <sheetFormatPr defaultColWidth="8.796875" defaultRowHeight="15"/>
  <cols>
    <col min="1" max="1" width="2.3984375" style="52" customWidth="1"/>
    <col min="2" max="2" width="31.09765625" style="52" customWidth="1"/>
    <col min="3" max="4" width="15.796875" style="52" customWidth="1"/>
    <col min="5" max="5" width="16.09765625" style="52" customWidth="1"/>
    <col min="6" max="6" width="7.3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67"/>
      <c r="C2" s="67"/>
      <c r="D2" s="67"/>
      <c r="E2" s="107"/>
    </row>
    <row r="3" spans="2:5" ht="15.75">
      <c r="B3" s="473" t="s">
        <v>810</v>
      </c>
      <c r="C3" s="67"/>
      <c r="D3" s="67"/>
      <c r="E3" s="293"/>
    </row>
    <row r="4" spans="2:5" ht="15.75">
      <c r="B4" s="186" t="s">
        <v>723</v>
      </c>
      <c r="C4" s="625" t="s">
        <v>197</v>
      </c>
      <c r="D4" s="626" t="s">
        <v>198</v>
      </c>
      <c r="E4" s="149" t="s">
        <v>199</v>
      </c>
    </row>
    <row r="5" spans="2:5" ht="15.75">
      <c r="B5" s="471" t="str">
        <f>inputPrYr!B16</f>
        <v>General</v>
      </c>
      <c r="C5" s="441" t="str">
        <f>CONCATENATE("Actual for ",E1-2,"")</f>
        <v>Actual for 2011</v>
      </c>
      <c r="D5" s="441" t="str">
        <f>CONCATENATE("Estimate for ",E1-1,"")</f>
        <v>Estimate for 2012</v>
      </c>
      <c r="E5" s="294" t="str">
        <f>CONCATENATE("Year for ",E1,"")</f>
        <v>Year for 2013</v>
      </c>
    </row>
    <row r="6" spans="2:5" ht="15.75">
      <c r="B6" s="295" t="s">
        <v>851</v>
      </c>
      <c r="C6" s="297">
        <v>3943938</v>
      </c>
      <c r="D6" s="440">
        <f>C116</f>
        <v>3483879</v>
      </c>
      <c r="E6" s="259">
        <f>D116</f>
        <v>1882250</v>
      </c>
    </row>
    <row r="7" spans="2:5" ht="15.75">
      <c r="B7" s="284" t="s">
        <v>853</v>
      </c>
      <c r="C7" s="167"/>
      <c r="D7" s="167"/>
      <c r="E7" s="110"/>
    </row>
    <row r="8" spans="2:5" ht="15.75">
      <c r="B8" s="295" t="s">
        <v>724</v>
      </c>
      <c r="C8" s="297">
        <v>1516097</v>
      </c>
      <c r="D8" s="440">
        <f>IF(inputPrYr!H16&gt;0,inputPrYr!H16,inputPrYr!E16)</f>
        <v>1685132</v>
      </c>
      <c r="E8" s="195" t="s">
        <v>711</v>
      </c>
    </row>
    <row r="9" spans="2:5" ht="15.75">
      <c r="B9" s="295" t="s">
        <v>725</v>
      </c>
      <c r="C9" s="297">
        <v>37128</v>
      </c>
      <c r="D9" s="297"/>
      <c r="E9" s="298"/>
    </row>
    <row r="10" spans="2:5" ht="15.75">
      <c r="B10" s="295" t="s">
        <v>726</v>
      </c>
      <c r="C10" s="297">
        <v>195149</v>
      </c>
      <c r="D10" s="297">
        <v>127715</v>
      </c>
      <c r="E10" s="259">
        <f>mvalloc!E10</f>
        <v>120071</v>
      </c>
    </row>
    <row r="11" spans="2:5" ht="15.75">
      <c r="B11" s="295" t="s">
        <v>727</v>
      </c>
      <c r="C11" s="297">
        <v>3331</v>
      </c>
      <c r="D11" s="297">
        <v>2321</v>
      </c>
      <c r="E11" s="259">
        <f>mvalloc!F10</f>
        <v>1933</v>
      </c>
    </row>
    <row r="12" spans="2:5" ht="15.75">
      <c r="B12" s="167" t="s">
        <v>834</v>
      </c>
      <c r="C12" s="297">
        <v>9767</v>
      </c>
      <c r="D12" s="297">
        <v>7983</v>
      </c>
      <c r="E12" s="259">
        <f>mvalloc!G10</f>
        <v>8168</v>
      </c>
    </row>
    <row r="13" spans="2:5" ht="15.75">
      <c r="B13" s="295" t="s">
        <v>836</v>
      </c>
      <c r="C13" s="297"/>
      <c r="D13" s="297"/>
      <c r="E13" s="259">
        <f>inputOth!E10</f>
        <v>0</v>
      </c>
    </row>
    <row r="14" spans="2:5" ht="15.75">
      <c r="B14" s="295" t="s">
        <v>906</v>
      </c>
      <c r="C14" s="297"/>
      <c r="D14" s="297"/>
      <c r="E14" s="259">
        <f>inputOth!E17</f>
        <v>0</v>
      </c>
    </row>
    <row r="15" spans="2:5" ht="15.75">
      <c r="B15" s="295" t="s">
        <v>907</v>
      </c>
      <c r="C15" s="297"/>
      <c r="D15" s="297"/>
      <c r="E15" s="259">
        <f>inputOth!E18</f>
        <v>0</v>
      </c>
    </row>
    <row r="16" spans="2:5" ht="15.75">
      <c r="B16" s="297" t="s">
        <v>730</v>
      </c>
      <c r="C16" s="297">
        <v>67269</v>
      </c>
      <c r="D16" s="297">
        <v>75000</v>
      </c>
      <c r="E16" s="298">
        <v>75000</v>
      </c>
    </row>
    <row r="17" spans="2:5" ht="15.75">
      <c r="B17" s="297" t="s">
        <v>728</v>
      </c>
      <c r="C17" s="297"/>
      <c r="D17" s="297"/>
      <c r="E17" s="298"/>
    </row>
    <row r="18" spans="2:5" ht="15.75">
      <c r="B18" s="297" t="s">
        <v>12</v>
      </c>
      <c r="C18" s="297">
        <v>50593</v>
      </c>
      <c r="D18" s="297">
        <v>51000</v>
      </c>
      <c r="E18" s="298">
        <v>51000</v>
      </c>
    </row>
    <row r="19" spans="2:5" ht="15.75">
      <c r="B19" s="299" t="s">
        <v>66</v>
      </c>
      <c r="C19" s="297">
        <v>600524</v>
      </c>
      <c r="D19" s="297">
        <v>615000</v>
      </c>
      <c r="E19" s="298">
        <v>625000</v>
      </c>
    </row>
    <row r="20" spans="2:5" ht="15.75">
      <c r="B20" s="299" t="s">
        <v>9</v>
      </c>
      <c r="C20" s="297">
        <v>292749</v>
      </c>
      <c r="D20" s="297">
        <v>315000</v>
      </c>
      <c r="E20" s="298">
        <v>315000</v>
      </c>
    </row>
    <row r="21" spans="2:5" ht="15.75">
      <c r="B21" s="299" t="s">
        <v>10</v>
      </c>
      <c r="C21" s="297">
        <v>118558</v>
      </c>
      <c r="D21" s="297">
        <v>30000</v>
      </c>
      <c r="E21" s="298">
        <v>30000</v>
      </c>
    </row>
    <row r="22" spans="2:5" ht="15.75">
      <c r="B22" s="297" t="s">
        <v>11</v>
      </c>
      <c r="C22" s="297">
        <v>73357</v>
      </c>
      <c r="D22" s="297"/>
      <c r="E22" s="298"/>
    </row>
    <row r="23" spans="2:5" ht="15.75">
      <c r="B23" s="297"/>
      <c r="C23" s="297"/>
      <c r="D23" s="297"/>
      <c r="E23" s="298"/>
    </row>
    <row r="24" spans="2:5" ht="15.75">
      <c r="B24" s="297"/>
      <c r="C24" s="297"/>
      <c r="D24" s="297"/>
      <c r="E24" s="298"/>
    </row>
    <row r="25" spans="2:5" ht="15.75">
      <c r="B25" s="297"/>
      <c r="C25" s="297"/>
      <c r="D25" s="297"/>
      <c r="E25" s="298"/>
    </row>
    <row r="26" spans="2:5" ht="15.75">
      <c r="B26" s="297"/>
      <c r="C26" s="297"/>
      <c r="D26" s="297"/>
      <c r="E26" s="298"/>
    </row>
    <row r="27" spans="2:5" ht="15.75">
      <c r="B27" s="297"/>
      <c r="C27" s="297"/>
      <c r="D27" s="297"/>
      <c r="E27" s="298"/>
    </row>
    <row r="28" spans="2:5" ht="15.75">
      <c r="B28" s="297"/>
      <c r="C28" s="297"/>
      <c r="D28" s="297"/>
      <c r="E28" s="298"/>
    </row>
    <row r="29" spans="2:5" ht="15.75">
      <c r="B29" s="297"/>
      <c r="C29" s="297"/>
      <c r="D29" s="297"/>
      <c r="E29" s="298"/>
    </row>
    <row r="30" spans="2:5" ht="15.75">
      <c r="B30" s="297"/>
      <c r="C30" s="297"/>
      <c r="D30" s="297"/>
      <c r="E30" s="298"/>
    </row>
    <row r="31" spans="2:5" ht="15.75">
      <c r="B31" s="297"/>
      <c r="C31" s="297"/>
      <c r="D31" s="297"/>
      <c r="E31" s="298"/>
    </row>
    <row r="32" spans="2:5" ht="15.75">
      <c r="B32" s="297"/>
      <c r="C32" s="297"/>
      <c r="D32" s="297"/>
      <c r="E32" s="298"/>
    </row>
    <row r="33" spans="2:5" ht="15.75">
      <c r="B33" s="297"/>
      <c r="C33" s="297"/>
      <c r="D33" s="297"/>
      <c r="E33" s="298"/>
    </row>
    <row r="34" spans="2:5" ht="15.75">
      <c r="B34" s="297"/>
      <c r="C34" s="297"/>
      <c r="D34" s="297"/>
      <c r="E34" s="298"/>
    </row>
    <row r="35" spans="2:5" ht="15.75">
      <c r="B35" s="297"/>
      <c r="C35" s="297"/>
      <c r="D35" s="297"/>
      <c r="E35" s="298"/>
    </row>
    <row r="36" spans="2:5" ht="15.75">
      <c r="B36" s="297"/>
      <c r="C36" s="297"/>
      <c r="D36" s="297"/>
      <c r="E36" s="298"/>
    </row>
    <row r="37" spans="2:5" ht="15.75">
      <c r="B37" s="297"/>
      <c r="C37" s="297"/>
      <c r="D37" s="297"/>
      <c r="E37" s="298"/>
    </row>
    <row r="38" spans="2:5" ht="15.75">
      <c r="B38" s="297"/>
      <c r="C38" s="297"/>
      <c r="D38" s="297"/>
      <c r="E38" s="298"/>
    </row>
    <row r="39" spans="2:5" ht="15.75">
      <c r="B39" s="297"/>
      <c r="C39" s="297"/>
      <c r="D39" s="297"/>
      <c r="E39" s="298"/>
    </row>
    <row r="40" spans="2:5" ht="15.75">
      <c r="B40" s="297"/>
      <c r="C40" s="297"/>
      <c r="D40" s="297"/>
      <c r="E40" s="298"/>
    </row>
    <row r="41" spans="2:5" ht="15.75">
      <c r="B41" s="297"/>
      <c r="C41" s="297"/>
      <c r="D41" s="297"/>
      <c r="E41" s="298"/>
    </row>
    <row r="42" spans="2:5" ht="15.75">
      <c r="B42" s="297"/>
      <c r="C42" s="297"/>
      <c r="D42" s="297"/>
      <c r="E42" s="298"/>
    </row>
    <row r="43" spans="2:5" ht="15.75">
      <c r="B43" s="297"/>
      <c r="C43" s="297"/>
      <c r="D43" s="297"/>
      <c r="E43" s="298"/>
    </row>
    <row r="44" spans="2:5" ht="15.75">
      <c r="B44" s="297"/>
      <c r="C44" s="297"/>
      <c r="D44" s="297"/>
      <c r="E44" s="298"/>
    </row>
    <row r="45" spans="2:5" ht="15.75">
      <c r="B45" s="297"/>
      <c r="C45" s="297"/>
      <c r="D45" s="297"/>
      <c r="E45" s="298"/>
    </row>
    <row r="46" spans="2:5" ht="15.75">
      <c r="B46" s="297"/>
      <c r="C46" s="297"/>
      <c r="D46" s="297"/>
      <c r="E46" s="298"/>
    </row>
    <row r="47" spans="2:5" ht="15.75">
      <c r="B47" s="297"/>
      <c r="C47" s="297"/>
      <c r="D47" s="297"/>
      <c r="E47" s="298"/>
    </row>
    <row r="48" spans="2:5" ht="15.75">
      <c r="B48" s="297"/>
      <c r="C48" s="297"/>
      <c r="D48" s="297"/>
      <c r="E48" s="298"/>
    </row>
    <row r="49" spans="2:5" ht="15.75">
      <c r="B49" s="297"/>
      <c r="C49" s="297"/>
      <c r="D49" s="297"/>
      <c r="E49" s="298"/>
    </row>
    <row r="50" spans="2:5" ht="15.75">
      <c r="B50" s="297" t="s">
        <v>729</v>
      </c>
      <c r="C50" s="297"/>
      <c r="D50" s="297"/>
      <c r="E50" s="298"/>
    </row>
    <row r="51" spans="2:5" ht="15.75">
      <c r="B51" s="299" t="s">
        <v>731</v>
      </c>
      <c r="C51" s="297">
        <v>28741</v>
      </c>
      <c r="D51" s="297">
        <v>40000</v>
      </c>
      <c r="E51" s="298">
        <v>40000</v>
      </c>
    </row>
    <row r="52" spans="2:5" ht="15.75">
      <c r="B52" s="300" t="s">
        <v>973</v>
      </c>
      <c r="C52" s="297"/>
      <c r="D52" s="297"/>
      <c r="E52" s="298"/>
    </row>
    <row r="53" spans="2:5" ht="15.75">
      <c r="B53" s="300" t="s">
        <v>67</v>
      </c>
      <c r="C53" s="439">
        <f>IF(C54*0.1&lt;C52,"Exceed 10% Rule","")</f>
      </c>
      <c r="D53" s="439">
        <f>IF(D54*0.1&lt;D52,"Exceed 10% Rule","")</f>
      </c>
      <c r="E53" s="328">
        <f>IF(E54*0.1+E122&lt;E52,"Exceed 10% Rule","")</f>
      </c>
    </row>
    <row r="54" spans="2:5" ht="15.75">
      <c r="B54" s="302" t="s">
        <v>732</v>
      </c>
      <c r="C54" s="443">
        <f>SUM(C8:C52)</f>
        <v>2993263</v>
      </c>
      <c r="D54" s="443">
        <f>SUM(D8:D52)</f>
        <v>2949151</v>
      </c>
      <c r="E54" s="348">
        <f>SUM(E9:E52)</f>
        <v>1266172</v>
      </c>
    </row>
    <row r="55" spans="2:5" ht="15.75">
      <c r="B55" s="302" t="s">
        <v>733</v>
      </c>
      <c r="C55" s="443">
        <f>C6+C54</f>
        <v>6937201</v>
      </c>
      <c r="D55" s="443">
        <f>D6+D54</f>
        <v>6433030</v>
      </c>
      <c r="E55" s="348">
        <f>E6+E54</f>
        <v>3148422</v>
      </c>
    </row>
    <row r="56" spans="2:5" ht="15.75">
      <c r="B56" s="67"/>
      <c r="C56" s="200"/>
      <c r="D56" s="200"/>
      <c r="E56" s="200"/>
    </row>
    <row r="57" spans="2:5" ht="15.75">
      <c r="B57" s="750" t="s">
        <v>876</v>
      </c>
      <c r="C57" s="750"/>
      <c r="D57" s="750"/>
      <c r="E57" s="750"/>
    </row>
    <row r="58" spans="2:5" ht="15.75">
      <c r="B58" s="200" t="str">
        <f>inputPrYr!C3</f>
        <v>Russell County</v>
      </c>
      <c r="C58" s="200"/>
      <c r="D58" s="200"/>
      <c r="E58" s="280">
        <f>E1</f>
        <v>2013</v>
      </c>
    </row>
    <row r="59" spans="2:5" ht="15.75">
      <c r="B59" s="67"/>
      <c r="C59" s="200"/>
      <c r="D59" s="200"/>
      <c r="E59" s="107"/>
    </row>
    <row r="60" spans="2:5" ht="15.75">
      <c r="B60" s="304" t="s">
        <v>807</v>
      </c>
      <c r="C60" s="305"/>
      <c r="D60" s="305"/>
      <c r="E60" s="305"/>
    </row>
    <row r="61" spans="2:5" ht="15.75">
      <c r="B61" s="67" t="s">
        <v>723</v>
      </c>
      <c r="C61" s="508" t="str">
        <f aca="true" t="shared" si="0" ref="C61:E62">C4</f>
        <v>Prior Year </v>
      </c>
      <c r="D61" s="509" t="str">
        <f t="shared" si="0"/>
        <v>Current Year </v>
      </c>
      <c r="E61" s="507" t="str">
        <f t="shared" si="0"/>
        <v>Proposed Budget </v>
      </c>
    </row>
    <row r="62" spans="2:5" ht="15.75">
      <c r="B62" s="96" t="s">
        <v>735</v>
      </c>
      <c r="C62" s="441" t="str">
        <f t="shared" si="0"/>
        <v>Actual for 2011</v>
      </c>
      <c r="D62" s="441" t="str">
        <f t="shared" si="0"/>
        <v>Estimate for 2012</v>
      </c>
      <c r="E62" s="306" t="str">
        <f t="shared" si="0"/>
        <v>Year for 2013</v>
      </c>
    </row>
    <row r="63" spans="2:5" ht="15.75">
      <c r="B63" s="302" t="s">
        <v>733</v>
      </c>
      <c r="C63" s="440">
        <f>C55</f>
        <v>6937201</v>
      </c>
      <c r="D63" s="440">
        <f>D55</f>
        <v>6433030</v>
      </c>
      <c r="E63" s="259">
        <f>E55</f>
        <v>3148422</v>
      </c>
    </row>
    <row r="64" spans="2:5" ht="15.75">
      <c r="B64" s="295" t="s">
        <v>736</v>
      </c>
      <c r="C64" s="167"/>
      <c r="D64" s="167"/>
      <c r="E64" s="110"/>
    </row>
    <row r="65" spans="2:5" ht="15.75">
      <c r="B65" s="167" t="str">
        <f>'gen-detail'!B7</f>
        <v>County Commissioners</v>
      </c>
      <c r="C65" s="440">
        <f>'gen-detail'!C13</f>
        <v>50510</v>
      </c>
      <c r="D65" s="440">
        <f>'gen-detail'!D13</f>
        <v>55000</v>
      </c>
      <c r="E65" s="259">
        <f>'gen-detail'!E13</f>
        <v>55000</v>
      </c>
    </row>
    <row r="66" spans="2:5" ht="15.75">
      <c r="B66" s="167" t="str">
        <f>'gen-detail'!B14</f>
        <v>County Clerk</v>
      </c>
      <c r="C66" s="440">
        <f>'gen-detail'!C19</f>
        <v>102336</v>
      </c>
      <c r="D66" s="440">
        <f>'gen-detail'!D19</f>
        <v>160000</v>
      </c>
      <c r="E66" s="259">
        <f>'gen-detail'!E19</f>
        <v>160000</v>
      </c>
    </row>
    <row r="67" spans="2:5" ht="15.75">
      <c r="B67" s="167" t="str">
        <f>'gen-detail'!B20</f>
        <v>County Treasurer</v>
      </c>
      <c r="C67" s="440">
        <f>'gen-detail'!C25</f>
        <v>124816</v>
      </c>
      <c r="D67" s="440">
        <f>'gen-detail'!D25</f>
        <v>130000</v>
      </c>
      <c r="E67" s="259">
        <f>'gen-detail'!E25</f>
        <v>134000</v>
      </c>
    </row>
    <row r="68" spans="2:5" ht="15.75">
      <c r="B68" s="167" t="str">
        <f>'gen-detail'!B26</f>
        <v>County Attorney/Counselor</v>
      </c>
      <c r="C68" s="440">
        <f>'gen-detail'!C31</f>
        <v>95047</v>
      </c>
      <c r="D68" s="440">
        <f>'gen-detail'!D31</f>
        <v>162000</v>
      </c>
      <c r="E68" s="259">
        <f>'gen-detail'!E31</f>
        <v>165000</v>
      </c>
    </row>
    <row r="69" spans="2:5" ht="15.75">
      <c r="B69" s="167" t="str">
        <f>'gen-detail'!B32</f>
        <v>Register of Deeds</v>
      </c>
      <c r="C69" s="440">
        <f>'gen-detail'!C37</f>
        <v>66955</v>
      </c>
      <c r="D69" s="440">
        <f>'gen-detail'!D37</f>
        <v>65880</v>
      </c>
      <c r="E69" s="259">
        <f>'gen-detail'!E37</f>
        <v>66810</v>
      </c>
    </row>
    <row r="70" spans="2:5" ht="15.75">
      <c r="B70" s="167" t="str">
        <f>'gen-detail'!B38</f>
        <v>Sheriff,  Jail and Lake Patrol</v>
      </c>
      <c r="C70" s="440">
        <f>'gen-detail'!C43</f>
        <v>976579</v>
      </c>
      <c r="D70" s="440">
        <f>'gen-detail'!D43</f>
        <v>1025000</v>
      </c>
      <c r="E70" s="259">
        <f>'gen-detail'!E43</f>
        <v>1025000</v>
      </c>
    </row>
    <row r="71" spans="2:5" ht="15.75">
      <c r="B71" s="167" t="str">
        <f>'gen-detail'!B44</f>
        <v>Unified Court</v>
      </c>
      <c r="C71" s="440">
        <f>'gen-detail'!C49</f>
        <v>64963</v>
      </c>
      <c r="D71" s="440">
        <f>'gen-detail'!D49</f>
        <v>86900</v>
      </c>
      <c r="E71" s="259">
        <f>'gen-detail'!E49</f>
        <v>86900</v>
      </c>
    </row>
    <row r="72" spans="2:5" ht="15.75">
      <c r="B72" s="167" t="str">
        <f>'gen-detail'!B50</f>
        <v>Courthouse/Public Service</v>
      </c>
      <c r="C72" s="440">
        <f>'gen-detail'!C55</f>
        <v>577944</v>
      </c>
      <c r="D72" s="440">
        <f>'gen-detail'!D55</f>
        <v>1007000</v>
      </c>
      <c r="E72" s="259">
        <f>'gen-detail'!E55</f>
        <v>1015500</v>
      </c>
    </row>
    <row r="73" spans="2:5" ht="15.75">
      <c r="B73" s="167" t="str">
        <f>'gen-detail'!B67</f>
        <v>Soil Conservation</v>
      </c>
      <c r="C73" s="440">
        <f>'gen-detail'!C72</f>
        <v>25000</v>
      </c>
      <c r="D73" s="440">
        <f>'gen-detail'!D72</f>
        <v>25000</v>
      </c>
      <c r="E73" s="259">
        <f>'gen-detail'!E72</f>
        <v>25000</v>
      </c>
    </row>
    <row r="74" spans="2:5" ht="15.75">
      <c r="B74" s="167" t="str">
        <f>'gen-detail'!B73</f>
        <v>GIS Mapping</v>
      </c>
      <c r="C74" s="440">
        <f>'gen-detail'!C78</f>
        <v>82430</v>
      </c>
      <c r="D74" s="440">
        <f>'gen-detail'!D78</f>
        <v>140000</v>
      </c>
      <c r="E74" s="259">
        <f>'gen-detail'!E78</f>
        <v>170500</v>
      </c>
    </row>
    <row r="75" spans="2:5" ht="15.75">
      <c r="B75" s="167" t="str">
        <f>'gen-detail'!B79</f>
        <v>Other Officers</v>
      </c>
      <c r="C75" s="440">
        <f>'gen-detail'!C84</f>
        <v>65945</v>
      </c>
      <c r="D75" s="440">
        <f>'gen-detail'!D84</f>
        <v>84000</v>
      </c>
      <c r="E75" s="259">
        <f>'gen-detail'!E84</f>
        <v>102500</v>
      </c>
    </row>
    <row r="76" spans="2:5" ht="15.75">
      <c r="B76" s="167" t="str">
        <f>'gen-detail'!B85</f>
        <v>911 Contractual Service</v>
      </c>
      <c r="C76" s="440">
        <f>'gen-detail'!C90</f>
        <v>263444</v>
      </c>
      <c r="D76" s="440">
        <f>'gen-detail'!D90</f>
        <v>370000</v>
      </c>
      <c r="E76" s="259">
        <f>'gen-detail'!E90</f>
        <v>378000</v>
      </c>
    </row>
    <row r="77" spans="2:5" ht="15.75">
      <c r="B77" s="167" t="str">
        <f>'gen-detail'!B91</f>
        <v>Capital Improvements</v>
      </c>
      <c r="C77" s="440">
        <f>'gen-detail'!C96</f>
        <v>880000</v>
      </c>
      <c r="D77" s="440">
        <f>'gen-detail'!D96</f>
        <v>440000</v>
      </c>
      <c r="E77" s="259">
        <f>'gen-detail'!E96</f>
        <v>440000</v>
      </c>
    </row>
    <row r="78" spans="2:5" ht="15.75">
      <c r="B78" s="167" t="str">
        <f>'gen-detail'!B97</f>
        <v>Road Improvements</v>
      </c>
      <c r="C78" s="440">
        <f>'gen-detail'!C102</f>
        <v>0</v>
      </c>
      <c r="D78" s="440">
        <f>'gen-detail'!D102</f>
        <v>800000</v>
      </c>
      <c r="E78" s="259">
        <f>'gen-detail'!E102</f>
        <v>1650000</v>
      </c>
    </row>
    <row r="79" spans="2:5" ht="15.75">
      <c r="B79" s="167">
        <f>'gen-detail'!B103</f>
        <v>0</v>
      </c>
      <c r="C79" s="440">
        <f>'gen-detail'!C108</f>
        <v>77353</v>
      </c>
      <c r="D79" s="440">
        <f>'gen-detail'!D108</f>
        <v>0</v>
      </c>
      <c r="E79" s="259">
        <f>'gen-detail'!E108</f>
        <v>0</v>
      </c>
    </row>
    <row r="80" spans="2:5" ht="15.75">
      <c r="B80" s="167">
        <f>'gen-detail'!B109</f>
        <v>0</v>
      </c>
      <c r="C80" s="440">
        <f>'gen-detail'!C114</f>
        <v>0</v>
      </c>
      <c r="D80" s="440">
        <f>'gen-detail'!D114</f>
        <v>0</v>
      </c>
      <c r="E80" s="259">
        <f>'gen-detail'!E114</f>
        <v>0</v>
      </c>
    </row>
    <row r="81" spans="2:5" ht="15.75">
      <c r="B81" s="167">
        <f>'gen-detail'!B125</f>
        <v>0</v>
      </c>
      <c r="C81" s="440">
        <f>'gen-detail'!C132</f>
        <v>0</v>
      </c>
      <c r="D81" s="440">
        <f>'gen-detail'!D132</f>
        <v>0</v>
      </c>
      <c r="E81" s="259">
        <f>'gen-detail'!E132</f>
        <v>0</v>
      </c>
    </row>
    <row r="82" spans="2:5" ht="15.75">
      <c r="B82" s="167">
        <f>'gen-detail'!B133</f>
        <v>0</v>
      </c>
      <c r="C82" s="440">
        <f>'gen-detail'!C138</f>
        <v>0</v>
      </c>
      <c r="D82" s="440">
        <f>'gen-detail'!D138</f>
        <v>0</v>
      </c>
      <c r="E82" s="259">
        <f>'gen-detail'!E138</f>
        <v>0</v>
      </c>
    </row>
    <row r="83" spans="2:5" ht="15.75">
      <c r="B83" s="167">
        <f>'gen-detail'!B139</f>
        <v>0</v>
      </c>
      <c r="C83" s="440">
        <f>'gen-detail'!C144</f>
        <v>0</v>
      </c>
      <c r="D83" s="440">
        <f>'gen-detail'!D144</f>
        <v>0</v>
      </c>
      <c r="E83" s="259">
        <f>'gen-detail'!E144</f>
        <v>0</v>
      </c>
    </row>
    <row r="84" spans="2:5" ht="15.75">
      <c r="B84" s="167">
        <f>'gen-detail'!B145</f>
        <v>0</v>
      </c>
      <c r="C84" s="440">
        <f>'gen-detail'!C150</f>
        <v>0</v>
      </c>
      <c r="D84" s="440">
        <f>'gen-detail'!D150</f>
        <v>0</v>
      </c>
      <c r="E84" s="259">
        <f>'gen-detail'!E150</f>
        <v>0</v>
      </c>
    </row>
    <row r="85" spans="2:5" ht="15.75">
      <c r="B85" s="167">
        <f>'gen-detail'!B151</f>
        <v>0</v>
      </c>
      <c r="C85" s="440">
        <f>'gen-detail'!C156</f>
        <v>0</v>
      </c>
      <c r="D85" s="440">
        <f>'gen-detail'!D156</f>
        <v>0</v>
      </c>
      <c r="E85" s="259">
        <f>'gen-detail'!E156</f>
        <v>0</v>
      </c>
    </row>
    <row r="86" spans="2:5" ht="15.75">
      <c r="B86" s="167">
        <f>'gen-detail'!B157</f>
        <v>0</v>
      </c>
      <c r="C86" s="440">
        <f>'gen-detail'!C162</f>
        <v>0</v>
      </c>
      <c r="D86" s="440">
        <f>'gen-detail'!D162</f>
        <v>0</v>
      </c>
      <c r="E86" s="259">
        <f>'gen-detail'!E162</f>
        <v>0</v>
      </c>
    </row>
    <row r="87" spans="2:5" ht="15.75">
      <c r="B87" s="167">
        <f>'gen-detail'!B163</f>
        <v>0</v>
      </c>
      <c r="C87" s="440">
        <f>'gen-detail'!C168</f>
        <v>0</v>
      </c>
      <c r="D87" s="440">
        <f>'gen-detail'!D168</f>
        <v>0</v>
      </c>
      <c r="E87" s="259">
        <f>'gen-detail'!E168</f>
        <v>0</v>
      </c>
    </row>
    <row r="88" spans="2:5" ht="15.75">
      <c r="B88" s="167">
        <f>'gen-detail'!B169</f>
        <v>0</v>
      </c>
      <c r="C88" s="440">
        <f>'gen-detail'!C174</f>
        <v>0</v>
      </c>
      <c r="D88" s="440">
        <f>'gen-detail'!D174</f>
        <v>0</v>
      </c>
      <c r="E88" s="259">
        <f>'gen-detail'!E174</f>
        <v>0</v>
      </c>
    </row>
    <row r="89" spans="2:5" ht="15.75">
      <c r="B89" s="167">
        <f>'gen-detail'!B185</f>
        <v>0</v>
      </c>
      <c r="C89" s="440">
        <f>'gen-detail'!C190</f>
        <v>0</v>
      </c>
      <c r="D89" s="440">
        <f>'gen-detail'!D190</f>
        <v>0</v>
      </c>
      <c r="E89" s="259">
        <f>'gen-detail'!E190</f>
        <v>0</v>
      </c>
    </row>
    <row r="90" spans="2:5" ht="15.75">
      <c r="B90" s="167">
        <f>'gen-detail'!B191</f>
        <v>0</v>
      </c>
      <c r="C90" s="440">
        <f>'gen-detail'!C196</f>
        <v>0</v>
      </c>
      <c r="D90" s="440">
        <f>'gen-detail'!D196</f>
        <v>0</v>
      </c>
      <c r="E90" s="259">
        <f>'gen-detail'!E196</f>
        <v>0</v>
      </c>
    </row>
    <row r="91" spans="2:5" ht="15.75">
      <c r="B91" s="167">
        <f>'gen-detail'!B197</f>
        <v>0</v>
      </c>
      <c r="C91" s="440">
        <f>'gen-detail'!C202</f>
        <v>0</v>
      </c>
      <c r="D91" s="440">
        <f>'gen-detail'!D202</f>
        <v>0</v>
      </c>
      <c r="E91" s="259">
        <f>'gen-detail'!E202</f>
        <v>0</v>
      </c>
    </row>
    <row r="92" spans="2:5" ht="15.75">
      <c r="B92" s="167">
        <f>'gen-detail'!B203</f>
        <v>0</v>
      </c>
      <c r="C92" s="440">
        <f>'gen-detail'!C208</f>
        <v>0</v>
      </c>
      <c r="D92" s="440">
        <f>'gen-detail'!D208</f>
        <v>0</v>
      </c>
      <c r="E92" s="259">
        <f>'gen-detail'!E208</f>
        <v>0</v>
      </c>
    </row>
    <row r="93" spans="2:5" ht="15.75">
      <c r="B93" s="167">
        <f>'gen-detail'!B209</f>
        <v>0</v>
      </c>
      <c r="C93" s="440">
        <f>'gen-detail'!C214</f>
        <v>0</v>
      </c>
      <c r="D93" s="440">
        <f>'gen-detail'!D214</f>
        <v>0</v>
      </c>
      <c r="E93" s="259">
        <f>'gen-detail'!E214</f>
        <v>0</v>
      </c>
    </row>
    <row r="94" spans="2:5" ht="15.75">
      <c r="B94" s="167">
        <f>'gen-detail'!B215</f>
        <v>0</v>
      </c>
      <c r="C94" s="440">
        <f>'gen-detail'!C220</f>
        <v>0</v>
      </c>
      <c r="D94" s="440">
        <f>'gen-detail'!D220</f>
        <v>0</v>
      </c>
      <c r="E94" s="259">
        <f>'gen-detail'!E220</f>
        <v>0</v>
      </c>
    </row>
    <row r="95" spans="2:5" ht="15.75">
      <c r="B95" s="167">
        <f>'gen-detail'!B221</f>
        <v>0</v>
      </c>
      <c r="C95" s="440">
        <f>'gen-detail'!C222</f>
        <v>0</v>
      </c>
      <c r="D95" s="440">
        <f>'gen-detail'!D222</f>
        <v>0</v>
      </c>
      <c r="E95" s="259">
        <f>'gen-detail'!E222</f>
        <v>0</v>
      </c>
    </row>
    <row r="96" spans="2:5" ht="15.75">
      <c r="B96" s="167">
        <f>'gen-detail'!B227</f>
        <v>0</v>
      </c>
      <c r="C96" s="440">
        <f>'gen-detail'!C232</f>
        <v>0</v>
      </c>
      <c r="D96" s="440">
        <f>'gen-detail'!D232</f>
        <v>0</v>
      </c>
      <c r="E96" s="259">
        <f>'gen-detail'!E232</f>
        <v>0</v>
      </c>
    </row>
    <row r="97" spans="2:5" ht="15.75">
      <c r="B97" s="167">
        <f>'gen-detail'!B233</f>
        <v>0</v>
      </c>
      <c r="C97" s="440">
        <f>'gen-detail'!C238</f>
        <v>0</v>
      </c>
      <c r="D97" s="440">
        <f>'gen-detail'!D238</f>
        <v>0</v>
      </c>
      <c r="E97" s="259">
        <f>'gen-detail'!E238</f>
        <v>0</v>
      </c>
    </row>
    <row r="98" spans="2:5" ht="15.75">
      <c r="B98" s="167">
        <f>'gen-detail'!B249</f>
        <v>0</v>
      </c>
      <c r="C98" s="440">
        <f>'gen-detail'!C254</f>
        <v>0</v>
      </c>
      <c r="D98" s="440">
        <f>'gen-detail'!D254</f>
        <v>0</v>
      </c>
      <c r="E98" s="259">
        <f>'gen-detail'!E254</f>
        <v>0</v>
      </c>
    </row>
    <row r="99" spans="2:5" ht="15.75">
      <c r="B99" s="167">
        <f>'gen-detail'!B255</f>
        <v>0</v>
      </c>
      <c r="C99" s="440">
        <f>'gen-detail'!C260</f>
        <v>0</v>
      </c>
      <c r="D99" s="440">
        <f>'gen-detail'!D260</f>
        <v>0</v>
      </c>
      <c r="E99" s="259">
        <f>'gen-detail'!E260</f>
        <v>0</v>
      </c>
    </row>
    <row r="100" spans="2:5" ht="15.75">
      <c r="B100" s="167">
        <f>'gen-detail'!B261</f>
        <v>0</v>
      </c>
      <c r="C100" s="440">
        <f>'gen-detail'!C266</f>
        <v>0</v>
      </c>
      <c r="D100" s="440">
        <f>'gen-detail'!D266</f>
        <v>0</v>
      </c>
      <c r="E100" s="259">
        <f>'gen-detail'!E266</f>
        <v>0</v>
      </c>
    </row>
    <row r="101" spans="2:5" ht="15.75">
      <c r="B101" s="167">
        <f>'gen-detail'!B267</f>
        <v>0</v>
      </c>
      <c r="C101" s="440">
        <f>'gen-detail'!C272</f>
        <v>0</v>
      </c>
      <c r="D101" s="440">
        <f>'gen-detail'!D272</f>
        <v>0</v>
      </c>
      <c r="E101" s="259">
        <f>'gen-detail'!E272</f>
        <v>0</v>
      </c>
    </row>
    <row r="102" spans="2:5" ht="15.75">
      <c r="B102" s="167">
        <f>'gen-detail'!B273</f>
        <v>0</v>
      </c>
      <c r="C102" s="440">
        <f>'gen-detail'!C276</f>
        <v>0</v>
      </c>
      <c r="D102" s="440">
        <f>'gen-detail'!D276</f>
        <v>0</v>
      </c>
      <c r="E102" s="259">
        <f>'gen-detail'!E276</f>
        <v>0</v>
      </c>
    </row>
    <row r="103" spans="2:5" ht="15.75">
      <c r="B103" s="167">
        <f>'gen-detail'!B277</f>
        <v>0</v>
      </c>
      <c r="C103" s="440">
        <f>'gen-detail'!C282</f>
        <v>0</v>
      </c>
      <c r="D103" s="440">
        <f>'gen-detail'!D282</f>
        <v>0</v>
      </c>
      <c r="E103" s="259">
        <f>'gen-detail'!E282</f>
        <v>0</v>
      </c>
    </row>
    <row r="104" spans="2:5" ht="15.75">
      <c r="B104" s="167">
        <f>'gen-detail'!B283</f>
        <v>0</v>
      </c>
      <c r="C104" s="440">
        <f>'gen-detail'!C288</f>
        <v>0</v>
      </c>
      <c r="D104" s="440">
        <f>'gen-detail'!D288</f>
        <v>0</v>
      </c>
      <c r="E104" s="259">
        <f>'gen-detail'!E288</f>
        <v>0</v>
      </c>
    </row>
    <row r="105" spans="2:5" ht="15.75">
      <c r="B105" s="307" t="s">
        <v>933</v>
      </c>
      <c r="C105" s="451">
        <f>SUM(C65:C104)</f>
        <v>3453322</v>
      </c>
      <c r="D105" s="451">
        <f>SUM(D65:D104)</f>
        <v>4550780</v>
      </c>
      <c r="E105" s="333">
        <f>SUM(E65:E104)</f>
        <v>5474210</v>
      </c>
    </row>
    <row r="106" spans="2:5" ht="15.75">
      <c r="B106" s="309"/>
      <c r="C106" s="297"/>
      <c r="D106" s="297"/>
      <c r="E106" s="310"/>
    </row>
    <row r="107" spans="2:10" ht="15.75">
      <c r="B107" s="311"/>
      <c r="C107" s="297"/>
      <c r="D107" s="297"/>
      <c r="E107" s="298"/>
      <c r="G107" s="760" t="str">
        <f>CONCATENATE("Desired Carryover Into ",E1+1,"")</f>
        <v>Desired Carryover Into 2014</v>
      </c>
      <c r="H107" s="761"/>
      <c r="I107" s="761"/>
      <c r="J107" s="762"/>
    </row>
    <row r="108" spans="2:10" ht="15.75">
      <c r="B108" s="311"/>
      <c r="C108" s="297"/>
      <c r="D108" s="297"/>
      <c r="E108" s="298"/>
      <c r="G108" s="629"/>
      <c r="H108" s="630"/>
      <c r="I108" s="631"/>
      <c r="J108" s="632"/>
    </row>
    <row r="109" spans="2:10" ht="15.75">
      <c r="B109" s="311"/>
      <c r="C109" s="297"/>
      <c r="D109" s="297"/>
      <c r="E109" s="298"/>
      <c r="G109" s="633" t="s">
        <v>77</v>
      </c>
      <c r="H109" s="631"/>
      <c r="I109" s="631"/>
      <c r="J109" s="634">
        <v>0</v>
      </c>
    </row>
    <row r="110" spans="2:10" ht="15.75">
      <c r="B110" s="311"/>
      <c r="C110" s="297"/>
      <c r="D110" s="297"/>
      <c r="E110" s="298"/>
      <c r="G110" s="629" t="s">
        <v>78</v>
      </c>
      <c r="H110" s="630"/>
      <c r="I110" s="630"/>
      <c r="J110" s="635">
        <f>IF(J109=0,"",ROUND((J109+E122-G122)/inputOth!E5*1000,3)-G127)</f>
      </c>
    </row>
    <row r="111" spans="2:10" ht="15.75">
      <c r="B111" s="311"/>
      <c r="C111" s="297"/>
      <c r="D111" s="297"/>
      <c r="E111" s="298"/>
      <c r="G111" s="636" t="str">
        <f>CONCATENATE("",E1," Tot Exp/Non-Appr Must Be:")</f>
        <v>2013 Tot Exp/Non-Appr Must Be:</v>
      </c>
      <c r="H111" s="637"/>
      <c r="I111" s="638"/>
      <c r="J111" s="639">
        <f>IF(J109&gt;0,IF(E119&lt;E55,IF(J109=G122,E119,((J109-G122)*(1-D121))+E55),E119+(J109-G122)),0)</f>
        <v>0</v>
      </c>
    </row>
    <row r="112" spans="2:10" ht="15.75">
      <c r="B112" s="300" t="s">
        <v>972</v>
      </c>
      <c r="C112" s="297"/>
      <c r="D112" s="297"/>
      <c r="E112" s="312">
        <f>Nhood!E6</f>
      </c>
      <c r="G112" s="640" t="s">
        <v>200</v>
      </c>
      <c r="H112" s="641"/>
      <c r="I112" s="641"/>
      <c r="J112" s="642">
        <f>IF(J109&gt;0,J111-E119,0)</f>
        <v>0</v>
      </c>
    </row>
    <row r="113" spans="2:5" ht="15.75">
      <c r="B113" s="300" t="s">
        <v>973</v>
      </c>
      <c r="C113" s="469"/>
      <c r="D113" s="469"/>
      <c r="E113" s="94"/>
    </row>
    <row r="114" spans="2:10" ht="15.75">
      <c r="B114" s="300" t="s">
        <v>68</v>
      </c>
      <c r="C114" s="439">
        <f>IF(C115*0.1&lt;C113,"Exceed 10% Rule","")</f>
      </c>
      <c r="D114" s="439">
        <f>IF(D115*0.1&lt;D113,"Exceed 10% Rule","")</f>
      </c>
      <c r="E114" s="328">
        <f>IF(E115*0.1&lt;E113,"Exceed 10% Rule","")</f>
      </c>
      <c r="G114" s="747" t="str">
        <f>CONCATENATE("Projected Carryover Into ",E1+1,"")</f>
        <v>Projected Carryover Into 2014</v>
      </c>
      <c r="H114" s="748"/>
      <c r="I114" s="748"/>
      <c r="J114" s="749"/>
    </row>
    <row r="115" spans="2:10" ht="15.75">
      <c r="B115" s="302" t="s">
        <v>737</v>
      </c>
      <c r="C115" s="443">
        <f>SUM(C105:C113)</f>
        <v>3453322</v>
      </c>
      <c r="D115" s="443">
        <f>SUM(D105:D113)</f>
        <v>4550780</v>
      </c>
      <c r="E115" s="348">
        <f>SUM(E105:E113)</f>
        <v>5474210</v>
      </c>
      <c r="G115" s="485"/>
      <c r="H115" s="484"/>
      <c r="I115" s="484"/>
      <c r="J115" s="486"/>
    </row>
    <row r="116" spans="2:10" ht="15.75">
      <c r="B116" s="153" t="s">
        <v>852</v>
      </c>
      <c r="C116" s="438">
        <f>C55-C115</f>
        <v>3483879</v>
      </c>
      <c r="D116" s="438">
        <f>D55-D115</f>
        <v>1882250</v>
      </c>
      <c r="E116" s="195" t="s">
        <v>711</v>
      </c>
      <c r="G116" s="487">
        <f>D116</f>
        <v>1882250</v>
      </c>
      <c r="H116" s="488" t="str">
        <f>CONCATENATE("",E1-1," Ending Cash Balance (est.)")</f>
        <v>2012 Ending Cash Balance (est.)</v>
      </c>
      <c r="I116" s="489"/>
      <c r="J116" s="486"/>
    </row>
    <row r="117" spans="2:10" ht="15.75">
      <c r="B117" s="281" t="str">
        <f>CONCATENATE("",$E$1-2,"/",$E$1-1," Budget Authority Amount:")</f>
        <v>2011/2012 Budget Authority Amount:</v>
      </c>
      <c r="C117" s="273">
        <f>inputOth!B29</f>
        <v>5219846</v>
      </c>
      <c r="D117" s="313">
        <f>inputPrYr!D16</f>
        <v>5400780</v>
      </c>
      <c r="E117" s="195" t="s">
        <v>711</v>
      </c>
      <c r="F117" s="314"/>
      <c r="G117" s="487">
        <f>E54</f>
        <v>1266172</v>
      </c>
      <c r="H117" s="490" t="str">
        <f>CONCATENATE("",E1," Non-AV Receipts (est.)")</f>
        <v>2013 Non-AV Receipts (est.)</v>
      </c>
      <c r="I117" s="489"/>
      <c r="J117" s="486"/>
    </row>
    <row r="118" spans="2:11" ht="15.75">
      <c r="B118" s="281"/>
      <c r="C118" s="753" t="s">
        <v>69</v>
      </c>
      <c r="D118" s="754"/>
      <c r="E118" s="94"/>
      <c r="F118" s="482">
        <f>IF(E115/0.95-E115&lt;E118,"Exceeds 5%","")</f>
      </c>
      <c r="G118" s="491">
        <f>IF(E121&gt;0,E120,E122)</f>
        <v>2325788</v>
      </c>
      <c r="H118" s="490" t="str">
        <f>CONCATENATE("",E1," Ad Valorem Tax (est.)")</f>
        <v>2013 Ad Valorem Tax (est.)</v>
      </c>
      <c r="I118" s="489"/>
      <c r="J118" s="486"/>
      <c r="K118" s="684">
        <f>IF(G118=E122,"","Note: Does not include Delinquent Taxes")</f>
      </c>
    </row>
    <row r="119" spans="2:10" ht="15.75">
      <c r="B119" s="476" t="str">
        <f>CONCATENATE(C133,"     ",D133)</f>
        <v>     </v>
      </c>
      <c r="C119" s="755" t="s">
        <v>70</v>
      </c>
      <c r="D119" s="756"/>
      <c r="E119" s="259">
        <f>E115+E118</f>
        <v>5474210</v>
      </c>
      <c r="G119" s="487">
        <f>SUM(G116:G118)</f>
        <v>5474210</v>
      </c>
      <c r="H119" s="490" t="str">
        <f>CONCATENATE("Total ",E1," Resources Available")</f>
        <v>Total 2013 Resources Available</v>
      </c>
      <c r="I119" s="489"/>
      <c r="J119" s="486"/>
    </row>
    <row r="120" spans="2:10" ht="15.75">
      <c r="B120" s="476" t="str">
        <f>CONCATENATE(C134,"     ",D134)</f>
        <v>     </v>
      </c>
      <c r="C120" s="315"/>
      <c r="D120" s="107" t="s">
        <v>738</v>
      </c>
      <c r="E120" s="98">
        <f>IF(E119-E55&gt;0,E119-E55,0)</f>
        <v>2325788</v>
      </c>
      <c r="G120" s="492"/>
      <c r="H120" s="490"/>
      <c r="I120" s="490"/>
      <c r="J120" s="486"/>
    </row>
    <row r="121" spans="2:10" ht="15.75">
      <c r="B121" s="316"/>
      <c r="C121" s="458" t="s">
        <v>71</v>
      </c>
      <c r="D121" s="687">
        <f>inputOth!$E$22</f>
        <v>0</v>
      </c>
      <c r="E121" s="259">
        <f>IF(D121&gt;0,(E120*D121),0)</f>
        <v>0</v>
      </c>
      <c r="G121" s="491">
        <f>C115*0.05+C115</f>
        <v>3625988.1</v>
      </c>
      <c r="H121" s="490" t="str">
        <f>CONCATENATE("Less ",E1-2," Expenditures + 5%")</f>
        <v>Less 2011 Expenditures + 5%</v>
      </c>
      <c r="I121" s="489"/>
      <c r="J121" s="486"/>
    </row>
    <row r="122" spans="2:10" ht="15.75">
      <c r="B122" s="67"/>
      <c r="C122" s="751" t="str">
        <f>CONCATENATE("Amount of  ",$E$1-1," Ad Valorem Tax")</f>
        <v>Amount of  2012 Ad Valorem Tax</v>
      </c>
      <c r="D122" s="752"/>
      <c r="E122" s="333">
        <f>E120+E121</f>
        <v>2325788</v>
      </c>
      <c r="G122" s="496">
        <f>G119-G121</f>
        <v>1848221.9</v>
      </c>
      <c r="H122" s="493" t="str">
        <f>CONCATENATE("Projected ",E1," Carryover (est.)")</f>
        <v>Projected 2013 Carryover (est.)</v>
      </c>
      <c r="I122" s="494"/>
      <c r="J122" s="495"/>
    </row>
    <row r="123" spans="2:10" ht="15.75">
      <c r="B123" s="67"/>
      <c r="C123" s="67"/>
      <c r="D123" s="67"/>
      <c r="E123" s="67"/>
      <c r="G123" s="483"/>
      <c r="H123" s="483"/>
      <c r="I123" s="483"/>
      <c r="J123" s="483"/>
    </row>
    <row r="124" spans="2:10" ht="15.75">
      <c r="B124" s="750" t="s">
        <v>877</v>
      </c>
      <c r="C124" s="750"/>
      <c r="D124" s="750"/>
      <c r="E124" s="750"/>
      <c r="G124" s="757" t="s">
        <v>201</v>
      </c>
      <c r="H124" s="758"/>
      <c r="I124" s="758"/>
      <c r="J124" s="759"/>
    </row>
    <row r="125" spans="7:10" ht="15.75">
      <c r="G125" s="654"/>
      <c r="H125" s="646"/>
      <c r="I125" s="655"/>
      <c r="J125" s="656"/>
    </row>
    <row r="126" spans="7:10" ht="15.75">
      <c r="G126" s="657">
        <f>summ!H16</f>
        <v>20.739</v>
      </c>
      <c r="H126" s="646" t="str">
        <f>CONCATENATE("",E1," Fund Mill Rate")</f>
        <v>2013 Fund Mill Rate</v>
      </c>
      <c r="I126" s="655"/>
      <c r="J126" s="656"/>
    </row>
    <row r="127" spans="7:10" ht="15.75">
      <c r="G127" s="658">
        <f>summ!E16</f>
        <v>15.64</v>
      </c>
      <c r="H127" s="646" t="str">
        <f>CONCATENATE("",E1-1," Fund Mill Rate")</f>
        <v>2012 Fund Mill Rate</v>
      </c>
      <c r="I127" s="655"/>
      <c r="J127" s="656"/>
    </row>
    <row r="128" spans="7:10" ht="15.75">
      <c r="G128" s="659">
        <f>summ!H52</f>
        <v>73.908</v>
      </c>
      <c r="H128" s="646" t="str">
        <f>CONCATENATE("Total ",E1," Mill Rate")</f>
        <v>Total 2013 Mill Rate</v>
      </c>
      <c r="I128" s="655"/>
      <c r="J128" s="656"/>
    </row>
    <row r="129" spans="7:10" ht="15.75">
      <c r="G129" s="658">
        <f>summ!E52</f>
        <v>77.497</v>
      </c>
      <c r="H129" s="660" t="str">
        <f>CONCATENATE("Total ",E1-1," Mill Rate")</f>
        <v>Total 2012 Mill Rate</v>
      </c>
      <c r="I129" s="661"/>
      <c r="J129" s="662"/>
    </row>
    <row r="130" spans="7:10" ht="15.75">
      <c r="G130" s="675"/>
      <c r="H130" s="497"/>
      <c r="I130" s="674"/>
      <c r="J130" s="676"/>
    </row>
    <row r="133" spans="3:4" ht="15.75" hidden="1">
      <c r="C133" s="52">
        <f>IF(C115&gt;C117,"See Tab A","")</f>
      </c>
      <c r="D133" s="52">
        <f>IF(D115&gt;D117,"See Tab C","")</f>
      </c>
    </row>
    <row r="134" spans="3:4" ht="15.75" hidden="1">
      <c r="C134" s="52">
        <f>IF(C116&lt;0,"See Tab B","")</f>
      </c>
      <c r="D134" s="52">
        <f>IF(D116&lt;0,"See Tab D","")</f>
      </c>
    </row>
  </sheetData>
  <sheetProtection sheet="1"/>
  <mergeCells count="8">
    <mergeCell ref="G114:J114"/>
    <mergeCell ref="B124:E124"/>
    <mergeCell ref="B57:E57"/>
    <mergeCell ref="C122:D122"/>
    <mergeCell ref="C118:D118"/>
    <mergeCell ref="C119:D119"/>
    <mergeCell ref="G124:J124"/>
    <mergeCell ref="G107:J107"/>
  </mergeCells>
  <conditionalFormatting sqref="E118">
    <cfRule type="cellIs" priority="2" dxfId="351" operator="greaterThan" stopIfTrue="1">
      <formula>$E$115/0.95-$E$115</formula>
    </cfRule>
  </conditionalFormatting>
  <conditionalFormatting sqref="E113">
    <cfRule type="cellIs" priority="3" dxfId="351" operator="greaterThan" stopIfTrue="1">
      <formula>$E$115*0.1</formula>
    </cfRule>
  </conditionalFormatting>
  <conditionalFormatting sqref="E52">
    <cfRule type="cellIs" priority="4" dxfId="351" operator="greaterThan" stopIfTrue="1">
      <formula>$E$54*0.1+E122</formula>
    </cfRule>
  </conditionalFormatting>
  <conditionalFormatting sqref="D52">
    <cfRule type="cellIs" priority="5" dxfId="2" operator="greaterThan" stopIfTrue="1">
      <formula>$D$54*0.1</formula>
    </cfRule>
  </conditionalFormatting>
  <conditionalFormatting sqref="C52">
    <cfRule type="cellIs" priority="6" dxfId="2" operator="greaterThan" stopIfTrue="1">
      <formula>$C$54*0.1</formula>
    </cfRule>
  </conditionalFormatting>
  <conditionalFormatting sqref="C116">
    <cfRule type="cellIs" priority="7" dxfId="2" operator="lessThan" stopIfTrue="1">
      <formula>0</formula>
    </cfRule>
  </conditionalFormatting>
  <conditionalFormatting sqref="D113">
    <cfRule type="cellIs" priority="8" dxfId="2" operator="greaterThan" stopIfTrue="1">
      <formula>$D$115*0.1</formula>
    </cfRule>
  </conditionalFormatting>
  <conditionalFormatting sqref="C113">
    <cfRule type="cellIs" priority="9" dxfId="2" operator="greaterThan" stopIfTrue="1">
      <formula>$C$115*0.1</formula>
    </cfRule>
  </conditionalFormatting>
  <conditionalFormatting sqref="C115">
    <cfRule type="cellIs" priority="10" dxfId="2" operator="greaterThan" stopIfTrue="1">
      <formula>$C$117</formula>
    </cfRule>
  </conditionalFormatting>
  <conditionalFormatting sqref="D115">
    <cfRule type="cellIs" priority="11" dxfId="2" operator="greaterThan" stopIfTrue="1">
      <formula>$D$117</formula>
    </cfRule>
  </conditionalFormatting>
  <conditionalFormatting sqref="D116">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7" max="255" man="1"/>
  </rowBreaks>
  <colBreaks count="1" manualBreakCount="1">
    <brk id="5" max="65535" man="1"/>
  </colBreaks>
</worksheet>
</file>

<file path=xl/worksheets/sheet16.xml><?xml version="1.0" encoding="utf-8"?>
<worksheet xmlns="http://schemas.openxmlformats.org/spreadsheetml/2006/main" xmlns:r="http://schemas.openxmlformats.org/officeDocument/2006/relationships">
  <dimension ref="B1:E405"/>
  <sheetViews>
    <sheetView zoomScalePageLayoutView="0" workbookViewId="0" topLeftCell="A83">
      <selection activeCell="A108" sqref="A108"/>
    </sheetView>
  </sheetViews>
  <sheetFormatPr defaultColWidth="8.796875" defaultRowHeight="15"/>
  <cols>
    <col min="1" max="1" width="2.3984375" style="52" customWidth="1"/>
    <col min="2" max="2" width="30.796875" style="52" customWidth="1"/>
    <col min="3" max="5" width="15.796875" style="52" customWidth="1"/>
    <col min="6" max="16384" width="8.8984375" style="52" customWidth="1"/>
  </cols>
  <sheetData>
    <row r="1" spans="2:5" ht="15.75">
      <c r="B1" s="200" t="str">
        <f>inputPrYr!C3</f>
        <v>Russell County</v>
      </c>
      <c r="C1" s="67"/>
      <c r="D1" s="186"/>
      <c r="E1" s="67">
        <f>inputPrYr!C5</f>
        <v>2013</v>
      </c>
    </row>
    <row r="2" spans="2:5" ht="15.75">
      <c r="B2" s="67"/>
      <c r="C2" s="67"/>
      <c r="D2" s="67"/>
      <c r="E2" s="186"/>
    </row>
    <row r="3" spans="2:5" ht="15.75">
      <c r="B3" s="209" t="s">
        <v>808</v>
      </c>
      <c r="C3" s="305"/>
      <c r="D3" s="305"/>
      <c r="E3" s="305"/>
    </row>
    <row r="4" spans="2:5" ht="15.75">
      <c r="B4" s="186" t="s">
        <v>723</v>
      </c>
      <c r="C4" s="335" t="s">
        <v>197</v>
      </c>
      <c r="D4" s="149" t="s">
        <v>198</v>
      </c>
      <c r="E4" s="149" t="s">
        <v>199</v>
      </c>
    </row>
    <row r="5" spans="2:5" ht="15.75">
      <c r="B5" s="460" t="s">
        <v>73</v>
      </c>
      <c r="C5" s="306" t="str">
        <f>CONCATENATE("Actual for ",E1-2,"")</f>
        <v>Actual for 2011</v>
      </c>
      <c r="D5" s="306" t="str">
        <f>CONCATENATE("Estimate for ",E1-1,"")</f>
        <v>Estimate for 2012</v>
      </c>
      <c r="E5" s="306" t="str">
        <f>CONCATENATE("Year for ",E1,"")</f>
        <v>Year for 2013</v>
      </c>
    </row>
    <row r="6" spans="2:5" ht="15.75">
      <c r="B6" s="256" t="s">
        <v>736</v>
      </c>
      <c r="C6" s="110"/>
      <c r="D6" s="110"/>
      <c r="E6" s="110"/>
    </row>
    <row r="7" spans="2:5" ht="15.75">
      <c r="B7" s="336" t="s">
        <v>13</v>
      </c>
      <c r="C7" s="110"/>
      <c r="D7" s="110"/>
      <c r="E7" s="110"/>
    </row>
    <row r="8" spans="2:5" ht="15.75">
      <c r="B8" s="337" t="s">
        <v>741</v>
      </c>
      <c r="C8" s="298">
        <v>45755</v>
      </c>
      <c r="D8" s="298">
        <v>52000</v>
      </c>
      <c r="E8" s="298">
        <v>52000</v>
      </c>
    </row>
    <row r="9" spans="2:5" ht="15.75">
      <c r="B9" s="337" t="s">
        <v>742</v>
      </c>
      <c r="C9" s="298">
        <v>4602</v>
      </c>
      <c r="D9" s="298">
        <v>3000</v>
      </c>
      <c r="E9" s="298">
        <v>3000</v>
      </c>
    </row>
    <row r="10" spans="2:5" ht="15.75">
      <c r="B10" s="337" t="s">
        <v>743</v>
      </c>
      <c r="C10" s="298">
        <v>153</v>
      </c>
      <c r="D10" s="298"/>
      <c r="E10" s="298"/>
    </row>
    <row r="11" spans="2:5" ht="15.75">
      <c r="B11" s="337" t="s">
        <v>744</v>
      </c>
      <c r="C11" s="298"/>
      <c r="D11" s="298"/>
      <c r="E11" s="298"/>
    </row>
    <row r="12" spans="2:5" ht="15.75">
      <c r="B12" s="93"/>
      <c r="C12" s="298"/>
      <c r="D12" s="298"/>
      <c r="E12" s="298"/>
    </row>
    <row r="13" spans="2:5" ht="15.75">
      <c r="B13" s="186" t="s">
        <v>695</v>
      </c>
      <c r="C13" s="338">
        <f>SUM(C8:C12)</f>
        <v>50510</v>
      </c>
      <c r="D13" s="338">
        <f>SUM(D8:D12)</f>
        <v>55000</v>
      </c>
      <c r="E13" s="338">
        <f>SUM(E8:E12)</f>
        <v>55000</v>
      </c>
    </row>
    <row r="14" spans="2:5" ht="15.75">
      <c r="B14" s="336" t="s">
        <v>714</v>
      </c>
      <c r="C14" s="110"/>
      <c r="D14" s="110"/>
      <c r="E14" s="110"/>
    </row>
    <row r="15" spans="2:5" ht="15.75">
      <c r="B15" s="337" t="s">
        <v>741</v>
      </c>
      <c r="C15" s="298">
        <v>97692</v>
      </c>
      <c r="D15" s="298">
        <v>120000</v>
      </c>
      <c r="E15" s="298">
        <v>120000</v>
      </c>
    </row>
    <row r="16" spans="2:5" ht="15.75">
      <c r="B16" s="337" t="s">
        <v>742</v>
      </c>
      <c r="C16" s="298">
        <v>1804</v>
      </c>
      <c r="D16" s="298">
        <v>15000</v>
      </c>
      <c r="E16" s="298">
        <v>15000</v>
      </c>
    </row>
    <row r="17" spans="2:5" ht="15.75">
      <c r="B17" s="337" t="s">
        <v>743</v>
      </c>
      <c r="C17" s="298">
        <v>2840</v>
      </c>
      <c r="D17" s="298">
        <v>17500</v>
      </c>
      <c r="E17" s="298">
        <v>17500</v>
      </c>
    </row>
    <row r="18" spans="2:5" ht="15.75">
      <c r="B18" s="337" t="s">
        <v>744</v>
      </c>
      <c r="C18" s="298"/>
      <c r="D18" s="298">
        <v>7500</v>
      </c>
      <c r="E18" s="298">
        <v>7500</v>
      </c>
    </row>
    <row r="19" spans="2:5" ht="15.75">
      <c r="B19" s="186" t="s">
        <v>695</v>
      </c>
      <c r="C19" s="338">
        <f>SUM(C15:C18)</f>
        <v>102336</v>
      </c>
      <c r="D19" s="338">
        <f>SUM(D15:D18)</f>
        <v>160000</v>
      </c>
      <c r="E19" s="338">
        <f>SUM(E15:E18)</f>
        <v>160000</v>
      </c>
    </row>
    <row r="20" spans="2:5" ht="15.75">
      <c r="B20" s="336" t="s">
        <v>747</v>
      </c>
      <c r="C20" s="110"/>
      <c r="D20" s="110"/>
      <c r="E20" s="110"/>
    </row>
    <row r="21" spans="2:5" ht="15.75">
      <c r="B21" s="337" t="s">
        <v>741</v>
      </c>
      <c r="C21" s="298">
        <v>100769</v>
      </c>
      <c r="D21" s="298">
        <v>98000</v>
      </c>
      <c r="E21" s="298">
        <v>102000</v>
      </c>
    </row>
    <row r="22" spans="2:5" ht="15.75">
      <c r="B22" s="337" t="s">
        <v>742</v>
      </c>
      <c r="C22" s="298">
        <v>19587</v>
      </c>
      <c r="D22" s="298">
        <v>23000</v>
      </c>
      <c r="E22" s="298">
        <v>23000</v>
      </c>
    </row>
    <row r="23" spans="2:5" ht="15.75">
      <c r="B23" s="337" t="s">
        <v>743</v>
      </c>
      <c r="C23" s="298">
        <v>4460</v>
      </c>
      <c r="D23" s="298">
        <v>7000</v>
      </c>
      <c r="E23" s="298">
        <v>7000</v>
      </c>
    </row>
    <row r="24" spans="2:5" ht="15.75">
      <c r="B24" s="337" t="s">
        <v>744</v>
      </c>
      <c r="C24" s="298"/>
      <c r="D24" s="298">
        <v>2000</v>
      </c>
      <c r="E24" s="298">
        <v>2000</v>
      </c>
    </row>
    <row r="25" spans="2:5" ht="15.75">
      <c r="B25" s="186" t="s">
        <v>695</v>
      </c>
      <c r="C25" s="338">
        <f>SUM(C21:C24)</f>
        <v>124816</v>
      </c>
      <c r="D25" s="338">
        <f>SUM(D21:D24)</f>
        <v>130000</v>
      </c>
      <c r="E25" s="338">
        <f>SUM(E21:E24)</f>
        <v>134000</v>
      </c>
    </row>
    <row r="26" spans="2:5" ht="15.75">
      <c r="B26" s="336" t="s">
        <v>746</v>
      </c>
      <c r="C26" s="110"/>
      <c r="D26" s="110"/>
      <c r="E26" s="110"/>
    </row>
    <row r="27" spans="2:5" ht="15.75">
      <c r="B27" s="337" t="s">
        <v>741</v>
      </c>
      <c r="C27" s="298">
        <v>75875</v>
      </c>
      <c r="D27" s="298">
        <v>75000</v>
      </c>
      <c r="E27" s="298">
        <v>76245</v>
      </c>
    </row>
    <row r="28" spans="2:5" ht="15.75">
      <c r="B28" s="337" t="s">
        <v>742</v>
      </c>
      <c r="C28" s="298">
        <v>12184</v>
      </c>
      <c r="D28" s="298">
        <v>69000</v>
      </c>
      <c r="E28" s="298">
        <v>73000</v>
      </c>
    </row>
    <row r="29" spans="2:5" ht="15.75">
      <c r="B29" s="337" t="s">
        <v>743</v>
      </c>
      <c r="C29" s="298">
        <v>6988</v>
      </c>
      <c r="D29" s="298">
        <v>18000</v>
      </c>
      <c r="E29" s="298">
        <v>15755</v>
      </c>
    </row>
    <row r="30" spans="2:5" ht="15.75">
      <c r="B30" s="337" t="s">
        <v>744</v>
      </c>
      <c r="C30" s="298"/>
      <c r="D30" s="298"/>
      <c r="E30" s="298"/>
    </row>
    <row r="31" spans="2:5" ht="15.75">
      <c r="B31" s="186" t="s">
        <v>695</v>
      </c>
      <c r="C31" s="338">
        <f>SUM(C27:C30)</f>
        <v>95047</v>
      </c>
      <c r="D31" s="338">
        <f>SUM(D27:D30)</f>
        <v>162000</v>
      </c>
      <c r="E31" s="338">
        <f>SUM(E27:E30)</f>
        <v>165000</v>
      </c>
    </row>
    <row r="32" spans="2:5" ht="15.75">
      <c r="B32" s="336" t="s">
        <v>756</v>
      </c>
      <c r="C32" s="110"/>
      <c r="D32" s="110"/>
      <c r="E32" s="110"/>
    </row>
    <row r="33" spans="2:5" ht="15.75">
      <c r="B33" s="337" t="s">
        <v>741</v>
      </c>
      <c r="C33" s="298">
        <v>60583</v>
      </c>
      <c r="D33" s="298">
        <v>58500</v>
      </c>
      <c r="E33" s="298">
        <v>60500</v>
      </c>
    </row>
    <row r="34" spans="2:5" ht="15.75">
      <c r="B34" s="337" t="s">
        <v>742</v>
      </c>
      <c r="C34" s="298">
        <v>2961</v>
      </c>
      <c r="D34" s="298">
        <v>3260</v>
      </c>
      <c r="E34" s="298">
        <v>2800</v>
      </c>
    </row>
    <row r="35" spans="2:5" ht="15.75">
      <c r="B35" s="337" t="s">
        <v>743</v>
      </c>
      <c r="C35" s="298">
        <v>3411</v>
      </c>
      <c r="D35" s="298">
        <v>3120</v>
      </c>
      <c r="E35" s="298">
        <v>3510</v>
      </c>
    </row>
    <row r="36" spans="2:5" ht="15.75">
      <c r="B36" s="299" t="s">
        <v>744</v>
      </c>
      <c r="C36" s="298"/>
      <c r="D36" s="298">
        <v>1000</v>
      </c>
      <c r="E36" s="298"/>
    </row>
    <row r="37" spans="2:5" ht="15.75">
      <c r="B37" s="186" t="s">
        <v>695</v>
      </c>
      <c r="C37" s="338">
        <f>SUM(C33:C36)</f>
        <v>66955</v>
      </c>
      <c r="D37" s="338">
        <f>SUM(D33:D36)</f>
        <v>65880</v>
      </c>
      <c r="E37" s="338">
        <f>SUM(E33:E36)</f>
        <v>66810</v>
      </c>
    </row>
    <row r="38" spans="2:5" ht="15.75">
      <c r="B38" s="336" t="s">
        <v>14</v>
      </c>
      <c r="C38" s="110"/>
      <c r="D38" s="110"/>
      <c r="E38" s="110"/>
    </row>
    <row r="39" spans="2:5" ht="15.75">
      <c r="B39" s="337" t="s">
        <v>741</v>
      </c>
      <c r="C39" s="298">
        <v>673261</v>
      </c>
      <c r="D39" s="298">
        <v>663500</v>
      </c>
      <c r="E39" s="298">
        <v>663500</v>
      </c>
    </row>
    <row r="40" spans="2:5" ht="15.75">
      <c r="B40" s="337" t="s">
        <v>742</v>
      </c>
      <c r="C40" s="298">
        <v>235223</v>
      </c>
      <c r="D40" s="298">
        <v>102000</v>
      </c>
      <c r="E40" s="298">
        <v>102000</v>
      </c>
    </row>
    <row r="41" spans="2:5" ht="15.75">
      <c r="B41" s="337" t="s">
        <v>743</v>
      </c>
      <c r="C41" s="298">
        <v>68095</v>
      </c>
      <c r="D41" s="298">
        <v>187500</v>
      </c>
      <c r="E41" s="298">
        <v>187500</v>
      </c>
    </row>
    <row r="42" spans="2:5" ht="15.75">
      <c r="B42" s="337" t="s">
        <v>744</v>
      </c>
      <c r="C42" s="298"/>
      <c r="D42" s="298">
        <v>72000</v>
      </c>
      <c r="E42" s="298">
        <v>72000</v>
      </c>
    </row>
    <row r="43" spans="2:5" ht="15.75">
      <c r="B43" s="186" t="s">
        <v>695</v>
      </c>
      <c r="C43" s="338">
        <f>SUM(C39:C42)</f>
        <v>976579</v>
      </c>
      <c r="D43" s="338">
        <f>SUM(D39:D42)</f>
        <v>1025000</v>
      </c>
      <c r="E43" s="338">
        <f>SUM(E39:E42)</f>
        <v>1025000</v>
      </c>
    </row>
    <row r="44" spans="2:5" ht="15.75">
      <c r="B44" s="336" t="s">
        <v>15</v>
      </c>
      <c r="C44" s="110"/>
      <c r="D44" s="110"/>
      <c r="E44" s="110"/>
    </row>
    <row r="45" spans="2:5" ht="15.75">
      <c r="B45" s="337" t="s">
        <v>741</v>
      </c>
      <c r="C45" s="298"/>
      <c r="D45" s="298"/>
      <c r="E45" s="298"/>
    </row>
    <row r="46" spans="2:5" ht="15.75">
      <c r="B46" s="337" t="s">
        <v>742</v>
      </c>
      <c r="C46" s="298">
        <v>57803</v>
      </c>
      <c r="D46" s="298">
        <v>73630</v>
      </c>
      <c r="E46" s="298">
        <v>73630</v>
      </c>
    </row>
    <row r="47" spans="2:5" ht="15.75">
      <c r="B47" s="337" t="s">
        <v>743</v>
      </c>
      <c r="C47" s="298">
        <v>7160</v>
      </c>
      <c r="D47" s="298">
        <v>5500</v>
      </c>
      <c r="E47" s="298">
        <v>5500</v>
      </c>
    </row>
    <row r="48" spans="2:5" ht="15.75">
      <c r="B48" s="337" t="s">
        <v>744</v>
      </c>
      <c r="C48" s="298"/>
      <c r="D48" s="298">
        <v>7770</v>
      </c>
      <c r="E48" s="298">
        <v>7770</v>
      </c>
    </row>
    <row r="49" spans="2:5" ht="15.75">
      <c r="B49" s="186" t="s">
        <v>695</v>
      </c>
      <c r="C49" s="338">
        <f>SUM(C45:C48)</f>
        <v>64963</v>
      </c>
      <c r="D49" s="338">
        <f>SUM(D45:D48)</f>
        <v>86900</v>
      </c>
      <c r="E49" s="338">
        <f>SUM(E45:E48)</f>
        <v>86900</v>
      </c>
    </row>
    <row r="50" spans="2:5" ht="15.75">
      <c r="B50" s="336" t="s">
        <v>16</v>
      </c>
      <c r="C50" s="110"/>
      <c r="D50" s="110"/>
      <c r="E50" s="110"/>
    </row>
    <row r="51" spans="2:5" ht="15.75">
      <c r="B51" s="337" t="s">
        <v>741</v>
      </c>
      <c r="C51" s="298">
        <v>152922</v>
      </c>
      <c r="D51" s="298">
        <v>135000</v>
      </c>
      <c r="E51" s="298">
        <v>143500</v>
      </c>
    </row>
    <row r="52" spans="2:5" ht="15.75">
      <c r="B52" s="337" t="s">
        <v>742</v>
      </c>
      <c r="C52" s="298">
        <v>363817</v>
      </c>
      <c r="D52" s="298">
        <v>450000</v>
      </c>
      <c r="E52" s="298">
        <v>450000</v>
      </c>
    </row>
    <row r="53" spans="2:5" ht="15.75">
      <c r="B53" s="337" t="s">
        <v>743</v>
      </c>
      <c r="C53" s="298">
        <v>61205</v>
      </c>
      <c r="D53" s="298">
        <v>260000</v>
      </c>
      <c r="E53" s="298">
        <v>260000</v>
      </c>
    </row>
    <row r="54" spans="2:5" ht="15.75">
      <c r="B54" s="337" t="s">
        <v>744</v>
      </c>
      <c r="C54" s="298"/>
      <c r="D54" s="298">
        <v>162000</v>
      </c>
      <c r="E54" s="298">
        <v>162000</v>
      </c>
    </row>
    <row r="55" spans="2:5" ht="15.75">
      <c r="B55" s="186" t="s">
        <v>695</v>
      </c>
      <c r="C55" s="312">
        <f>SUM(C51:C54)</f>
        <v>577944</v>
      </c>
      <c r="D55" s="312">
        <f>SUM(D51:D54)</f>
        <v>1007000</v>
      </c>
      <c r="E55" s="312">
        <f>SUM(E51:E54)</f>
        <v>1015500</v>
      </c>
    </row>
    <row r="56" spans="2:5" ht="15.75">
      <c r="B56" s="67"/>
      <c r="C56" s="110"/>
      <c r="D56" s="110"/>
      <c r="E56" s="110"/>
    </row>
    <row r="57" spans="2:5" ht="15.75">
      <c r="B57" s="186" t="s">
        <v>878</v>
      </c>
      <c r="C57" s="303">
        <f>C13+C19+C25+C31+C37+C43+C49+C55</f>
        <v>2059150</v>
      </c>
      <c r="D57" s="303">
        <f>D13+D19+D25+D31+D37+D43+D49+D55</f>
        <v>2691780</v>
      </c>
      <c r="E57" s="303">
        <f>E13+E19+E25+E31+E37+E43+E49+E55</f>
        <v>2708210</v>
      </c>
    </row>
    <row r="58" spans="2:5" ht="15.75">
      <c r="B58" s="67"/>
      <c r="C58" s="200"/>
      <c r="D58" s="200"/>
      <c r="E58" s="200"/>
    </row>
    <row r="59" spans="2:5" ht="15.75">
      <c r="B59" s="725" t="s">
        <v>671</v>
      </c>
      <c r="C59" s="725"/>
      <c r="D59" s="725"/>
      <c r="E59" s="725"/>
    </row>
    <row r="60" spans="2:5" ht="15.75">
      <c r="B60" s="67"/>
      <c r="C60" s="200"/>
      <c r="D60" s="200"/>
      <c r="E60" s="200"/>
    </row>
    <row r="61" spans="2:5" ht="15.75">
      <c r="B61" s="200" t="str">
        <f>inputPrYr!C3</f>
        <v>Russell County</v>
      </c>
      <c r="C61" s="200"/>
      <c r="D61" s="66"/>
      <c r="E61" s="339">
        <f>E1</f>
        <v>2013</v>
      </c>
    </row>
    <row r="62" spans="2:5" ht="15.75">
      <c r="B62" s="67"/>
      <c r="C62" s="200"/>
      <c r="D62" s="200"/>
      <c r="E62" s="66"/>
    </row>
    <row r="63" spans="2:5" ht="15.75">
      <c r="B63" s="304" t="s">
        <v>807</v>
      </c>
      <c r="C63" s="145"/>
      <c r="D63" s="145"/>
      <c r="E63" s="145"/>
    </row>
    <row r="64" spans="2:5" ht="15.75">
      <c r="B64" s="67" t="s">
        <v>723</v>
      </c>
      <c r="C64" s="506" t="str">
        <f aca="true" t="shared" si="0" ref="C64:E65">C4</f>
        <v>Prior Year </v>
      </c>
      <c r="D64" s="507" t="str">
        <f t="shared" si="0"/>
        <v>Current Year </v>
      </c>
      <c r="E64" s="507" t="str">
        <f t="shared" si="0"/>
        <v>Proposed Budget </v>
      </c>
    </row>
    <row r="65" spans="2:5" ht="15.75">
      <c r="B65" s="96" t="s">
        <v>740</v>
      </c>
      <c r="C65" s="306" t="str">
        <f t="shared" si="0"/>
        <v>Actual for 2011</v>
      </c>
      <c r="D65" s="306" t="str">
        <f t="shared" si="0"/>
        <v>Estimate for 2012</v>
      </c>
      <c r="E65" s="306" t="str">
        <f t="shared" si="0"/>
        <v>Year for 2013</v>
      </c>
    </row>
    <row r="66" spans="2:5" ht="15.75">
      <c r="B66" s="186" t="s">
        <v>736</v>
      </c>
      <c r="C66" s="110"/>
      <c r="D66" s="110"/>
      <c r="E66" s="110"/>
    </row>
    <row r="67" spans="2:5" ht="15.75">
      <c r="B67" s="336" t="s">
        <v>758</v>
      </c>
      <c r="C67" s="110"/>
      <c r="D67" s="110"/>
      <c r="E67" s="110"/>
    </row>
    <row r="68" spans="2:5" ht="15.75">
      <c r="B68" s="337" t="s">
        <v>741</v>
      </c>
      <c r="C68" s="298"/>
      <c r="D68" s="298"/>
      <c r="E68" s="298"/>
    </row>
    <row r="69" spans="2:5" ht="15.75">
      <c r="B69" s="337" t="s">
        <v>742</v>
      </c>
      <c r="C69" s="298">
        <v>25000</v>
      </c>
      <c r="D69" s="298">
        <v>25000</v>
      </c>
      <c r="E69" s="298">
        <v>25000</v>
      </c>
    </row>
    <row r="70" spans="2:5" ht="15.75">
      <c r="B70" s="337" t="s">
        <v>743</v>
      </c>
      <c r="C70" s="298"/>
      <c r="D70" s="298"/>
      <c r="E70" s="298"/>
    </row>
    <row r="71" spans="2:5" ht="15.75">
      <c r="B71" s="337" t="s">
        <v>744</v>
      </c>
      <c r="C71" s="298"/>
      <c r="D71" s="298"/>
      <c r="E71" s="298"/>
    </row>
    <row r="72" spans="2:5" ht="15.75">
      <c r="B72" s="186" t="s">
        <v>695</v>
      </c>
      <c r="C72" s="338">
        <f>SUM(C68:C71)</f>
        <v>25000</v>
      </c>
      <c r="D72" s="338">
        <f>SUM(D68:D71)</f>
        <v>25000</v>
      </c>
      <c r="E72" s="338">
        <f>SUM(E68:E71)</f>
        <v>25000</v>
      </c>
    </row>
    <row r="73" spans="2:5" ht="15.75">
      <c r="B73" s="336" t="s">
        <v>17</v>
      </c>
      <c r="C73" s="110"/>
      <c r="D73" s="110"/>
      <c r="E73" s="110"/>
    </row>
    <row r="74" spans="2:5" ht="15.75">
      <c r="B74" s="337" t="s">
        <v>741</v>
      </c>
      <c r="C74" s="298">
        <v>55378</v>
      </c>
      <c r="D74" s="298">
        <v>94000</v>
      </c>
      <c r="E74" s="298">
        <v>104000</v>
      </c>
    </row>
    <row r="75" spans="2:5" ht="15.75">
      <c r="B75" s="337" t="s">
        <v>742</v>
      </c>
      <c r="C75" s="298">
        <v>15961</v>
      </c>
      <c r="D75" s="298">
        <v>24250</v>
      </c>
      <c r="E75" s="298">
        <v>7750</v>
      </c>
    </row>
    <row r="76" spans="2:5" ht="15.75">
      <c r="B76" s="337" t="s">
        <v>743</v>
      </c>
      <c r="C76" s="298">
        <v>3492</v>
      </c>
      <c r="D76" s="298">
        <v>7035</v>
      </c>
      <c r="E76" s="298">
        <v>7035</v>
      </c>
    </row>
    <row r="77" spans="2:5" ht="15.75">
      <c r="B77" s="337" t="s">
        <v>744</v>
      </c>
      <c r="C77" s="298">
        <v>7599</v>
      </c>
      <c r="D77" s="298">
        <v>14715</v>
      </c>
      <c r="E77" s="298">
        <v>51715</v>
      </c>
    </row>
    <row r="78" spans="2:5" ht="15.75">
      <c r="B78" s="186" t="s">
        <v>695</v>
      </c>
      <c r="C78" s="312">
        <f>SUM(C74:C77)</f>
        <v>82430</v>
      </c>
      <c r="D78" s="312">
        <f>SUM(D74:D77)</f>
        <v>140000</v>
      </c>
      <c r="E78" s="312">
        <f>SUM(E74:E77)</f>
        <v>170500</v>
      </c>
    </row>
    <row r="79" spans="2:5" ht="15.75">
      <c r="B79" s="336" t="s">
        <v>18</v>
      </c>
      <c r="C79" s="110"/>
      <c r="D79" s="110"/>
      <c r="E79" s="110"/>
    </row>
    <row r="80" spans="2:5" ht="15.75">
      <c r="B80" s="337" t="s">
        <v>741</v>
      </c>
      <c r="C80" s="298">
        <v>46563</v>
      </c>
      <c r="D80" s="298">
        <v>57500</v>
      </c>
      <c r="E80" s="298">
        <v>66000</v>
      </c>
    </row>
    <row r="81" spans="2:5" ht="15.75">
      <c r="B81" s="337" t="s">
        <v>742</v>
      </c>
      <c r="C81" s="298">
        <v>14622</v>
      </c>
      <c r="D81" s="298">
        <v>10000</v>
      </c>
      <c r="E81" s="298">
        <v>10000</v>
      </c>
    </row>
    <row r="82" spans="2:5" ht="15.75">
      <c r="B82" s="337" t="s">
        <v>743</v>
      </c>
      <c r="C82" s="298">
        <v>4760</v>
      </c>
      <c r="D82" s="298">
        <v>12500</v>
      </c>
      <c r="E82" s="298">
        <v>23500</v>
      </c>
    </row>
    <row r="83" spans="2:5" ht="15.75">
      <c r="B83" s="337" t="s">
        <v>744</v>
      </c>
      <c r="C83" s="298"/>
      <c r="D83" s="298">
        <v>4000</v>
      </c>
      <c r="E83" s="298">
        <v>3000</v>
      </c>
    </row>
    <row r="84" spans="2:5" ht="15.75">
      <c r="B84" s="186" t="s">
        <v>695</v>
      </c>
      <c r="C84" s="312">
        <f>SUM(C80:C83)</f>
        <v>65945</v>
      </c>
      <c r="D84" s="312">
        <f>SUM(D80:D83)</f>
        <v>84000</v>
      </c>
      <c r="E84" s="312">
        <f>SUM(E80:E83)</f>
        <v>102500</v>
      </c>
    </row>
    <row r="85" spans="2:5" ht="15.75">
      <c r="B85" s="336" t="s">
        <v>19</v>
      </c>
      <c r="C85" s="110"/>
      <c r="D85" s="110"/>
      <c r="E85" s="110"/>
    </row>
    <row r="86" spans="2:5" ht="15.75">
      <c r="B86" s="337" t="s">
        <v>22</v>
      </c>
      <c r="C86" s="298"/>
      <c r="D86" s="298"/>
      <c r="E86" s="298"/>
    </row>
    <row r="87" spans="2:5" ht="15.75">
      <c r="B87" s="337" t="s">
        <v>23</v>
      </c>
      <c r="C87" s="298">
        <v>263444</v>
      </c>
      <c r="D87" s="298">
        <v>370000</v>
      </c>
      <c r="E87" s="298">
        <v>378000</v>
      </c>
    </row>
    <row r="88" spans="2:5" ht="15.75">
      <c r="B88" s="337" t="s">
        <v>24</v>
      </c>
      <c r="C88" s="298"/>
      <c r="D88" s="298"/>
      <c r="E88" s="298"/>
    </row>
    <row r="89" spans="2:5" ht="15.75">
      <c r="B89" s="93"/>
      <c r="C89" s="298"/>
      <c r="D89" s="298"/>
      <c r="E89" s="298"/>
    </row>
    <row r="90" spans="2:5" ht="15.75">
      <c r="B90" s="186" t="s">
        <v>695</v>
      </c>
      <c r="C90" s="312">
        <f>SUM(C86:C89)</f>
        <v>263444</v>
      </c>
      <c r="D90" s="312">
        <f>SUM(D86:D89)</f>
        <v>370000</v>
      </c>
      <c r="E90" s="312">
        <f>SUM(E86:E89)</f>
        <v>378000</v>
      </c>
    </row>
    <row r="91" spans="2:5" ht="15.75">
      <c r="B91" s="336" t="s">
        <v>20</v>
      </c>
      <c r="C91" s="110"/>
      <c r="D91" s="110"/>
      <c r="E91" s="110"/>
    </row>
    <row r="92" spans="2:5" ht="15.75">
      <c r="B92" s="337"/>
      <c r="C92" s="298"/>
      <c r="D92" s="298"/>
      <c r="E92" s="298"/>
    </row>
    <row r="93" spans="2:5" ht="15.75">
      <c r="B93" s="337"/>
      <c r="C93" s="298"/>
      <c r="D93" s="298"/>
      <c r="E93" s="298"/>
    </row>
    <row r="94" spans="2:5" ht="15.75">
      <c r="B94" s="337"/>
      <c r="C94" s="298"/>
      <c r="D94" s="298"/>
      <c r="E94" s="298"/>
    </row>
    <row r="95" spans="2:5" ht="15.75">
      <c r="B95" s="337" t="s">
        <v>26</v>
      </c>
      <c r="C95" s="298">
        <v>880000</v>
      </c>
      <c r="D95" s="298">
        <v>440000</v>
      </c>
      <c r="E95" s="298">
        <v>440000</v>
      </c>
    </row>
    <row r="96" spans="2:5" ht="15.75">
      <c r="B96" s="186" t="s">
        <v>695</v>
      </c>
      <c r="C96" s="312">
        <f>SUM(C92:C95)</f>
        <v>880000</v>
      </c>
      <c r="D96" s="312">
        <f>SUM(D92:D95)</f>
        <v>440000</v>
      </c>
      <c r="E96" s="312">
        <f>SUM(E92:E95)</f>
        <v>440000</v>
      </c>
    </row>
    <row r="97" spans="2:5" ht="15.75">
      <c r="B97" s="336" t="s">
        <v>21</v>
      </c>
      <c r="C97" s="110"/>
      <c r="D97" s="110"/>
      <c r="E97" s="110"/>
    </row>
    <row r="98" spans="2:5" ht="15.75">
      <c r="B98" s="337"/>
      <c r="C98" s="298"/>
      <c r="D98" s="298"/>
      <c r="E98" s="298"/>
    </row>
    <row r="99" spans="2:5" ht="15.75">
      <c r="B99" s="337" t="s">
        <v>25</v>
      </c>
      <c r="C99" s="298"/>
      <c r="D99" s="298">
        <v>800000</v>
      </c>
      <c r="E99" s="298">
        <v>1650000</v>
      </c>
    </row>
    <row r="100" spans="2:5" ht="15.75">
      <c r="B100" s="337"/>
      <c r="C100" s="298"/>
      <c r="D100" s="298"/>
      <c r="E100" s="298"/>
    </row>
    <row r="101" spans="2:5" ht="15.75">
      <c r="B101" s="337"/>
      <c r="C101" s="298"/>
      <c r="D101" s="298"/>
      <c r="E101" s="298"/>
    </row>
    <row r="102" spans="2:5" ht="15.75">
      <c r="B102" s="186" t="s">
        <v>695</v>
      </c>
      <c r="C102" s="312">
        <f>SUM(C98:C101)</f>
        <v>0</v>
      </c>
      <c r="D102" s="312">
        <f>SUM(D98:D101)</f>
        <v>800000</v>
      </c>
      <c r="E102" s="312">
        <f>SUM(E98:E101)</f>
        <v>1650000</v>
      </c>
    </row>
    <row r="103" spans="2:5" ht="15.75">
      <c r="B103" s="336"/>
      <c r="C103" s="110"/>
      <c r="D103" s="110"/>
      <c r="E103" s="110"/>
    </row>
    <row r="104" spans="2:5" ht="15.75">
      <c r="B104" s="337" t="s">
        <v>741</v>
      </c>
      <c r="C104" s="298"/>
      <c r="D104" s="298"/>
      <c r="E104" s="298"/>
    </row>
    <row r="105" spans="2:5" ht="15.75">
      <c r="B105" s="337" t="s">
        <v>742</v>
      </c>
      <c r="C105" s="298">
        <v>77353</v>
      </c>
      <c r="D105" s="298"/>
      <c r="E105" s="298"/>
    </row>
    <row r="106" spans="2:5" ht="15.75">
      <c r="B106" s="337" t="s">
        <v>743</v>
      </c>
      <c r="C106" s="298"/>
      <c r="D106" s="298"/>
      <c r="E106" s="298"/>
    </row>
    <row r="107" spans="2:5" ht="15.75">
      <c r="B107" s="337" t="s">
        <v>744</v>
      </c>
      <c r="C107" s="298"/>
      <c r="D107" s="298"/>
      <c r="E107" s="298"/>
    </row>
    <row r="108" spans="2:5" ht="15.75">
      <c r="B108" s="186" t="s">
        <v>695</v>
      </c>
      <c r="C108" s="312">
        <f>SUM(C104:C107)</f>
        <v>77353</v>
      </c>
      <c r="D108" s="312">
        <f>SUM(D104:D107)</f>
        <v>0</v>
      </c>
      <c r="E108" s="312">
        <f>SUM(E104:E107)</f>
        <v>0</v>
      </c>
    </row>
    <row r="109" spans="2:5" ht="15.75">
      <c r="B109" s="336"/>
      <c r="C109" s="110"/>
      <c r="D109" s="110"/>
      <c r="E109" s="110"/>
    </row>
    <row r="110" spans="2:5" ht="15.75">
      <c r="B110" s="337" t="s">
        <v>741</v>
      </c>
      <c r="C110" s="298"/>
      <c r="D110" s="298"/>
      <c r="E110" s="298"/>
    </row>
    <row r="111" spans="2:5" ht="15.75">
      <c r="B111" s="337" t="s">
        <v>742</v>
      </c>
      <c r="C111" s="298"/>
      <c r="D111" s="298"/>
      <c r="E111" s="298"/>
    </row>
    <row r="112" spans="2:5" ht="15.75">
      <c r="B112" s="337" t="s">
        <v>743</v>
      </c>
      <c r="C112" s="298"/>
      <c r="D112" s="298"/>
      <c r="E112" s="298"/>
    </row>
    <row r="113" spans="2:5" ht="15.75">
      <c r="B113" s="337" t="s">
        <v>744</v>
      </c>
      <c r="C113" s="298"/>
      <c r="D113" s="298"/>
      <c r="E113" s="298"/>
    </row>
    <row r="114" spans="2:5" ht="15.75">
      <c r="B114" s="186" t="s">
        <v>695</v>
      </c>
      <c r="C114" s="312">
        <f>SUM(C110:C113)</f>
        <v>0</v>
      </c>
      <c r="D114" s="312">
        <f>SUM(D110:D113)</f>
        <v>0</v>
      </c>
      <c r="E114" s="312">
        <f>SUM(E110:E113)</f>
        <v>0</v>
      </c>
    </row>
    <row r="115" spans="2:5" ht="15.75">
      <c r="B115" s="67"/>
      <c r="C115" s="110"/>
      <c r="D115" s="110"/>
      <c r="E115" s="110"/>
    </row>
    <row r="116" spans="2:5" ht="15.75">
      <c r="B116" s="186" t="s">
        <v>879</v>
      </c>
      <c r="C116" s="303">
        <f>C72+C78+C84+C90+C96+C102+C108+C114</f>
        <v>1394172</v>
      </c>
      <c r="D116" s="303">
        <f>D72+D78+D84+D90+D96+D102+D108+D114</f>
        <v>1859000</v>
      </c>
      <c r="E116" s="303">
        <f>E72+E78+E84+E90+E96+E102+E108+E114</f>
        <v>2766000</v>
      </c>
    </row>
    <row r="117" spans="2:5" ht="15.75">
      <c r="B117" s="67"/>
      <c r="C117" s="200"/>
      <c r="D117" s="200"/>
      <c r="E117" s="200"/>
    </row>
    <row r="118" spans="2:5" ht="15.75">
      <c r="B118" s="725" t="s">
        <v>670</v>
      </c>
      <c r="C118" s="725"/>
      <c r="D118" s="725"/>
      <c r="E118" s="725"/>
    </row>
    <row r="119" spans="2:5" ht="15.75">
      <c r="B119" s="200" t="str">
        <f>inputPrYr!C3</f>
        <v>Russell County</v>
      </c>
      <c r="C119" s="200"/>
      <c r="D119" s="66"/>
      <c r="E119" s="339">
        <f>E1</f>
        <v>2013</v>
      </c>
    </row>
    <row r="120" spans="2:5" ht="15.75">
      <c r="B120" s="67"/>
      <c r="C120" s="200"/>
      <c r="D120" s="200"/>
      <c r="E120" s="66"/>
    </row>
    <row r="121" spans="2:5" ht="15.75">
      <c r="B121" s="304" t="s">
        <v>807</v>
      </c>
      <c r="C121" s="145"/>
      <c r="D121" s="145"/>
      <c r="E121" s="145"/>
    </row>
    <row r="122" spans="2:5" ht="15.75">
      <c r="B122" s="67" t="s">
        <v>723</v>
      </c>
      <c r="C122" s="506" t="str">
        <f aca="true" t="shared" si="1" ref="C122:E123">C4</f>
        <v>Prior Year </v>
      </c>
      <c r="D122" s="507" t="str">
        <f t="shared" si="1"/>
        <v>Current Year </v>
      </c>
      <c r="E122" s="507" t="str">
        <f t="shared" si="1"/>
        <v>Proposed Budget </v>
      </c>
    </row>
    <row r="123" spans="2:5" ht="15.75">
      <c r="B123" s="96" t="s">
        <v>740</v>
      </c>
      <c r="C123" s="306" t="str">
        <f t="shared" si="1"/>
        <v>Actual for 2011</v>
      </c>
      <c r="D123" s="306" t="str">
        <f t="shared" si="1"/>
        <v>Estimate for 2012</v>
      </c>
      <c r="E123" s="306" t="str">
        <f t="shared" si="1"/>
        <v>Year for 2013</v>
      </c>
    </row>
    <row r="124" spans="2:5" ht="15.75">
      <c r="B124" s="186" t="s">
        <v>736</v>
      </c>
      <c r="C124" s="110"/>
      <c r="D124" s="110"/>
      <c r="E124" s="110"/>
    </row>
    <row r="125" spans="2:5" ht="15.75">
      <c r="B125" s="336"/>
      <c r="C125" s="110"/>
      <c r="D125" s="110"/>
      <c r="E125" s="110"/>
    </row>
    <row r="126" spans="2:5" ht="15.75">
      <c r="B126" s="337" t="s">
        <v>750</v>
      </c>
      <c r="C126" s="298"/>
      <c r="D126" s="298"/>
      <c r="E126" s="298"/>
    </row>
    <row r="127" spans="2:5" ht="15.75">
      <c r="B127" s="337" t="s">
        <v>751</v>
      </c>
      <c r="C127" s="298"/>
      <c r="D127" s="298"/>
      <c r="E127" s="298"/>
    </row>
    <row r="128" spans="2:5" ht="15.75">
      <c r="B128" s="337" t="s">
        <v>752</v>
      </c>
      <c r="C128" s="298"/>
      <c r="D128" s="298"/>
      <c r="E128" s="298"/>
    </row>
    <row r="129" spans="2:5" ht="15.75">
      <c r="B129" s="337" t="s">
        <v>753</v>
      </c>
      <c r="C129" s="298"/>
      <c r="D129" s="298"/>
      <c r="E129" s="298"/>
    </row>
    <row r="130" spans="2:5" ht="15.75">
      <c r="B130" s="337" t="s">
        <v>754</v>
      </c>
      <c r="C130" s="298"/>
      <c r="D130" s="298"/>
      <c r="E130" s="298"/>
    </row>
    <row r="131" spans="2:5" ht="15.75">
      <c r="B131" s="337" t="s">
        <v>755</v>
      </c>
      <c r="C131" s="298"/>
      <c r="D131" s="298"/>
      <c r="E131" s="298"/>
    </row>
    <row r="132" spans="2:5" ht="15.75">
      <c r="B132" s="186" t="s">
        <v>695</v>
      </c>
      <c r="C132" s="312">
        <f>SUM(C126:C131)</f>
        <v>0</v>
      </c>
      <c r="D132" s="312">
        <f>SUM(D126:D131)</f>
        <v>0</v>
      </c>
      <c r="E132" s="312">
        <f>SUM(E126:E131)</f>
        <v>0</v>
      </c>
    </row>
    <row r="133" spans="2:5" ht="15.75">
      <c r="B133" s="336"/>
      <c r="C133" s="110"/>
      <c r="D133" s="110"/>
      <c r="E133" s="110"/>
    </row>
    <row r="134" spans="2:5" ht="15.75">
      <c r="B134" s="337" t="s">
        <v>741</v>
      </c>
      <c r="C134" s="298"/>
      <c r="D134" s="298"/>
      <c r="E134" s="298"/>
    </row>
    <row r="135" spans="2:5" ht="15.75">
      <c r="B135" s="337" t="s">
        <v>742</v>
      </c>
      <c r="C135" s="298"/>
      <c r="D135" s="298"/>
      <c r="E135" s="298"/>
    </row>
    <row r="136" spans="2:5" ht="15.75">
      <c r="B136" s="337" t="s">
        <v>743</v>
      </c>
      <c r="C136" s="298"/>
      <c r="D136" s="298"/>
      <c r="E136" s="298"/>
    </row>
    <row r="137" spans="2:5" ht="15.75">
      <c r="B137" s="337" t="s">
        <v>744</v>
      </c>
      <c r="C137" s="298"/>
      <c r="D137" s="298"/>
      <c r="E137" s="298"/>
    </row>
    <row r="138" spans="2:5" ht="15.75">
      <c r="B138" s="186" t="s">
        <v>695</v>
      </c>
      <c r="C138" s="312">
        <f>SUM(C134:C137)</f>
        <v>0</v>
      </c>
      <c r="D138" s="312">
        <f>SUM(D134:D137)</f>
        <v>0</v>
      </c>
      <c r="E138" s="312">
        <f>SUM(E134:E137)</f>
        <v>0</v>
      </c>
    </row>
    <row r="139" spans="2:5" ht="15.75">
      <c r="B139" s="336"/>
      <c r="C139" s="110"/>
      <c r="D139" s="110"/>
      <c r="E139" s="110"/>
    </row>
    <row r="140" spans="2:5" ht="15.75">
      <c r="B140" s="337" t="s">
        <v>741</v>
      </c>
      <c r="C140" s="298"/>
      <c r="D140" s="298"/>
      <c r="E140" s="298"/>
    </row>
    <row r="141" spans="2:5" ht="15.75">
      <c r="B141" s="337" t="s">
        <v>742</v>
      </c>
      <c r="C141" s="298"/>
      <c r="D141" s="298"/>
      <c r="E141" s="298"/>
    </row>
    <row r="142" spans="2:5" ht="15.75">
      <c r="B142" s="337" t="s">
        <v>743</v>
      </c>
      <c r="C142" s="298"/>
      <c r="D142" s="298"/>
      <c r="E142" s="298"/>
    </row>
    <row r="143" spans="2:5" ht="15.75">
      <c r="B143" s="337" t="s">
        <v>744</v>
      </c>
      <c r="C143" s="298"/>
      <c r="D143" s="298"/>
      <c r="E143" s="298"/>
    </row>
    <row r="144" spans="2:5" ht="15.75">
      <c r="B144" s="186" t="s">
        <v>695</v>
      </c>
      <c r="C144" s="312">
        <f>SUM(C140:C143)</f>
        <v>0</v>
      </c>
      <c r="D144" s="312">
        <f>SUM(D140:D143)</f>
        <v>0</v>
      </c>
      <c r="E144" s="312">
        <f>SUM(E140:E143)</f>
        <v>0</v>
      </c>
    </row>
    <row r="145" spans="2:5" ht="15.75">
      <c r="B145" s="336"/>
      <c r="C145" s="110"/>
      <c r="D145" s="110"/>
      <c r="E145" s="110"/>
    </row>
    <row r="146" spans="2:5" ht="15.75">
      <c r="B146" s="337" t="s">
        <v>741</v>
      </c>
      <c r="C146" s="298"/>
      <c r="D146" s="298"/>
      <c r="E146" s="298"/>
    </row>
    <row r="147" spans="2:5" ht="15.75">
      <c r="B147" s="337" t="s">
        <v>742</v>
      </c>
      <c r="C147" s="298"/>
      <c r="D147" s="298"/>
      <c r="E147" s="298"/>
    </row>
    <row r="148" spans="2:5" ht="15.75">
      <c r="B148" s="337" t="s">
        <v>743</v>
      </c>
      <c r="C148" s="298"/>
      <c r="D148" s="298"/>
      <c r="E148" s="298"/>
    </row>
    <row r="149" spans="2:5" ht="15.75">
      <c r="B149" s="337" t="s">
        <v>744</v>
      </c>
      <c r="C149" s="298"/>
      <c r="D149" s="298"/>
      <c r="E149" s="298"/>
    </row>
    <row r="150" spans="2:5" ht="15.75">
      <c r="B150" s="186" t="s">
        <v>695</v>
      </c>
      <c r="C150" s="312">
        <f>SUM(C146:C149)</f>
        <v>0</v>
      </c>
      <c r="D150" s="312">
        <f>SUM(D146:D149)</f>
        <v>0</v>
      </c>
      <c r="E150" s="312">
        <f>SUM(E146:E149)</f>
        <v>0</v>
      </c>
    </row>
    <row r="151" spans="2:5" ht="15.75">
      <c r="B151" s="336"/>
      <c r="C151" s="110"/>
      <c r="D151" s="110"/>
      <c r="E151" s="110"/>
    </row>
    <row r="152" spans="2:5" ht="15.75">
      <c r="B152" s="337" t="s">
        <v>741</v>
      </c>
      <c r="C152" s="298"/>
      <c r="D152" s="298"/>
      <c r="E152" s="298"/>
    </row>
    <row r="153" spans="2:5" ht="15.75">
      <c r="B153" s="337" t="s">
        <v>742</v>
      </c>
      <c r="C153" s="298"/>
      <c r="D153" s="298"/>
      <c r="E153" s="298"/>
    </row>
    <row r="154" spans="2:5" ht="15.75">
      <c r="B154" s="337" t="s">
        <v>743</v>
      </c>
      <c r="C154" s="298"/>
      <c r="D154" s="298"/>
      <c r="E154" s="298"/>
    </row>
    <row r="155" spans="2:5" ht="15.75">
      <c r="B155" s="337" t="s">
        <v>744</v>
      </c>
      <c r="C155" s="298"/>
      <c r="D155" s="298"/>
      <c r="E155" s="298"/>
    </row>
    <row r="156" spans="2:5" ht="15.75">
      <c r="B156" s="186" t="s">
        <v>695</v>
      </c>
      <c r="C156" s="312">
        <f>SUM(C152:C155)</f>
        <v>0</v>
      </c>
      <c r="D156" s="312">
        <f>SUM(D152:D155)</f>
        <v>0</v>
      </c>
      <c r="E156" s="312">
        <f>SUM(E152:E155)</f>
        <v>0</v>
      </c>
    </row>
    <row r="157" spans="2:5" ht="15.75">
      <c r="B157" s="336"/>
      <c r="C157" s="110"/>
      <c r="D157" s="110"/>
      <c r="E157" s="110"/>
    </row>
    <row r="158" spans="2:5" ht="15.75">
      <c r="B158" s="337" t="s">
        <v>741</v>
      </c>
      <c r="C158" s="298"/>
      <c r="D158" s="298"/>
      <c r="E158" s="298"/>
    </row>
    <row r="159" spans="2:5" ht="15.75">
      <c r="B159" s="337" t="s">
        <v>742</v>
      </c>
      <c r="C159" s="298"/>
      <c r="D159" s="298"/>
      <c r="E159" s="298"/>
    </row>
    <row r="160" spans="2:5" ht="15.75">
      <c r="B160" s="337" t="s">
        <v>743</v>
      </c>
      <c r="C160" s="298"/>
      <c r="D160" s="298"/>
      <c r="E160" s="298"/>
    </row>
    <row r="161" spans="2:5" ht="15.75">
      <c r="B161" s="337" t="s">
        <v>744</v>
      </c>
      <c r="C161" s="298"/>
      <c r="D161" s="298"/>
      <c r="E161" s="298"/>
    </row>
    <row r="162" spans="2:5" ht="15.75">
      <c r="B162" s="186" t="s">
        <v>695</v>
      </c>
      <c r="C162" s="312">
        <f>SUM(C158:C161)</f>
        <v>0</v>
      </c>
      <c r="D162" s="312">
        <f>SUM(D158:D161)</f>
        <v>0</v>
      </c>
      <c r="E162" s="312">
        <f>SUM(E158:E161)</f>
        <v>0</v>
      </c>
    </row>
    <row r="163" spans="2:5" ht="15.75">
      <c r="B163" s="336"/>
      <c r="C163" s="110"/>
      <c r="D163" s="110"/>
      <c r="E163" s="110"/>
    </row>
    <row r="164" spans="2:5" ht="15.75">
      <c r="B164" s="337" t="s">
        <v>741</v>
      </c>
      <c r="C164" s="298"/>
      <c r="D164" s="298"/>
      <c r="E164" s="298"/>
    </row>
    <row r="165" spans="2:5" ht="15.75">
      <c r="B165" s="337" t="s">
        <v>742</v>
      </c>
      <c r="C165" s="298"/>
      <c r="D165" s="298"/>
      <c r="E165" s="298"/>
    </row>
    <row r="166" spans="2:5" ht="15.75">
      <c r="B166" s="337" t="s">
        <v>743</v>
      </c>
      <c r="C166" s="298"/>
      <c r="D166" s="298"/>
      <c r="E166" s="298"/>
    </row>
    <row r="167" spans="2:5" ht="15.75">
      <c r="B167" s="337" t="s">
        <v>744</v>
      </c>
      <c r="C167" s="298"/>
      <c r="D167" s="298"/>
      <c r="E167" s="298"/>
    </row>
    <row r="168" spans="2:5" ht="15.75">
      <c r="B168" s="186" t="s">
        <v>695</v>
      </c>
      <c r="C168" s="312">
        <f>SUM(C164:C167)</f>
        <v>0</v>
      </c>
      <c r="D168" s="312">
        <f>SUM(D164:D167)</f>
        <v>0</v>
      </c>
      <c r="E168" s="312">
        <f>SUM(E164:E167)</f>
        <v>0</v>
      </c>
    </row>
    <row r="169" spans="2:5" ht="15.75">
      <c r="B169" s="336"/>
      <c r="C169" s="110"/>
      <c r="D169" s="110"/>
      <c r="E169" s="110"/>
    </row>
    <row r="170" spans="2:5" ht="15.75">
      <c r="B170" s="337" t="s">
        <v>741</v>
      </c>
      <c r="C170" s="298"/>
      <c r="D170" s="298"/>
      <c r="E170" s="298"/>
    </row>
    <row r="171" spans="2:5" ht="15.75">
      <c r="B171" s="337" t="s">
        <v>742</v>
      </c>
      <c r="C171" s="298"/>
      <c r="D171" s="298"/>
      <c r="E171" s="298"/>
    </row>
    <row r="172" spans="2:5" ht="15.75">
      <c r="B172" s="337" t="s">
        <v>743</v>
      </c>
      <c r="C172" s="298"/>
      <c r="D172" s="298"/>
      <c r="E172" s="298"/>
    </row>
    <row r="173" spans="2:5" ht="15.75">
      <c r="B173" s="337" t="s">
        <v>744</v>
      </c>
      <c r="C173" s="298"/>
      <c r="D173" s="298"/>
      <c r="E173" s="298"/>
    </row>
    <row r="174" spans="2:5" ht="15.75">
      <c r="B174" s="186" t="s">
        <v>695</v>
      </c>
      <c r="C174" s="312">
        <f>SUM(C170:C173)</f>
        <v>0</v>
      </c>
      <c r="D174" s="312">
        <f>SUM(D170:D173)</f>
        <v>0</v>
      </c>
      <c r="E174" s="312">
        <f>SUM(E170:E173)</f>
        <v>0</v>
      </c>
    </row>
    <row r="175" spans="2:5" ht="15.75">
      <c r="B175" s="186"/>
      <c r="C175" s="110"/>
      <c r="D175" s="110"/>
      <c r="E175" s="110"/>
    </row>
    <row r="176" spans="2:5" ht="15.75">
      <c r="B176" s="186" t="s">
        <v>880</v>
      </c>
      <c r="C176" s="303">
        <f>C132+C138+C144+C150+C156+C162+C168+C174</f>
        <v>0</v>
      </c>
      <c r="D176" s="303">
        <f>D132+D138+D144+D150+D156+D162+D168+D174</f>
        <v>0</v>
      </c>
      <c r="E176" s="303">
        <f>E132+E138+E144+E150+E156+E162+E168+E174</f>
        <v>0</v>
      </c>
    </row>
    <row r="177" spans="2:5" ht="15.75">
      <c r="B177" s="67"/>
      <c r="C177" s="200"/>
      <c r="D177" s="200"/>
      <c r="E177" s="200"/>
    </row>
    <row r="178" spans="2:5" ht="15.75">
      <c r="B178" s="725" t="s">
        <v>183</v>
      </c>
      <c r="C178" s="725"/>
      <c r="D178" s="725"/>
      <c r="E178" s="725"/>
    </row>
    <row r="179" spans="2:5" ht="15.75">
      <c r="B179" s="200" t="str">
        <f>inputPrYr!C3</f>
        <v>Russell County</v>
      </c>
      <c r="C179" s="200"/>
      <c r="D179" s="66"/>
      <c r="E179" s="339">
        <f>E1</f>
        <v>2013</v>
      </c>
    </row>
    <row r="180" spans="2:5" ht="15.75">
      <c r="B180" s="67"/>
      <c r="C180" s="200"/>
      <c r="D180" s="200"/>
      <c r="E180" s="66"/>
    </row>
    <row r="181" spans="2:5" ht="15.75">
      <c r="B181" s="304" t="s">
        <v>807</v>
      </c>
      <c r="C181" s="145"/>
      <c r="D181" s="145"/>
      <c r="E181" s="145"/>
    </row>
    <row r="182" spans="2:5" ht="15.75">
      <c r="B182" s="67" t="s">
        <v>723</v>
      </c>
      <c r="C182" s="506" t="str">
        <f aca="true" t="shared" si="2" ref="C182:E183">C4</f>
        <v>Prior Year </v>
      </c>
      <c r="D182" s="507" t="str">
        <f t="shared" si="2"/>
        <v>Current Year </v>
      </c>
      <c r="E182" s="507" t="str">
        <f t="shared" si="2"/>
        <v>Proposed Budget </v>
      </c>
    </row>
    <row r="183" spans="2:5" ht="15.75">
      <c r="B183" s="96" t="s">
        <v>740</v>
      </c>
      <c r="C183" s="306" t="str">
        <f t="shared" si="2"/>
        <v>Actual for 2011</v>
      </c>
      <c r="D183" s="306" t="str">
        <f t="shared" si="2"/>
        <v>Estimate for 2012</v>
      </c>
      <c r="E183" s="306" t="str">
        <f t="shared" si="2"/>
        <v>Year for 2013</v>
      </c>
    </row>
    <row r="184" spans="2:5" ht="15.75">
      <c r="B184" s="186" t="s">
        <v>736</v>
      </c>
      <c r="C184" s="110"/>
      <c r="D184" s="110"/>
      <c r="E184" s="110"/>
    </row>
    <row r="185" spans="2:5" ht="15.75">
      <c r="B185" s="336"/>
      <c r="C185" s="110"/>
      <c r="D185" s="110"/>
      <c r="E185" s="110"/>
    </row>
    <row r="186" spans="2:5" ht="15.75">
      <c r="B186" s="337" t="s">
        <v>741</v>
      </c>
      <c r="C186" s="298"/>
      <c r="D186" s="298"/>
      <c r="E186" s="298"/>
    </row>
    <row r="187" spans="2:5" ht="15.75">
      <c r="B187" s="337" t="s">
        <v>742</v>
      </c>
      <c r="C187" s="298"/>
      <c r="D187" s="298"/>
      <c r="E187" s="298"/>
    </row>
    <row r="188" spans="2:5" ht="15.75">
      <c r="B188" s="337" t="s">
        <v>743</v>
      </c>
      <c r="C188" s="298"/>
      <c r="D188" s="298"/>
      <c r="E188" s="298"/>
    </row>
    <row r="189" spans="2:5" ht="15.75">
      <c r="B189" s="337" t="s">
        <v>744</v>
      </c>
      <c r="C189" s="298"/>
      <c r="D189" s="298"/>
      <c r="E189" s="298"/>
    </row>
    <row r="190" spans="2:5" ht="15.75">
      <c r="B190" s="186" t="s">
        <v>695</v>
      </c>
      <c r="C190" s="312">
        <f>SUM(C186:C189)</f>
        <v>0</v>
      </c>
      <c r="D190" s="312">
        <f>SUM(D186:D189)</f>
        <v>0</v>
      </c>
      <c r="E190" s="312">
        <f>SUM(E186:E189)</f>
        <v>0</v>
      </c>
    </row>
    <row r="191" spans="2:5" ht="15.75">
      <c r="B191" s="336"/>
      <c r="C191" s="110"/>
      <c r="D191" s="110"/>
      <c r="E191" s="110"/>
    </row>
    <row r="192" spans="2:5" ht="15.75">
      <c r="B192" s="337" t="s">
        <v>741</v>
      </c>
      <c r="C192" s="298"/>
      <c r="D192" s="298"/>
      <c r="E192" s="298"/>
    </row>
    <row r="193" spans="2:5" ht="15.75">
      <c r="B193" s="337" t="s">
        <v>742</v>
      </c>
      <c r="C193" s="298"/>
      <c r="D193" s="298"/>
      <c r="E193" s="298"/>
    </row>
    <row r="194" spans="2:5" ht="15.75">
      <c r="B194" s="337" t="s">
        <v>743</v>
      </c>
      <c r="C194" s="298"/>
      <c r="D194" s="298"/>
      <c r="E194" s="298"/>
    </row>
    <row r="195" spans="2:5" ht="15.75">
      <c r="B195" s="337" t="s">
        <v>744</v>
      </c>
      <c r="C195" s="298"/>
      <c r="D195" s="298"/>
      <c r="E195" s="298"/>
    </row>
    <row r="196" spans="2:5" ht="15.75">
      <c r="B196" s="186" t="s">
        <v>695</v>
      </c>
      <c r="C196" s="312">
        <f>SUM(C192:C195)</f>
        <v>0</v>
      </c>
      <c r="D196" s="312">
        <f>SUM(D192:D195)</f>
        <v>0</v>
      </c>
      <c r="E196" s="312">
        <f>SUM(E192:E195)</f>
        <v>0</v>
      </c>
    </row>
    <row r="197" spans="2:5" ht="15.75">
      <c r="B197" s="336"/>
      <c r="C197" s="110"/>
      <c r="D197" s="110"/>
      <c r="E197" s="110"/>
    </row>
    <row r="198" spans="2:5" ht="15.75">
      <c r="B198" s="337" t="s">
        <v>741</v>
      </c>
      <c r="C198" s="298"/>
      <c r="D198" s="298"/>
      <c r="E198" s="298"/>
    </row>
    <row r="199" spans="2:5" ht="15.75">
      <c r="B199" s="337" t="s">
        <v>742</v>
      </c>
      <c r="C199" s="298"/>
      <c r="D199" s="298"/>
      <c r="E199" s="298"/>
    </row>
    <row r="200" spans="2:5" ht="15.75">
      <c r="B200" s="337" t="s">
        <v>743</v>
      </c>
      <c r="C200" s="298"/>
      <c r="D200" s="298"/>
      <c r="E200" s="298"/>
    </row>
    <row r="201" spans="2:5" ht="15.75">
      <c r="B201" s="337" t="s">
        <v>744</v>
      </c>
      <c r="C201" s="298"/>
      <c r="D201" s="298"/>
      <c r="E201" s="298"/>
    </row>
    <row r="202" spans="2:5" ht="15.75">
      <c r="B202" s="186" t="s">
        <v>695</v>
      </c>
      <c r="C202" s="312">
        <f>SUM(C198:C201)</f>
        <v>0</v>
      </c>
      <c r="D202" s="312">
        <f>SUM(D198:D201)</f>
        <v>0</v>
      </c>
      <c r="E202" s="312">
        <f>SUM(E198:E201)</f>
        <v>0</v>
      </c>
    </row>
    <row r="203" spans="2:5" ht="15.75">
      <c r="B203" s="336"/>
      <c r="C203" s="110"/>
      <c r="D203" s="110"/>
      <c r="E203" s="110"/>
    </row>
    <row r="204" spans="2:5" ht="15.75">
      <c r="B204" s="337" t="s">
        <v>741</v>
      </c>
      <c r="C204" s="298"/>
      <c r="D204" s="298"/>
      <c r="E204" s="298"/>
    </row>
    <row r="205" spans="2:5" ht="15.75">
      <c r="B205" s="337" t="s">
        <v>742</v>
      </c>
      <c r="C205" s="298"/>
      <c r="D205" s="298"/>
      <c r="E205" s="298"/>
    </row>
    <row r="206" spans="2:5" ht="15.75">
      <c r="B206" s="337" t="s">
        <v>743</v>
      </c>
      <c r="C206" s="298"/>
      <c r="D206" s="298"/>
      <c r="E206" s="298"/>
    </row>
    <row r="207" spans="2:5" ht="15.75">
      <c r="B207" s="337" t="s">
        <v>744</v>
      </c>
      <c r="C207" s="298"/>
      <c r="D207" s="298"/>
      <c r="E207" s="298"/>
    </row>
    <row r="208" spans="2:5" ht="15.75">
      <c r="B208" s="186" t="s">
        <v>695</v>
      </c>
      <c r="C208" s="312">
        <f>SUM(C204:C207)</f>
        <v>0</v>
      </c>
      <c r="D208" s="312">
        <f>SUM(D204:D207)</f>
        <v>0</v>
      </c>
      <c r="E208" s="312">
        <f>SUM(E204:E207)</f>
        <v>0</v>
      </c>
    </row>
    <row r="209" spans="2:5" ht="15.75">
      <c r="B209" s="336"/>
      <c r="C209" s="110"/>
      <c r="D209" s="110"/>
      <c r="E209" s="110"/>
    </row>
    <row r="210" spans="2:5" ht="15.75">
      <c r="B210" s="337" t="s">
        <v>741</v>
      </c>
      <c r="C210" s="298"/>
      <c r="D210" s="298"/>
      <c r="E210" s="298"/>
    </row>
    <row r="211" spans="2:5" ht="15.75">
      <c r="B211" s="337" t="s">
        <v>742</v>
      </c>
      <c r="C211" s="298"/>
      <c r="D211" s="298"/>
      <c r="E211" s="298"/>
    </row>
    <row r="212" spans="2:5" ht="15.75">
      <c r="B212" s="337" t="s">
        <v>743</v>
      </c>
      <c r="C212" s="298"/>
      <c r="D212" s="298"/>
      <c r="E212" s="298"/>
    </row>
    <row r="213" spans="2:5" ht="15.75">
      <c r="B213" s="337" t="s">
        <v>744</v>
      </c>
      <c r="C213" s="298"/>
      <c r="D213" s="298"/>
      <c r="E213" s="298"/>
    </row>
    <row r="214" spans="2:5" ht="15.75">
      <c r="B214" s="186" t="s">
        <v>695</v>
      </c>
      <c r="C214" s="312">
        <f>SUM(C210:C213)</f>
        <v>0</v>
      </c>
      <c r="D214" s="312">
        <f>SUM(D210:D213)</f>
        <v>0</v>
      </c>
      <c r="E214" s="312">
        <f>SUM(E210:E213)</f>
        <v>0</v>
      </c>
    </row>
    <row r="215" spans="2:5" ht="15.75">
      <c r="B215" s="336"/>
      <c r="C215" s="110"/>
      <c r="D215" s="110"/>
      <c r="E215" s="110"/>
    </row>
    <row r="216" spans="2:5" ht="15.75">
      <c r="B216" s="337" t="s">
        <v>741</v>
      </c>
      <c r="C216" s="298"/>
      <c r="D216" s="298"/>
      <c r="E216" s="298"/>
    </row>
    <row r="217" spans="2:5" ht="15.75">
      <c r="B217" s="337" t="s">
        <v>742</v>
      </c>
      <c r="C217" s="298"/>
      <c r="D217" s="298"/>
      <c r="E217" s="298"/>
    </row>
    <row r="218" spans="2:5" ht="15.75">
      <c r="B218" s="337" t="s">
        <v>743</v>
      </c>
      <c r="C218" s="298"/>
      <c r="D218" s="298"/>
      <c r="E218" s="298"/>
    </row>
    <row r="219" spans="2:5" ht="15.75">
      <c r="B219" s="337" t="s">
        <v>744</v>
      </c>
      <c r="C219" s="298"/>
      <c r="D219" s="298"/>
      <c r="E219" s="298"/>
    </row>
    <row r="220" spans="2:5" ht="15.75">
      <c r="B220" s="186" t="s">
        <v>695</v>
      </c>
      <c r="C220" s="312">
        <f>SUM(C216:C219)</f>
        <v>0</v>
      </c>
      <c r="D220" s="312">
        <f>SUM(D216:D219)</f>
        <v>0</v>
      </c>
      <c r="E220" s="312">
        <f>SUM(E216:E219)</f>
        <v>0</v>
      </c>
    </row>
    <row r="221" spans="2:5" ht="15.75">
      <c r="B221" s="336"/>
      <c r="C221" s="110"/>
      <c r="D221" s="110"/>
      <c r="E221" s="110"/>
    </row>
    <row r="222" spans="2:5" ht="15.75">
      <c r="B222" s="337" t="s">
        <v>741</v>
      </c>
      <c r="C222" s="298"/>
      <c r="D222" s="298"/>
      <c r="E222" s="298"/>
    </row>
    <row r="223" spans="2:5" ht="15.75">
      <c r="B223" s="337" t="s">
        <v>742</v>
      </c>
      <c r="C223" s="298"/>
      <c r="D223" s="298"/>
      <c r="E223" s="298"/>
    </row>
    <row r="224" spans="2:5" ht="15.75">
      <c r="B224" s="337" t="s">
        <v>743</v>
      </c>
      <c r="C224" s="298"/>
      <c r="D224" s="298"/>
      <c r="E224" s="298"/>
    </row>
    <row r="225" spans="2:5" ht="15.75">
      <c r="B225" s="337" t="s">
        <v>744</v>
      </c>
      <c r="C225" s="298"/>
      <c r="D225" s="298"/>
      <c r="E225" s="298"/>
    </row>
    <row r="226" spans="2:5" ht="15.75">
      <c r="B226" s="186" t="s">
        <v>695</v>
      </c>
      <c r="C226" s="312">
        <f>SUM(C222:C225)</f>
        <v>0</v>
      </c>
      <c r="D226" s="312">
        <f>SUM(D222:D225)</f>
        <v>0</v>
      </c>
      <c r="E226" s="312">
        <f>SUM(E222:E225)</f>
        <v>0</v>
      </c>
    </row>
    <row r="227" spans="2:5" ht="15.75">
      <c r="B227" s="336"/>
      <c r="C227" s="110"/>
      <c r="D227" s="110"/>
      <c r="E227" s="110"/>
    </row>
    <row r="228" spans="2:5" ht="15.75">
      <c r="B228" s="337" t="s">
        <v>741</v>
      </c>
      <c r="C228" s="298"/>
      <c r="D228" s="298"/>
      <c r="E228" s="298"/>
    </row>
    <row r="229" spans="2:5" ht="15.75">
      <c r="B229" s="337" t="s">
        <v>742</v>
      </c>
      <c r="C229" s="298"/>
      <c r="D229" s="298"/>
      <c r="E229" s="298"/>
    </row>
    <row r="230" spans="2:5" ht="15.75">
      <c r="B230" s="337" t="s">
        <v>743</v>
      </c>
      <c r="C230" s="298"/>
      <c r="D230" s="298"/>
      <c r="E230" s="298"/>
    </row>
    <row r="231" spans="2:5" ht="15.75">
      <c r="B231" s="337" t="s">
        <v>744</v>
      </c>
      <c r="C231" s="298"/>
      <c r="D231" s="298"/>
      <c r="E231" s="298"/>
    </row>
    <row r="232" spans="2:5" ht="15.75">
      <c r="B232" s="186" t="s">
        <v>695</v>
      </c>
      <c r="C232" s="312">
        <f>SUM(C228:C231)</f>
        <v>0</v>
      </c>
      <c r="D232" s="312">
        <f>SUM(D228:D231)</f>
        <v>0</v>
      </c>
      <c r="E232" s="312">
        <f>SUM(E228:E231)</f>
        <v>0</v>
      </c>
    </row>
    <row r="233" spans="2:5" ht="15.75">
      <c r="B233" s="336"/>
      <c r="C233" s="110"/>
      <c r="D233" s="110"/>
      <c r="E233" s="110"/>
    </row>
    <row r="234" spans="2:5" ht="15.75">
      <c r="B234" s="337" t="s">
        <v>22</v>
      </c>
      <c r="C234" s="298"/>
      <c r="D234" s="298"/>
      <c r="E234" s="298"/>
    </row>
    <row r="235" spans="2:5" ht="15.75">
      <c r="B235" s="337" t="s">
        <v>742</v>
      </c>
      <c r="C235" s="298"/>
      <c r="D235" s="298"/>
      <c r="E235" s="298"/>
    </row>
    <row r="236" spans="2:5" ht="15.75">
      <c r="B236" s="337" t="s">
        <v>743</v>
      </c>
      <c r="C236" s="298"/>
      <c r="D236" s="298"/>
      <c r="E236" s="298"/>
    </row>
    <row r="237" spans="2:5" ht="15.75">
      <c r="B237" s="337" t="s">
        <v>744</v>
      </c>
      <c r="C237" s="298"/>
      <c r="D237" s="298"/>
      <c r="E237" s="298"/>
    </row>
    <row r="238" spans="2:5" ht="15.75">
      <c r="B238" s="186" t="s">
        <v>695</v>
      </c>
      <c r="C238" s="312">
        <f>SUM(C234:C237)</f>
        <v>0</v>
      </c>
      <c r="D238" s="312">
        <f>SUM(D234:D237)</f>
        <v>0</v>
      </c>
      <c r="E238" s="312">
        <f>SUM(E234:E237)</f>
        <v>0</v>
      </c>
    </row>
    <row r="239" spans="2:5" ht="15.75">
      <c r="B239" s="186"/>
      <c r="C239" s="110"/>
      <c r="D239" s="110"/>
      <c r="E239" s="110"/>
    </row>
    <row r="240" spans="2:5" ht="15.75">
      <c r="B240" s="186" t="s">
        <v>881</v>
      </c>
      <c r="C240" s="303">
        <f>C190+C196+C202+C208+C214+C220+C222+C232+C238</f>
        <v>0</v>
      </c>
      <c r="D240" s="303">
        <f>D190+D196+D202+D208+D214+D220+D222+D232+D238</f>
        <v>0</v>
      </c>
      <c r="E240" s="303">
        <f>E190+E196+E202+E208+E214+E220+E222+E232+E238</f>
        <v>0</v>
      </c>
    </row>
    <row r="241" spans="2:5" ht="15.75">
      <c r="B241" s="67"/>
      <c r="C241" s="200"/>
      <c r="D241" s="200"/>
      <c r="E241" s="200"/>
    </row>
    <row r="242" spans="2:5" ht="15.75">
      <c r="B242" s="725" t="s">
        <v>182</v>
      </c>
      <c r="C242" s="725"/>
      <c r="D242" s="725"/>
      <c r="E242" s="725"/>
    </row>
    <row r="243" spans="2:5" ht="15.75">
      <c r="B243" s="200" t="str">
        <f>inputPrYr!C3</f>
        <v>Russell County</v>
      </c>
      <c r="C243" s="200"/>
      <c r="D243" s="66"/>
      <c r="E243" s="339">
        <f>E1</f>
        <v>2013</v>
      </c>
    </row>
    <row r="244" spans="2:5" ht="15.75">
      <c r="B244" s="67"/>
      <c r="C244" s="200"/>
      <c r="D244" s="200"/>
      <c r="E244" s="66"/>
    </row>
    <row r="245" spans="2:5" ht="15.75">
      <c r="B245" s="304" t="s">
        <v>807</v>
      </c>
      <c r="C245" s="145"/>
      <c r="D245" s="145"/>
      <c r="E245" s="145"/>
    </row>
    <row r="246" spans="2:5" ht="15.75">
      <c r="B246" s="67" t="s">
        <v>723</v>
      </c>
      <c r="C246" s="506" t="str">
        <f aca="true" t="shared" si="3" ref="C246:E247">C4</f>
        <v>Prior Year </v>
      </c>
      <c r="D246" s="507" t="str">
        <f t="shared" si="3"/>
        <v>Current Year </v>
      </c>
      <c r="E246" s="507" t="str">
        <f t="shared" si="3"/>
        <v>Proposed Budget </v>
      </c>
    </row>
    <row r="247" spans="2:5" ht="15.75">
      <c r="B247" s="96" t="s">
        <v>740</v>
      </c>
      <c r="C247" s="306" t="str">
        <f t="shared" si="3"/>
        <v>Actual for 2011</v>
      </c>
      <c r="D247" s="306" t="str">
        <f t="shared" si="3"/>
        <v>Estimate for 2012</v>
      </c>
      <c r="E247" s="306" t="str">
        <f t="shared" si="3"/>
        <v>Year for 2013</v>
      </c>
    </row>
    <row r="248" spans="2:5" ht="15.75">
      <c r="B248" s="256" t="s">
        <v>736</v>
      </c>
      <c r="C248" s="110"/>
      <c r="D248" s="110"/>
      <c r="E248" s="110"/>
    </row>
    <row r="249" spans="2:5" ht="15.75">
      <c r="B249" s="336"/>
      <c r="C249" s="110"/>
      <c r="D249" s="110"/>
      <c r="E249" s="110"/>
    </row>
    <row r="250" spans="2:5" ht="15.75">
      <c r="B250" s="337" t="s">
        <v>741</v>
      </c>
      <c r="C250" s="298"/>
      <c r="D250" s="298"/>
      <c r="E250" s="298"/>
    </row>
    <row r="251" spans="2:5" ht="15.75">
      <c r="B251" s="337" t="s">
        <v>742</v>
      </c>
      <c r="C251" s="298"/>
      <c r="D251" s="298"/>
      <c r="E251" s="298"/>
    </row>
    <row r="252" spans="2:5" ht="15.75">
      <c r="B252" s="337" t="s">
        <v>743</v>
      </c>
      <c r="C252" s="298"/>
      <c r="D252" s="298"/>
      <c r="E252" s="298"/>
    </row>
    <row r="253" spans="2:5" ht="15.75">
      <c r="B253" s="337" t="s">
        <v>744</v>
      </c>
      <c r="C253" s="298"/>
      <c r="D253" s="298"/>
      <c r="E253" s="298"/>
    </row>
    <row r="254" spans="2:5" ht="15.75">
      <c r="B254" s="186" t="s">
        <v>695</v>
      </c>
      <c r="C254" s="312">
        <f>SUM(C250:C253)</f>
        <v>0</v>
      </c>
      <c r="D254" s="312">
        <f>SUM(D250:D253)</f>
        <v>0</v>
      </c>
      <c r="E254" s="312">
        <f>SUM(E250:E253)</f>
        <v>0</v>
      </c>
    </row>
    <row r="255" spans="2:5" ht="15.75">
      <c r="B255" s="336"/>
      <c r="C255" s="110"/>
      <c r="D255" s="110"/>
      <c r="E255" s="110"/>
    </row>
    <row r="256" spans="2:5" ht="15.75">
      <c r="B256" s="337" t="s">
        <v>741</v>
      </c>
      <c r="C256" s="298"/>
      <c r="D256" s="298"/>
      <c r="E256" s="298"/>
    </row>
    <row r="257" spans="2:5" ht="15.75">
      <c r="B257" s="337" t="s">
        <v>742</v>
      </c>
      <c r="C257" s="298"/>
      <c r="D257" s="298"/>
      <c r="E257" s="298"/>
    </row>
    <row r="258" spans="2:5" ht="15.75">
      <c r="B258" s="337" t="s">
        <v>743</v>
      </c>
      <c r="C258" s="298"/>
      <c r="D258" s="298"/>
      <c r="E258" s="298"/>
    </row>
    <row r="259" spans="2:5" ht="15.75">
      <c r="B259" s="337" t="s">
        <v>744</v>
      </c>
      <c r="C259" s="298"/>
      <c r="D259" s="298"/>
      <c r="E259" s="298"/>
    </row>
    <row r="260" spans="2:5" ht="15.75">
      <c r="B260" s="186" t="s">
        <v>695</v>
      </c>
      <c r="C260" s="312">
        <f>SUM(C256:C259)</f>
        <v>0</v>
      </c>
      <c r="D260" s="312">
        <f>SUM(D256:D259)</f>
        <v>0</v>
      </c>
      <c r="E260" s="312">
        <f>SUM(E256:E259)</f>
        <v>0</v>
      </c>
    </row>
    <row r="261" spans="2:5" ht="15.75">
      <c r="B261" s="336"/>
      <c r="C261" s="110"/>
      <c r="D261" s="110"/>
      <c r="E261" s="110"/>
    </row>
    <row r="262" spans="2:5" ht="15.75">
      <c r="B262" s="337" t="s">
        <v>741</v>
      </c>
      <c r="C262" s="298"/>
      <c r="D262" s="298"/>
      <c r="E262" s="298"/>
    </row>
    <row r="263" spans="2:5" ht="15.75">
      <c r="B263" s="337" t="s">
        <v>742</v>
      </c>
      <c r="C263" s="298"/>
      <c r="D263" s="298"/>
      <c r="E263" s="298"/>
    </row>
    <row r="264" spans="2:5" ht="15.75">
      <c r="B264" s="337" t="s">
        <v>743</v>
      </c>
      <c r="C264" s="298"/>
      <c r="D264" s="298"/>
      <c r="E264" s="298"/>
    </row>
    <row r="265" spans="2:5" ht="15.75">
      <c r="B265" s="337" t="s">
        <v>744</v>
      </c>
      <c r="C265" s="298"/>
      <c r="D265" s="298"/>
      <c r="E265" s="298"/>
    </row>
    <row r="266" spans="2:5" ht="15.75">
      <c r="B266" s="186" t="s">
        <v>695</v>
      </c>
      <c r="C266" s="312">
        <f>SUM(C262:C265)</f>
        <v>0</v>
      </c>
      <c r="D266" s="312">
        <f>SUM(D262:D265)</f>
        <v>0</v>
      </c>
      <c r="E266" s="312">
        <f>SUM(E262:E265)</f>
        <v>0</v>
      </c>
    </row>
    <row r="267" spans="2:5" ht="15.75">
      <c r="B267" s="336"/>
      <c r="C267" s="110"/>
      <c r="D267" s="110"/>
      <c r="E267" s="110"/>
    </row>
    <row r="268" spans="2:5" ht="15.75">
      <c r="B268" s="337" t="s">
        <v>741</v>
      </c>
      <c r="C268" s="298"/>
      <c r="D268" s="298"/>
      <c r="E268" s="298"/>
    </row>
    <row r="269" spans="2:5" ht="15.75">
      <c r="B269" s="337" t="s">
        <v>742</v>
      </c>
      <c r="C269" s="298"/>
      <c r="D269" s="298"/>
      <c r="E269" s="298"/>
    </row>
    <row r="270" spans="2:5" ht="15.75">
      <c r="B270" s="337" t="s">
        <v>743</v>
      </c>
      <c r="C270" s="298"/>
      <c r="D270" s="298"/>
      <c r="E270" s="298"/>
    </row>
    <row r="271" spans="2:5" ht="15.75">
      <c r="B271" s="337" t="s">
        <v>744</v>
      </c>
      <c r="C271" s="298"/>
      <c r="D271" s="298"/>
      <c r="E271" s="298"/>
    </row>
    <row r="272" spans="2:5" ht="15.75">
      <c r="B272" s="186" t="s">
        <v>695</v>
      </c>
      <c r="C272" s="312">
        <f>SUM(C268:C271)</f>
        <v>0</v>
      </c>
      <c r="D272" s="312">
        <f>SUM(D268:D271)</f>
        <v>0</v>
      </c>
      <c r="E272" s="312">
        <f>SUM(E268:E271)</f>
        <v>0</v>
      </c>
    </row>
    <row r="273" spans="2:5" ht="15.75">
      <c r="B273" s="336"/>
      <c r="C273" s="110"/>
      <c r="D273" s="110"/>
      <c r="E273" s="110"/>
    </row>
    <row r="274" spans="2:5" ht="15.75">
      <c r="B274" s="337" t="s">
        <v>742</v>
      </c>
      <c r="C274" s="298"/>
      <c r="D274" s="298"/>
      <c r="E274" s="298"/>
    </row>
    <row r="275" spans="2:5" ht="15.75">
      <c r="B275" s="337" t="s">
        <v>760</v>
      </c>
      <c r="C275" s="298"/>
      <c r="D275" s="298"/>
      <c r="E275" s="298"/>
    </row>
    <row r="276" spans="2:5" ht="15.75">
      <c r="B276" s="186" t="s">
        <v>695</v>
      </c>
      <c r="C276" s="312">
        <f>SUM(C274:C275)</f>
        <v>0</v>
      </c>
      <c r="D276" s="312">
        <f>SUM(D274:D275)</f>
        <v>0</v>
      </c>
      <c r="E276" s="312">
        <f>SUM(E274:E275)</f>
        <v>0</v>
      </c>
    </row>
    <row r="277" spans="2:5" ht="15.75">
      <c r="B277" s="336"/>
      <c r="C277" s="110"/>
      <c r="D277" s="110"/>
      <c r="E277" s="110"/>
    </row>
    <row r="278" spans="2:5" ht="15.75">
      <c r="B278" s="337" t="s">
        <v>741</v>
      </c>
      <c r="C278" s="298"/>
      <c r="D278" s="298"/>
      <c r="E278" s="298"/>
    </row>
    <row r="279" spans="2:5" ht="15.75">
      <c r="B279" s="337" t="s">
        <v>742</v>
      </c>
      <c r="C279" s="298"/>
      <c r="D279" s="298"/>
      <c r="E279" s="298"/>
    </row>
    <row r="280" spans="2:5" ht="15.75">
      <c r="B280" s="337" t="s">
        <v>743</v>
      </c>
      <c r="C280" s="298"/>
      <c r="D280" s="298"/>
      <c r="E280" s="298"/>
    </row>
    <row r="281" spans="2:5" ht="15.75">
      <c r="B281" s="337" t="s">
        <v>744</v>
      </c>
      <c r="C281" s="298"/>
      <c r="D281" s="298"/>
      <c r="E281" s="298"/>
    </row>
    <row r="282" spans="2:5" ht="15.75">
      <c r="B282" s="186" t="s">
        <v>695</v>
      </c>
      <c r="C282" s="312">
        <f>SUM(C278:C281)</f>
        <v>0</v>
      </c>
      <c r="D282" s="312">
        <f>SUM(D278:D281)</f>
        <v>0</v>
      </c>
      <c r="E282" s="312">
        <f>SUM(E278:E281)</f>
        <v>0</v>
      </c>
    </row>
    <row r="283" spans="2:5" ht="15.75">
      <c r="B283" s="336"/>
      <c r="C283" s="110"/>
      <c r="D283" s="110"/>
      <c r="E283" s="110"/>
    </row>
    <row r="284" spans="2:5" ht="15.75">
      <c r="B284" s="337" t="s">
        <v>741</v>
      </c>
      <c r="C284" s="298"/>
      <c r="D284" s="298"/>
      <c r="E284" s="298"/>
    </row>
    <row r="285" spans="2:5" ht="15.75">
      <c r="B285" s="337" t="s">
        <v>742</v>
      </c>
      <c r="C285" s="298"/>
      <c r="D285" s="298"/>
      <c r="E285" s="298"/>
    </row>
    <row r="286" spans="2:5" ht="15.75">
      <c r="B286" s="337" t="s">
        <v>743</v>
      </c>
      <c r="C286" s="298"/>
      <c r="D286" s="298"/>
      <c r="E286" s="298"/>
    </row>
    <row r="287" spans="2:5" ht="15.75">
      <c r="B287" s="337" t="s">
        <v>744</v>
      </c>
      <c r="C287" s="298"/>
      <c r="D287" s="298"/>
      <c r="E287" s="298"/>
    </row>
    <row r="288" spans="2:5" ht="15.75">
      <c r="B288" s="296" t="s">
        <v>695</v>
      </c>
      <c r="C288" s="312">
        <f>SUM(C284:C287)</f>
        <v>0</v>
      </c>
      <c r="D288" s="312">
        <f>SUM(D284:D287)</f>
        <v>0</v>
      </c>
      <c r="E288" s="312">
        <f>SUM(E284:E287)</f>
        <v>0</v>
      </c>
    </row>
    <row r="289" spans="2:5" ht="15.75">
      <c r="B289" s="186"/>
      <c r="C289" s="110"/>
      <c r="D289" s="110"/>
      <c r="E289" s="110"/>
    </row>
    <row r="290" spans="2:5" ht="15.75">
      <c r="B290" s="186" t="s">
        <v>882</v>
      </c>
      <c r="C290" s="312">
        <f>C254+C260+C266+C272+C276+C282+C288</f>
        <v>0</v>
      </c>
      <c r="D290" s="312">
        <f>D254+D260+D266+D272+D276+D282+D288</f>
        <v>0</v>
      </c>
      <c r="E290" s="312">
        <f>E254+E260+E266+E272+E276+E282+E288</f>
        <v>0</v>
      </c>
    </row>
    <row r="291" spans="2:5" ht="15.75">
      <c r="B291" s="186"/>
      <c r="C291" s="110"/>
      <c r="D291" s="110"/>
      <c r="E291" s="110"/>
    </row>
    <row r="292" spans="2:5" ht="15.75">
      <c r="B292" s="186" t="s">
        <v>883</v>
      </c>
      <c r="C292" s="312">
        <f>C57</f>
        <v>2059150</v>
      </c>
      <c r="D292" s="312">
        <f>D57</f>
        <v>2691780</v>
      </c>
      <c r="E292" s="312">
        <f>E57</f>
        <v>2708210</v>
      </c>
    </row>
    <row r="293" spans="2:5" ht="15.75">
      <c r="B293" s="67"/>
      <c r="C293" s="110"/>
      <c r="D293" s="110"/>
      <c r="E293" s="110"/>
    </row>
    <row r="294" spans="2:5" ht="15.75">
      <c r="B294" s="186" t="s">
        <v>879</v>
      </c>
      <c r="C294" s="312">
        <f>C116</f>
        <v>1394172</v>
      </c>
      <c r="D294" s="312">
        <f>D116</f>
        <v>1859000</v>
      </c>
      <c r="E294" s="312">
        <f>E116</f>
        <v>2766000</v>
      </c>
    </row>
    <row r="295" spans="2:5" ht="15.75">
      <c r="B295" s="67"/>
      <c r="C295" s="110"/>
      <c r="D295" s="110"/>
      <c r="E295" s="110"/>
    </row>
    <row r="296" spans="2:5" ht="15.75">
      <c r="B296" s="186" t="s">
        <v>880</v>
      </c>
      <c r="C296" s="312">
        <f>C176</f>
        <v>0</v>
      </c>
      <c r="D296" s="312">
        <f>D176</f>
        <v>0</v>
      </c>
      <c r="E296" s="312">
        <f>E176</f>
        <v>0</v>
      </c>
    </row>
    <row r="297" spans="2:5" ht="15.75">
      <c r="B297" s="67"/>
      <c r="C297" s="110"/>
      <c r="D297" s="110"/>
      <c r="E297" s="110"/>
    </row>
    <row r="298" spans="2:5" ht="15.75">
      <c r="B298" s="186" t="s">
        <v>881</v>
      </c>
      <c r="C298" s="312">
        <f>C240</f>
        <v>0</v>
      </c>
      <c r="D298" s="312">
        <f>D240</f>
        <v>0</v>
      </c>
      <c r="E298" s="312">
        <f>E240</f>
        <v>0</v>
      </c>
    </row>
    <row r="299" spans="2:5" ht="15.75">
      <c r="B299" s="67"/>
      <c r="C299" s="110"/>
      <c r="D299" s="110"/>
      <c r="E299" s="110"/>
    </row>
    <row r="300" spans="2:5" ht="16.5" thickBot="1">
      <c r="B300" s="186" t="s">
        <v>935</v>
      </c>
      <c r="C300" s="340">
        <f>SUM(C290:C299)</f>
        <v>3453322</v>
      </c>
      <c r="D300" s="340">
        <f>SUM(D290:D299)</f>
        <v>4550780</v>
      </c>
      <c r="E300" s="340">
        <f>SUM(E290:E299)</f>
        <v>5474210</v>
      </c>
    </row>
    <row r="301" spans="2:5" ht="16.5" thickTop="1">
      <c r="B301" s="341" t="s">
        <v>934</v>
      </c>
      <c r="C301" s="342"/>
      <c r="D301" s="342"/>
      <c r="E301" s="125"/>
    </row>
    <row r="302" spans="2:5" ht="15.75">
      <c r="B302" s="725" t="s">
        <v>181</v>
      </c>
      <c r="C302" s="725"/>
      <c r="D302" s="725"/>
      <c r="E302" s="725"/>
    </row>
    <row r="303" spans="3:5" ht="15.75">
      <c r="C303" s="343"/>
      <c r="D303" s="343"/>
      <c r="E303" s="343"/>
    </row>
    <row r="304" spans="3:5" ht="15.75">
      <c r="C304" s="343"/>
      <c r="D304" s="343"/>
      <c r="E304" s="343"/>
    </row>
    <row r="305" spans="3:5" ht="15.75">
      <c r="C305" s="343"/>
      <c r="D305" s="343"/>
      <c r="E305" s="343"/>
    </row>
    <row r="306" spans="3:5" ht="15.75">
      <c r="C306" s="343"/>
      <c r="D306" s="343"/>
      <c r="E306" s="343"/>
    </row>
    <row r="307" spans="3:5" ht="15.75">
      <c r="C307" s="343"/>
      <c r="D307" s="343"/>
      <c r="E307" s="343"/>
    </row>
    <row r="308" spans="3:5" ht="15.75">
      <c r="C308" s="343"/>
      <c r="D308" s="343"/>
      <c r="E308" s="343"/>
    </row>
    <row r="309" spans="3:5" ht="15.75">
      <c r="C309" s="343"/>
      <c r="D309" s="343"/>
      <c r="E309" s="343"/>
    </row>
    <row r="310" spans="3:5" ht="15.75">
      <c r="C310" s="343"/>
      <c r="D310" s="343"/>
      <c r="E310" s="343"/>
    </row>
    <row r="311" spans="3:5" ht="15.75">
      <c r="C311" s="343"/>
      <c r="D311" s="343"/>
      <c r="E311" s="343"/>
    </row>
    <row r="312" spans="3:5" ht="15.75">
      <c r="C312" s="343"/>
      <c r="D312" s="343"/>
      <c r="E312" s="343"/>
    </row>
    <row r="313" spans="3:5" ht="15.75">
      <c r="C313" s="343"/>
      <c r="D313" s="343"/>
      <c r="E313" s="343"/>
    </row>
    <row r="314" spans="3:5" ht="15.75">
      <c r="C314" s="343"/>
      <c r="D314" s="343"/>
      <c r="E314" s="343"/>
    </row>
    <row r="315" spans="3:5" ht="15.75">
      <c r="C315" s="343"/>
      <c r="D315" s="343"/>
      <c r="E315" s="343"/>
    </row>
    <row r="316" spans="3:5" ht="15.75">
      <c r="C316" s="343"/>
      <c r="D316" s="343"/>
      <c r="E316" s="343"/>
    </row>
    <row r="317" spans="3:5" ht="15.75">
      <c r="C317" s="343"/>
      <c r="D317" s="343"/>
      <c r="E317" s="343"/>
    </row>
    <row r="318" spans="3:5" ht="15.75">
      <c r="C318" s="343"/>
      <c r="D318" s="343"/>
      <c r="E318" s="343"/>
    </row>
    <row r="319" spans="3:5" ht="15.75">
      <c r="C319" s="343"/>
      <c r="D319" s="343"/>
      <c r="E319" s="343"/>
    </row>
    <row r="320" spans="3:5" ht="15.75">
      <c r="C320" s="343"/>
      <c r="D320" s="343"/>
      <c r="E320" s="343"/>
    </row>
    <row r="321" spans="3:5" ht="15.75">
      <c r="C321" s="343"/>
      <c r="D321" s="343"/>
      <c r="E321" s="343"/>
    </row>
    <row r="322" spans="3:5" ht="15.75">
      <c r="C322" s="343"/>
      <c r="D322" s="343"/>
      <c r="E322" s="343"/>
    </row>
    <row r="323" spans="3:5" ht="15.75">
      <c r="C323" s="343"/>
      <c r="D323" s="343"/>
      <c r="E323" s="343"/>
    </row>
    <row r="324" spans="3:5" ht="15.75">
      <c r="C324" s="343"/>
      <c r="D324" s="343"/>
      <c r="E324" s="343"/>
    </row>
    <row r="325" spans="3:5" ht="15.75">
      <c r="C325" s="343"/>
      <c r="D325" s="343"/>
      <c r="E325" s="343"/>
    </row>
    <row r="326" spans="3:5" ht="15.75">
      <c r="C326" s="343"/>
      <c r="D326" s="343"/>
      <c r="E326" s="343"/>
    </row>
    <row r="327" spans="3:5" ht="15.75">
      <c r="C327" s="343"/>
      <c r="D327" s="343"/>
      <c r="E327" s="343"/>
    </row>
    <row r="328" spans="3:5" ht="15.75">
      <c r="C328" s="343"/>
      <c r="D328" s="343"/>
      <c r="E328" s="343"/>
    </row>
    <row r="329" spans="3:5" ht="15.75">
      <c r="C329" s="343"/>
      <c r="D329" s="343"/>
      <c r="E329" s="343"/>
    </row>
    <row r="330" spans="3:5" ht="15.75">
      <c r="C330" s="343"/>
      <c r="D330" s="343"/>
      <c r="E330" s="343"/>
    </row>
    <row r="331" spans="3:5" ht="15.75">
      <c r="C331" s="343"/>
      <c r="D331" s="343"/>
      <c r="E331" s="343"/>
    </row>
    <row r="332" spans="3:5" ht="15.75">
      <c r="C332" s="343"/>
      <c r="D332" s="343"/>
      <c r="E332" s="343"/>
    </row>
    <row r="333" spans="3:5" ht="15.75">
      <c r="C333" s="343"/>
      <c r="D333" s="343"/>
      <c r="E333" s="343"/>
    </row>
    <row r="334" spans="3:5" ht="15.75">
      <c r="C334" s="343"/>
      <c r="D334" s="343"/>
      <c r="E334" s="343"/>
    </row>
    <row r="335" spans="3:5" ht="15.75">
      <c r="C335" s="343"/>
      <c r="D335" s="343"/>
      <c r="E335" s="343"/>
    </row>
    <row r="336" spans="3:5" ht="15.75">
      <c r="C336" s="343"/>
      <c r="D336" s="343"/>
      <c r="E336" s="343"/>
    </row>
    <row r="337" spans="3:5" ht="15.75">
      <c r="C337" s="343"/>
      <c r="D337" s="343"/>
      <c r="E337" s="343"/>
    </row>
    <row r="338" spans="3:5" ht="15.75">
      <c r="C338" s="343"/>
      <c r="D338" s="343"/>
      <c r="E338" s="343"/>
    </row>
    <row r="339" spans="3:5" ht="15.75">
      <c r="C339" s="343"/>
      <c r="D339" s="343"/>
      <c r="E339" s="343"/>
    </row>
    <row r="340" spans="3:5" ht="15.75">
      <c r="C340" s="343"/>
      <c r="D340" s="343"/>
      <c r="E340" s="343"/>
    </row>
    <row r="341" spans="3:5" ht="15.75">
      <c r="C341" s="343"/>
      <c r="D341" s="343"/>
      <c r="E341" s="343"/>
    </row>
    <row r="342" spans="3:5" ht="15.75">
      <c r="C342" s="343"/>
      <c r="D342" s="343"/>
      <c r="E342" s="343"/>
    </row>
    <row r="343" spans="3:5" ht="15.75">
      <c r="C343" s="343"/>
      <c r="D343" s="343"/>
      <c r="E343" s="343"/>
    </row>
    <row r="344" spans="3:5" ht="15.75">
      <c r="C344" s="343"/>
      <c r="D344" s="343"/>
      <c r="E344" s="343"/>
    </row>
    <row r="345" spans="3:5" ht="15.75">
      <c r="C345" s="343"/>
      <c r="D345" s="343"/>
      <c r="E345" s="343"/>
    </row>
    <row r="346" spans="3:5" ht="15.75">
      <c r="C346" s="343"/>
      <c r="D346" s="343"/>
      <c r="E346" s="343"/>
    </row>
    <row r="347" spans="3:5" ht="15.75">
      <c r="C347" s="343"/>
      <c r="D347" s="343"/>
      <c r="E347" s="343"/>
    </row>
    <row r="348" spans="3:5" ht="15.75">
      <c r="C348" s="343"/>
      <c r="D348" s="343"/>
      <c r="E348" s="343"/>
    </row>
    <row r="349" spans="3:5" ht="15.75">
      <c r="C349" s="343"/>
      <c r="D349" s="343"/>
      <c r="E349" s="343"/>
    </row>
    <row r="350" spans="3:5" ht="15.75">
      <c r="C350" s="343"/>
      <c r="D350" s="343"/>
      <c r="E350" s="343"/>
    </row>
    <row r="351" spans="3:5" ht="15.75">
      <c r="C351" s="343"/>
      <c r="D351" s="343"/>
      <c r="E351" s="343"/>
    </row>
    <row r="352" spans="3:5" ht="15.75">
      <c r="C352" s="343"/>
      <c r="D352" s="343"/>
      <c r="E352" s="343"/>
    </row>
    <row r="353" spans="3:5" ht="15.75">
      <c r="C353" s="343"/>
      <c r="D353" s="343"/>
      <c r="E353" s="343"/>
    </row>
    <row r="354" spans="3:5" ht="15.75">
      <c r="C354" s="343"/>
      <c r="D354" s="343"/>
      <c r="E354" s="343"/>
    </row>
    <row r="355" spans="3:5" ht="15.75">
      <c r="C355" s="343"/>
      <c r="D355" s="343"/>
      <c r="E355" s="343"/>
    </row>
    <row r="356" spans="3:5" ht="15.75">
      <c r="C356" s="343"/>
      <c r="D356" s="343"/>
      <c r="E356" s="343"/>
    </row>
    <row r="357" spans="3:5" ht="15.75">
      <c r="C357" s="343"/>
      <c r="D357" s="343"/>
      <c r="E357" s="343"/>
    </row>
    <row r="358" spans="3:5" ht="15.75">
      <c r="C358" s="343"/>
      <c r="D358" s="343"/>
      <c r="E358" s="343"/>
    </row>
    <row r="359" spans="3:5" ht="15.75">
      <c r="C359" s="343"/>
      <c r="D359" s="343"/>
      <c r="E359" s="343"/>
    </row>
    <row r="360" spans="3:5" ht="15.75">
      <c r="C360" s="343"/>
      <c r="D360" s="343"/>
      <c r="E360" s="343"/>
    </row>
    <row r="361" spans="3:5" ht="15.75">
      <c r="C361" s="343"/>
      <c r="D361" s="343"/>
      <c r="E361" s="343"/>
    </row>
    <row r="362" spans="3:5" ht="15.75">
      <c r="C362" s="343"/>
      <c r="D362" s="343"/>
      <c r="E362" s="343"/>
    </row>
    <row r="363" spans="3:5" ht="15.75">
      <c r="C363" s="343"/>
      <c r="D363" s="343"/>
      <c r="E363" s="343"/>
    </row>
    <row r="364" spans="3:5" ht="15.75">
      <c r="C364" s="343"/>
      <c r="D364" s="343"/>
      <c r="E364" s="343"/>
    </row>
    <row r="365" spans="3:5" ht="15.75">
      <c r="C365" s="343"/>
      <c r="D365" s="343"/>
      <c r="E365" s="343"/>
    </row>
    <row r="366" spans="3:5" ht="15.75">
      <c r="C366" s="343"/>
      <c r="D366" s="343"/>
      <c r="E366" s="343"/>
    </row>
    <row r="367" spans="3:5" ht="15.75">
      <c r="C367" s="343"/>
      <c r="D367" s="343"/>
      <c r="E367" s="343"/>
    </row>
    <row r="368" spans="3:5" ht="15.75">
      <c r="C368" s="343"/>
      <c r="D368" s="343"/>
      <c r="E368" s="343"/>
    </row>
    <row r="369" spans="3:5" ht="15.75">
      <c r="C369" s="343"/>
      <c r="D369" s="343"/>
      <c r="E369" s="343"/>
    </row>
    <row r="370" spans="3:5" ht="15.75">
      <c r="C370" s="343"/>
      <c r="D370" s="343"/>
      <c r="E370" s="343"/>
    </row>
    <row r="371" spans="3:5" ht="15.75">
      <c r="C371" s="343"/>
      <c r="D371" s="343"/>
      <c r="E371" s="343"/>
    </row>
    <row r="372" spans="3:5" ht="15.75">
      <c r="C372" s="343"/>
      <c r="D372" s="343"/>
      <c r="E372" s="343"/>
    </row>
    <row r="373" spans="3:5" ht="15.75">
      <c r="C373" s="343"/>
      <c r="D373" s="343"/>
      <c r="E373" s="343"/>
    </row>
    <row r="374" spans="3:5" ht="15.75">
      <c r="C374" s="343"/>
      <c r="D374" s="343"/>
      <c r="E374" s="343"/>
    </row>
    <row r="375" spans="3:5" ht="15.75">
      <c r="C375" s="343"/>
      <c r="D375" s="343"/>
      <c r="E375" s="343"/>
    </row>
    <row r="376" spans="3:5" ht="15.75">
      <c r="C376" s="343"/>
      <c r="D376" s="343"/>
      <c r="E376" s="343"/>
    </row>
    <row r="377" spans="3:5" ht="15.75">
      <c r="C377" s="343"/>
      <c r="D377" s="343"/>
      <c r="E377" s="343"/>
    </row>
    <row r="378" spans="3:5" ht="15.75">
      <c r="C378" s="343"/>
      <c r="D378" s="343"/>
      <c r="E378" s="343"/>
    </row>
    <row r="379" spans="3:5" ht="15.75">
      <c r="C379" s="343"/>
      <c r="D379" s="343"/>
      <c r="E379" s="343"/>
    </row>
    <row r="380" spans="3:5" ht="15.75">
      <c r="C380" s="343"/>
      <c r="D380" s="343"/>
      <c r="E380" s="343"/>
    </row>
    <row r="381" spans="3:5" ht="15.75">
      <c r="C381" s="343"/>
      <c r="D381" s="343"/>
      <c r="E381" s="343"/>
    </row>
    <row r="382" spans="3:5" ht="15.75">
      <c r="C382" s="343"/>
      <c r="D382" s="343"/>
      <c r="E382" s="343"/>
    </row>
    <row r="383" spans="3:5" ht="15.75">
      <c r="C383" s="343"/>
      <c r="D383" s="343"/>
      <c r="E383" s="343"/>
    </row>
    <row r="384" spans="3:5" ht="15.75">
      <c r="C384" s="343"/>
      <c r="D384" s="343"/>
      <c r="E384" s="343"/>
    </row>
    <row r="385" spans="3:5" ht="15.75">
      <c r="C385" s="343"/>
      <c r="D385" s="343"/>
      <c r="E385" s="343"/>
    </row>
    <row r="386" spans="3:5" ht="15.75">
      <c r="C386" s="343"/>
      <c r="D386" s="343"/>
      <c r="E386" s="343"/>
    </row>
    <row r="387" spans="3:5" ht="15.75">
      <c r="C387" s="343"/>
      <c r="D387" s="343"/>
      <c r="E387" s="343"/>
    </row>
    <row r="388" spans="3:5" ht="15.75">
      <c r="C388" s="343"/>
      <c r="D388" s="343"/>
      <c r="E388" s="343"/>
    </row>
    <row r="389" spans="3:5" ht="15.75">
      <c r="C389" s="343"/>
      <c r="D389" s="343"/>
      <c r="E389" s="343"/>
    </row>
    <row r="390" spans="3:5" ht="15.75">
      <c r="C390" s="343"/>
      <c r="D390" s="343"/>
      <c r="E390" s="343"/>
    </row>
    <row r="391" spans="3:5" ht="15.75">
      <c r="C391" s="343"/>
      <c r="D391" s="343"/>
      <c r="E391" s="343"/>
    </row>
    <row r="392" spans="3:5" ht="15.75">
      <c r="C392" s="343"/>
      <c r="D392" s="343"/>
      <c r="E392" s="343"/>
    </row>
    <row r="393" spans="3:5" ht="15.75">
      <c r="C393" s="343"/>
      <c r="D393" s="343"/>
      <c r="E393" s="343"/>
    </row>
    <row r="394" spans="3:5" ht="15.75">
      <c r="C394" s="343"/>
      <c r="D394" s="343"/>
      <c r="E394" s="343"/>
    </row>
    <row r="395" spans="3:5" ht="15.75">
      <c r="C395" s="343"/>
      <c r="D395" s="343"/>
      <c r="E395" s="343"/>
    </row>
    <row r="396" spans="3:5" ht="15.75">
      <c r="C396" s="343"/>
      <c r="D396" s="343"/>
      <c r="E396" s="343"/>
    </row>
    <row r="397" spans="3:5" ht="15.75">
      <c r="C397" s="343"/>
      <c r="D397" s="343"/>
      <c r="E397" s="343"/>
    </row>
    <row r="398" spans="3:5" ht="15.75">
      <c r="C398" s="343"/>
      <c r="D398" s="343"/>
      <c r="E398" s="343"/>
    </row>
    <row r="399" spans="3:5" ht="15.75">
      <c r="C399" s="343"/>
      <c r="D399" s="343"/>
      <c r="E399" s="343"/>
    </row>
    <row r="400" spans="3:5" ht="15.75">
      <c r="C400" s="343"/>
      <c r="D400" s="343"/>
      <c r="E400" s="343"/>
    </row>
    <row r="401" spans="3:5" ht="15.75">
      <c r="C401" s="343"/>
      <c r="D401" s="343"/>
      <c r="E401" s="343"/>
    </row>
    <row r="402" spans="3:5" ht="15.75">
      <c r="C402" s="343"/>
      <c r="D402" s="343"/>
      <c r="E402" s="343"/>
    </row>
    <row r="403" spans="3:5" ht="15.75">
      <c r="C403" s="343"/>
      <c r="D403" s="343"/>
      <c r="E403" s="343"/>
    </row>
    <row r="404" spans="3:5" ht="15.75">
      <c r="C404" s="343"/>
      <c r="D404" s="343"/>
      <c r="E404" s="343"/>
    </row>
    <row r="405" spans="3:5" ht="15.75">
      <c r="C405" s="343"/>
      <c r="D405" s="343"/>
      <c r="E405" s="343"/>
    </row>
  </sheetData>
  <sheetProtection sheet="1"/>
  <mergeCells count="5">
    <mergeCell ref="B302:E302"/>
    <mergeCell ref="B59:E59"/>
    <mergeCell ref="B118:E118"/>
    <mergeCell ref="B178:E178"/>
    <mergeCell ref="B242:E242"/>
  </mergeCells>
  <printOptions/>
  <pageMargins left="1.12" right="0.5" top="0.74" bottom="0.34" header="0.5" footer="0"/>
  <pageSetup blackAndWhite="1" horizontalDpi="120" verticalDpi="120" orientation="portrait" scale="67" r:id="rId1"/>
  <headerFooter alignWithMargins="0">
    <oddHeader>&amp;RState of Kansas
County
</oddHeader>
  </headerFooter>
  <rowBreaks count="4" manualBreakCount="4">
    <brk id="59" max="255" man="1"/>
    <brk id="118" min="1" max="4" man="1"/>
    <brk id="178" max="255" man="1"/>
    <brk id="242"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A1">
      <selection activeCell="C59" sqref="C59"/>
    </sheetView>
  </sheetViews>
  <sheetFormatPr defaultColWidth="8.796875" defaultRowHeight="15"/>
  <cols>
    <col min="1" max="1" width="2.3984375" style="124" customWidth="1"/>
    <col min="2" max="2" width="31.09765625" style="124" customWidth="1"/>
    <col min="3" max="4" width="15.796875" style="124" customWidth="1"/>
    <col min="5" max="5" width="16.3984375" style="124" customWidth="1"/>
    <col min="6" max="6" width="7.59765625" style="124" customWidth="1"/>
    <col min="7" max="7" width="9.09765625" style="124" customWidth="1"/>
    <col min="8" max="8" width="8.8984375" style="124" customWidth="1"/>
    <col min="9" max="9" width="5" style="124" customWidth="1"/>
    <col min="10" max="16384" width="8.8984375" style="124" customWidth="1"/>
  </cols>
  <sheetData>
    <row r="1" spans="2:5" ht="15.75">
      <c r="B1" s="200" t="str">
        <f>inputPrYr!C3</f>
        <v>Russell County</v>
      </c>
      <c r="C1" s="67"/>
      <c r="D1" s="67"/>
      <c r="E1" s="248">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71" t="str">
        <f>inputPrYr!B17</f>
        <v>Debt Service</v>
      </c>
      <c r="C5" s="255" t="str">
        <f>CONCATENATE("Actual for ",E1-2,"")</f>
        <v>Actual for 2011</v>
      </c>
      <c r="D5" s="255" t="str">
        <f>CONCATENATE("Estimate for ",E1-1,"")</f>
        <v>Estimate for 2012</v>
      </c>
      <c r="E5" s="294" t="str">
        <f>CONCATENATE("Year for ",E1,"")</f>
        <v>Year for 2013</v>
      </c>
    </row>
    <row r="6" spans="2:5" ht="15.75">
      <c r="B6" s="153" t="s">
        <v>851</v>
      </c>
      <c r="C6" s="467">
        <v>1875</v>
      </c>
      <c r="D6" s="442">
        <f>C51</f>
        <v>1875</v>
      </c>
      <c r="E6" s="319">
        <f>D51</f>
        <v>1875</v>
      </c>
    </row>
    <row r="7" spans="2:5" ht="15.75">
      <c r="B7" s="175" t="s">
        <v>853</v>
      </c>
      <c r="C7" s="468"/>
      <c r="D7" s="442"/>
      <c r="E7" s="319"/>
    </row>
    <row r="8" spans="2:5" ht="15.75">
      <c r="B8" s="153" t="s">
        <v>724</v>
      </c>
      <c r="C8" s="469"/>
      <c r="D8" s="468">
        <f>IF(inputPrYr!H17&gt;0,inputPrYr!H17,inputPrYr!E17)</f>
        <v>0</v>
      </c>
      <c r="E8" s="321" t="s">
        <v>711</v>
      </c>
    </row>
    <row r="9" spans="2:5" ht="15.75">
      <c r="B9" s="153" t="s">
        <v>725</v>
      </c>
      <c r="C9" s="469"/>
      <c r="D9" s="469"/>
      <c r="E9" s="322"/>
    </row>
    <row r="10" spans="2:5" ht="15.75">
      <c r="B10" s="153" t="s">
        <v>726</v>
      </c>
      <c r="C10" s="469"/>
      <c r="D10" s="469"/>
      <c r="E10" s="323" t="str">
        <f>mvalloc!E11</f>
        <v> </v>
      </c>
    </row>
    <row r="11" spans="2:5" ht="15.75">
      <c r="B11" s="153" t="s">
        <v>727</v>
      </c>
      <c r="C11" s="469"/>
      <c r="D11" s="469"/>
      <c r="E11" s="323" t="str">
        <f>mvalloc!F11</f>
        <v> </v>
      </c>
    </row>
    <row r="12" spans="2:5" ht="15.75">
      <c r="B12" s="324" t="s">
        <v>834</v>
      </c>
      <c r="C12" s="469"/>
      <c r="D12" s="469"/>
      <c r="E12" s="323" t="str">
        <f>mvalloc!G11</f>
        <v> </v>
      </c>
    </row>
    <row r="13" spans="2:5" ht="15.75">
      <c r="B13" s="325" t="s">
        <v>441</v>
      </c>
      <c r="C13" s="469">
        <v>424465</v>
      </c>
      <c r="D13" s="469">
        <v>420065</v>
      </c>
      <c r="E13" s="322">
        <v>425265</v>
      </c>
    </row>
    <row r="14" spans="2:5" ht="15.75">
      <c r="B14" s="325"/>
      <c r="C14" s="469"/>
      <c r="D14" s="469"/>
      <c r="E14" s="326"/>
    </row>
    <row r="15" spans="2:5" ht="15.75">
      <c r="B15" s="325"/>
      <c r="C15" s="469"/>
      <c r="D15" s="469"/>
      <c r="E15" s="322"/>
    </row>
    <row r="16" spans="2:5" ht="15.75">
      <c r="B16" s="325"/>
      <c r="C16" s="469"/>
      <c r="D16" s="469"/>
      <c r="E16" s="322"/>
    </row>
    <row r="17" spans="2:5" ht="15.75">
      <c r="B17" s="325"/>
      <c r="C17" s="469"/>
      <c r="D17" s="469"/>
      <c r="E17" s="322"/>
    </row>
    <row r="18" spans="2:5" ht="15.75">
      <c r="B18" s="325"/>
      <c r="C18" s="469"/>
      <c r="D18" s="469"/>
      <c r="E18" s="322"/>
    </row>
    <row r="19" spans="2:5" ht="15.75">
      <c r="B19" s="325"/>
      <c r="C19" s="469"/>
      <c r="D19" s="469"/>
      <c r="E19" s="322"/>
    </row>
    <row r="20" spans="2:5" ht="15.75">
      <c r="B20" s="325"/>
      <c r="C20" s="469"/>
      <c r="D20" s="469"/>
      <c r="E20" s="322"/>
    </row>
    <row r="21" spans="2:5" ht="15.75">
      <c r="B21" s="325"/>
      <c r="C21" s="469"/>
      <c r="D21" s="469"/>
      <c r="E21" s="322"/>
    </row>
    <row r="22" spans="2:5" ht="15.75">
      <c r="B22" s="325" t="s">
        <v>904</v>
      </c>
      <c r="C22" s="469"/>
      <c r="D22" s="469"/>
      <c r="E22" s="322"/>
    </row>
    <row r="23" spans="2:5" ht="15.75">
      <c r="B23" s="327" t="s">
        <v>731</v>
      </c>
      <c r="C23" s="469"/>
      <c r="D23" s="469"/>
      <c r="E23" s="322"/>
    </row>
    <row r="24" spans="2:5" ht="15.75">
      <c r="B24" s="300" t="s">
        <v>973</v>
      </c>
      <c r="C24" s="469"/>
      <c r="D24" s="469"/>
      <c r="E24" s="322"/>
    </row>
    <row r="25" spans="2:5" ht="15.75">
      <c r="B25" s="300" t="s">
        <v>67</v>
      </c>
      <c r="C25" s="439">
        <f>IF(C26*0.1&lt;C24,"Exceed 10% Rule","")</f>
      </c>
      <c r="D25" s="439">
        <f>IF(D26*0.1&lt;D24,"Exceed 10% Rule","")</f>
      </c>
      <c r="E25" s="328">
        <f>IF(E26*0.1+E57&lt;E24,"Exceed 10% Rule","")</f>
      </c>
    </row>
    <row r="26" spans="2:5" ht="15.75">
      <c r="B26" s="302" t="s">
        <v>732</v>
      </c>
      <c r="C26" s="466">
        <f>SUM(C8:C24)</f>
        <v>424465</v>
      </c>
      <c r="D26" s="466">
        <f>SUM(D8:D24)</f>
        <v>420065</v>
      </c>
      <c r="E26" s="329">
        <f>SUM(E8:E24)</f>
        <v>425265</v>
      </c>
    </row>
    <row r="27" spans="2:5" ht="15.75">
      <c r="B27" s="302" t="s">
        <v>733</v>
      </c>
      <c r="C27" s="466">
        <f>C6+C26</f>
        <v>426340</v>
      </c>
      <c r="D27" s="466">
        <f>D6+D26</f>
        <v>421940</v>
      </c>
      <c r="E27" s="330">
        <f>E6+E26</f>
        <v>427140</v>
      </c>
    </row>
    <row r="28" spans="2:5" ht="15.75">
      <c r="B28" s="175" t="s">
        <v>736</v>
      </c>
      <c r="C28" s="468"/>
      <c r="D28" s="468"/>
      <c r="E28" s="323"/>
    </row>
    <row r="29" spans="2:5" ht="15.75">
      <c r="B29" s="311" t="s">
        <v>795</v>
      </c>
      <c r="C29" s="469">
        <v>235000</v>
      </c>
      <c r="D29" s="469">
        <v>240000</v>
      </c>
      <c r="E29" s="322">
        <v>255000</v>
      </c>
    </row>
    <row r="30" spans="2:5" ht="15.75">
      <c r="B30" s="311" t="s">
        <v>8</v>
      </c>
      <c r="C30" s="469">
        <v>189465</v>
      </c>
      <c r="D30" s="469">
        <v>180065</v>
      </c>
      <c r="E30" s="322">
        <v>170265</v>
      </c>
    </row>
    <row r="31" spans="2:5" ht="15.75">
      <c r="B31" s="311"/>
      <c r="C31" s="469"/>
      <c r="D31" s="469"/>
      <c r="E31" s="322"/>
    </row>
    <row r="32" spans="2:5" ht="15.75">
      <c r="B32" s="311"/>
      <c r="C32" s="469"/>
      <c r="D32" s="469"/>
      <c r="E32" s="322"/>
    </row>
    <row r="33" spans="2:5" ht="15.75">
      <c r="B33" s="311"/>
      <c r="C33" s="469"/>
      <c r="D33" s="469"/>
      <c r="E33" s="322"/>
    </row>
    <row r="34" spans="2:5" ht="15.75">
      <c r="B34" s="311"/>
      <c r="C34" s="469"/>
      <c r="D34" s="469"/>
      <c r="E34" s="322"/>
    </row>
    <row r="35" spans="2:5" ht="15.75">
      <c r="B35" s="311"/>
      <c r="C35" s="469"/>
      <c r="D35" s="469"/>
      <c r="E35" s="322"/>
    </row>
    <row r="36" spans="2:5" ht="15.75">
      <c r="B36" s="311"/>
      <c r="C36" s="469"/>
      <c r="D36" s="469"/>
      <c r="E36" s="322"/>
    </row>
    <row r="37" spans="2:5" ht="15.75">
      <c r="B37" s="311"/>
      <c r="C37" s="469"/>
      <c r="D37" s="469"/>
      <c r="E37" s="322"/>
    </row>
    <row r="38" spans="2:5" ht="15.75">
      <c r="B38" s="311"/>
      <c r="C38" s="469"/>
      <c r="D38" s="469"/>
      <c r="E38" s="322"/>
    </row>
    <row r="39" spans="2:5" ht="15.75">
      <c r="B39" s="311"/>
      <c r="C39" s="469"/>
      <c r="D39" s="469"/>
      <c r="E39" s="322"/>
    </row>
    <row r="40" spans="2:5" ht="15.75">
      <c r="B40" s="311"/>
      <c r="C40" s="469"/>
      <c r="D40" s="469"/>
      <c r="E40" s="322"/>
    </row>
    <row r="41" spans="2:5" ht="15.75">
      <c r="B41" s="311"/>
      <c r="C41" s="469"/>
      <c r="D41" s="469"/>
      <c r="E41" s="322"/>
    </row>
    <row r="42" spans="2:10" ht="15.75">
      <c r="B42" s="311"/>
      <c r="C42" s="469"/>
      <c r="D42" s="469"/>
      <c r="E42" s="322"/>
      <c r="G42" s="760" t="str">
        <f>CONCATENATE("Desired Carryover Into ",E1+1,"")</f>
        <v>Desired Carryover Into 2014</v>
      </c>
      <c r="H42" s="761"/>
      <c r="I42" s="761"/>
      <c r="J42" s="762"/>
    </row>
    <row r="43" spans="2:10" ht="15.75">
      <c r="B43" s="311"/>
      <c r="C43" s="469"/>
      <c r="D43" s="469"/>
      <c r="E43" s="322"/>
      <c r="G43" s="629"/>
      <c r="H43" s="630"/>
      <c r="I43" s="631"/>
      <c r="J43" s="632"/>
    </row>
    <row r="44" spans="2:10" ht="15.75">
      <c r="B44" s="311"/>
      <c r="C44" s="469"/>
      <c r="D44" s="469"/>
      <c r="E44" s="322"/>
      <c r="G44" s="633" t="s">
        <v>77</v>
      </c>
      <c r="H44" s="631"/>
      <c r="I44" s="631"/>
      <c r="J44" s="634">
        <v>0</v>
      </c>
    </row>
    <row r="45" spans="2:10" ht="15.75">
      <c r="B45" s="311"/>
      <c r="C45" s="469"/>
      <c r="D45" s="469"/>
      <c r="E45" s="322"/>
      <c r="G45" s="629" t="s">
        <v>78</v>
      </c>
      <c r="H45" s="630"/>
      <c r="I45" s="630"/>
      <c r="J45" s="635">
        <f>IF(J44=0,"",ROUND((J44+E57-G57)/inputOth!E5*1000,3)-G62)</f>
      </c>
    </row>
    <row r="46" spans="2:10" ht="15.75">
      <c r="B46" s="311"/>
      <c r="C46" s="469"/>
      <c r="D46" s="469"/>
      <c r="E46" s="322"/>
      <c r="G46" s="636" t="str">
        <f>CONCATENATE("",E1," Tot Exp/Non-Appr Must Be:")</f>
        <v>2013 Tot Exp/Non-Appr Must Be:</v>
      </c>
      <c r="H46" s="637"/>
      <c r="I46" s="638"/>
      <c r="J46" s="639">
        <f>IF(J44&gt;0,IF(E54&lt;E27,IF(J44=G57,E54,((J44-G57)*(1-D57))+E27),E54+(J44-G57)),0)</f>
        <v>0</v>
      </c>
    </row>
    <row r="47" spans="2:10" ht="15.75">
      <c r="B47" s="300" t="s">
        <v>972</v>
      </c>
      <c r="C47" s="469"/>
      <c r="D47" s="469"/>
      <c r="E47" s="331">
        <f>Nhood!E7</f>
      </c>
      <c r="G47" s="640" t="s">
        <v>200</v>
      </c>
      <c r="H47" s="641"/>
      <c r="I47" s="641"/>
      <c r="J47" s="642">
        <f>IF(J44&gt;0,J46-E54,0)</f>
        <v>0</v>
      </c>
    </row>
    <row r="48" spans="2:5" ht="15.75">
      <c r="B48" s="300" t="s">
        <v>973</v>
      </c>
      <c r="C48" s="469"/>
      <c r="D48" s="469"/>
      <c r="E48" s="322"/>
    </row>
    <row r="49" spans="2:10" ht="15.75">
      <c r="B49" s="300" t="s">
        <v>68</v>
      </c>
      <c r="C49" s="439">
        <f>IF(C50*0.1&lt;C48,"Exceed 10% Rule","")</f>
      </c>
      <c r="D49" s="439">
        <f>IF(D50*0.1&lt;D48,"Exceed 10% Rule","")</f>
      </c>
      <c r="E49" s="328">
        <f>IF(E50*0.1&lt;E48,"Exceed 10% Rule","")</f>
      </c>
      <c r="G49" s="747" t="str">
        <f>CONCATENATE("Projected Carryover Into ",E1+1,"")</f>
        <v>Projected Carryover Into 2014</v>
      </c>
      <c r="H49" s="761"/>
      <c r="I49" s="761"/>
      <c r="J49" s="762"/>
    </row>
    <row r="50" spans="2:10" ht="15.75">
      <c r="B50" s="302" t="s">
        <v>737</v>
      </c>
      <c r="C50" s="466">
        <f>SUM(C29:C48)</f>
        <v>424465</v>
      </c>
      <c r="D50" s="466">
        <f>SUM(D29:D48)</f>
        <v>420065</v>
      </c>
      <c r="E50" s="329">
        <f>SUM(E29:E48)</f>
        <v>425265</v>
      </c>
      <c r="G50" s="498"/>
      <c r="H50" s="490"/>
      <c r="I50" s="490"/>
      <c r="J50" s="170"/>
    </row>
    <row r="51" spans="2:10" ht="15.75">
      <c r="B51" s="153" t="s">
        <v>852</v>
      </c>
      <c r="C51" s="465">
        <f>C27-C50</f>
        <v>1875</v>
      </c>
      <c r="D51" s="465">
        <f>D27-D50</f>
        <v>1875</v>
      </c>
      <c r="E51" s="321" t="s">
        <v>711</v>
      </c>
      <c r="G51" s="487">
        <f>D51</f>
        <v>1875</v>
      </c>
      <c r="H51" s="488" t="str">
        <f>CONCATENATE("",E1-1," Ending Cash Balance (est.)")</f>
        <v>2012 Ending Cash Balance (est.)</v>
      </c>
      <c r="I51" s="489"/>
      <c r="J51" s="673"/>
    </row>
    <row r="52" spans="2:10" ht="15.75">
      <c r="B52" s="281" t="str">
        <f>CONCATENATE("",$E$1-2,"/",$E$1-1," Budget Authority Amount:")</f>
        <v>2011/2012 Budget Authority Amount:</v>
      </c>
      <c r="C52" s="273">
        <f>inputOth!B30</f>
        <v>424465</v>
      </c>
      <c r="D52" s="273">
        <f>inputPrYr!D17</f>
        <v>420065</v>
      </c>
      <c r="E52" s="321" t="s">
        <v>711</v>
      </c>
      <c r="F52" s="332"/>
      <c r="G52" s="487">
        <f>E26</f>
        <v>425265</v>
      </c>
      <c r="H52" s="490" t="str">
        <f>CONCATENATE("",E1," Non-AV Receipts (est.)")</f>
        <v>2013 Non-AV Receipts (est.)</v>
      </c>
      <c r="I52" s="490"/>
      <c r="J52" s="170"/>
    </row>
    <row r="53" spans="2:11" ht="15.75">
      <c r="B53" s="281"/>
      <c r="C53" s="753" t="s">
        <v>69</v>
      </c>
      <c r="D53" s="754"/>
      <c r="E53" s="94"/>
      <c r="F53" s="474">
        <f>IF(E50/0.95-E50&lt;E53,"Exceeds 5%","")</f>
      </c>
      <c r="G53" s="491">
        <f>IF(E56&gt;0,E55,E57)</f>
        <v>0</v>
      </c>
      <c r="H53" s="490" t="str">
        <f>CONCATENATE("",E1," Ad Valorem Tax (est.)")</f>
        <v>2013 Ad Valorem Tax (est.)</v>
      </c>
      <c r="I53" s="490"/>
      <c r="J53" s="170"/>
      <c r="K53" s="684">
        <f>IF(G53=E57,"","Note: Does not include Delinquent Taxes")</f>
      </c>
    </row>
    <row r="54" spans="2:10" ht="15.75">
      <c r="B54" s="476" t="str">
        <f>CONCATENATE(C68,"     ",D68)</f>
        <v>     </v>
      </c>
      <c r="C54" s="755" t="s">
        <v>70</v>
      </c>
      <c r="D54" s="756"/>
      <c r="E54" s="259">
        <f>E50+E53</f>
        <v>425265</v>
      </c>
      <c r="G54" s="487">
        <f>SUM(G51:G53)</f>
        <v>427140</v>
      </c>
      <c r="H54" s="490" t="str">
        <f>CONCATENATE("Total ",E1," Resources Available")</f>
        <v>Total 2013 Resources Available</v>
      </c>
      <c r="I54" s="489"/>
      <c r="J54" s="673"/>
    </row>
    <row r="55" spans="2:10" ht="15.75">
      <c r="B55" s="476" t="str">
        <f>CONCATENATE(C69,"     ",D69)</f>
        <v>     </v>
      </c>
      <c r="C55" s="315"/>
      <c r="D55" s="107" t="s">
        <v>738</v>
      </c>
      <c r="E55" s="98">
        <f>IF(E54-E27&gt;0,E54-E27,0)</f>
        <v>0</v>
      </c>
      <c r="G55" s="492"/>
      <c r="H55" s="490"/>
      <c r="I55" s="490"/>
      <c r="J55" s="170"/>
    </row>
    <row r="56" spans="2:10" ht="15.75">
      <c r="B56" s="107"/>
      <c r="C56" s="458" t="s">
        <v>71</v>
      </c>
      <c r="D56" s="687">
        <f>inputOth!$E$22</f>
        <v>0</v>
      </c>
      <c r="E56" s="259">
        <f>ROUND(IF(D56&gt;0,(E55*D56),0),0)</f>
        <v>0</v>
      </c>
      <c r="G56" s="491">
        <f>C50</f>
        <v>424465</v>
      </c>
      <c r="H56" s="490" t="str">
        <f>CONCATENATE("Less ",E1-2," Expenditures")</f>
        <v>Less 2011 Expenditures</v>
      </c>
      <c r="I56" s="490"/>
      <c r="J56" s="170"/>
    </row>
    <row r="57" spans="2:10" ht="15.75">
      <c r="B57" s="67"/>
      <c r="C57" s="751" t="str">
        <f>CONCATENATE("Amount of  ",$E$1-1," Ad Valorem Tax")</f>
        <v>Amount of  2012 Ad Valorem Tax</v>
      </c>
      <c r="D57" s="752"/>
      <c r="E57" s="333">
        <f>E55+E56</f>
        <v>0</v>
      </c>
      <c r="G57" s="693">
        <f>G54-G56</f>
        <v>2675</v>
      </c>
      <c r="H57" s="499" t="str">
        <f>CONCATENATE("Projected ",E1+1," carryover (est.)")</f>
        <v>Projected 2014 carryover (est.)</v>
      </c>
      <c r="I57" s="494"/>
      <c r="J57" s="694"/>
    </row>
    <row r="58" spans="2:5" ht="15.75">
      <c r="B58" s="107"/>
      <c r="C58" s="67"/>
      <c r="D58" s="67"/>
      <c r="E58" s="67"/>
    </row>
    <row r="59" spans="2:10" ht="15.75">
      <c r="B59" s="281" t="s">
        <v>762</v>
      </c>
      <c r="C59" s="334">
        <v>8</v>
      </c>
      <c r="D59" s="67"/>
      <c r="E59" s="67"/>
      <c r="G59" s="757" t="s">
        <v>201</v>
      </c>
      <c r="H59" s="758"/>
      <c r="I59" s="758"/>
      <c r="J59" s="759"/>
    </row>
    <row r="60" spans="7:10" ht="15.75">
      <c r="G60" s="654"/>
      <c r="H60" s="646"/>
      <c r="I60" s="655"/>
      <c r="J60" s="656"/>
    </row>
    <row r="61" spans="7:10" ht="15.75">
      <c r="G61" s="657" t="str">
        <f>summ!H17</f>
        <v>  </v>
      </c>
      <c r="H61" s="646" t="str">
        <f>CONCATENATE("",E1," Fund Mill Rate")</f>
        <v>2013 Fund Mill Rate</v>
      </c>
      <c r="I61" s="655"/>
      <c r="J61" s="656"/>
    </row>
    <row r="62" spans="7:10" ht="15.75">
      <c r="G62" s="658" t="str">
        <f>summ!E17</f>
        <v>  </v>
      </c>
      <c r="H62" s="646" t="str">
        <f>CONCATENATE("",E1-1," Fund Mill Rate")</f>
        <v>2012 Fund Mill Rate</v>
      </c>
      <c r="I62" s="655"/>
      <c r="J62" s="656"/>
    </row>
    <row r="63" spans="7:10" ht="15.75">
      <c r="G63" s="659">
        <f>summ!H52</f>
        <v>73.908</v>
      </c>
      <c r="H63" s="646" t="str">
        <f>CONCATENATE("Total ",E1," Mill Rate")</f>
        <v>Total 2013 Mill Rate</v>
      </c>
      <c r="I63" s="655"/>
      <c r="J63" s="656"/>
    </row>
    <row r="64" spans="7:10" ht="15.75">
      <c r="G64" s="658">
        <f>summ!E52</f>
        <v>77.497</v>
      </c>
      <c r="H64" s="660" t="str">
        <f>CONCATENATE("Total ",E1-1," Mill Rate")</f>
        <v>Total 2012 Mill Rate</v>
      </c>
      <c r="I64" s="661"/>
      <c r="J64" s="662"/>
    </row>
    <row r="68" spans="3:4" ht="15.75" hidden="1">
      <c r="C68" s="124">
        <f>IF(C50&gt;C52,"See Tab A","")</f>
      </c>
      <c r="D68" s="124">
        <f>IF(D50&gt;D52,"See Tab C","")</f>
      </c>
    </row>
    <row r="69" spans="3:4" ht="15.75" hidden="1">
      <c r="C69" s="124">
        <f>IF(C51&lt;0,"See Tab B","")</f>
      </c>
      <c r="D69" s="124">
        <f>IF(D51&lt;0,"See Tab D","")</f>
      </c>
    </row>
  </sheetData>
  <sheetProtection sheet="1"/>
  <mergeCells count="6">
    <mergeCell ref="G42:J42"/>
    <mergeCell ref="G49:J49"/>
    <mergeCell ref="G59:J59"/>
    <mergeCell ref="C53:D53"/>
    <mergeCell ref="C54:D54"/>
    <mergeCell ref="C57:D57"/>
  </mergeCells>
  <conditionalFormatting sqref="E53">
    <cfRule type="cellIs" priority="2" dxfId="351" operator="greaterThan" stopIfTrue="1">
      <formula>$E$50/0.95-$E$50</formula>
    </cfRule>
  </conditionalFormatting>
  <conditionalFormatting sqref="E48">
    <cfRule type="cellIs" priority="3" dxfId="351" operator="greaterThan" stopIfTrue="1">
      <formula>$E$50*0.1</formula>
    </cfRule>
  </conditionalFormatting>
  <conditionalFormatting sqref="E24">
    <cfRule type="cellIs" priority="4" dxfId="351" operator="greaterThan" stopIfTrue="1">
      <formula>$E$26*0.1+E57</formula>
    </cfRule>
  </conditionalFormatting>
  <conditionalFormatting sqref="D24">
    <cfRule type="cellIs" priority="5" dxfId="2" operator="greaterThan" stopIfTrue="1">
      <formula>$D$26*0.1</formula>
    </cfRule>
  </conditionalFormatting>
  <conditionalFormatting sqref="C24">
    <cfRule type="cellIs" priority="6" dxfId="2" operator="greaterThan" stopIfTrue="1">
      <formula>$C$26*0.1</formula>
    </cfRule>
  </conditionalFormatting>
  <conditionalFormatting sqref="C48">
    <cfRule type="cellIs" priority="7" dxfId="2" operator="greaterThan" stopIfTrue="1">
      <formula>$C$50*0.1</formula>
    </cfRule>
  </conditionalFormatting>
  <conditionalFormatting sqref="D48">
    <cfRule type="cellIs" priority="8" dxfId="2" operator="greaterThan" stopIfTrue="1">
      <formula>$D$50*0.1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2" operator="lessThan" stopIfTrue="1">
      <formula>0</formula>
    </cfRule>
  </conditionalFormatting>
  <conditionalFormatting sqref="D5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0"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B1:K130"/>
  <sheetViews>
    <sheetView workbookViewId="0" topLeftCell="A1">
      <selection activeCell="D15" sqref="D15"/>
    </sheetView>
  </sheetViews>
  <sheetFormatPr defaultColWidth="8.796875" defaultRowHeight="15"/>
  <cols>
    <col min="1" max="1" width="2.3984375" style="52" customWidth="1"/>
    <col min="2" max="2" width="31.09765625" style="52" customWidth="1"/>
    <col min="3" max="4" width="15.796875" style="52" customWidth="1"/>
    <col min="5" max="5" width="16.5976562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67"/>
      <c r="C2" s="67"/>
      <c r="D2" s="67"/>
      <c r="E2" s="107"/>
    </row>
    <row r="3" spans="2:5" ht="15.75">
      <c r="B3" s="473" t="s">
        <v>810</v>
      </c>
      <c r="C3" s="67"/>
      <c r="D3" s="67"/>
      <c r="E3" s="293"/>
    </row>
    <row r="4" spans="2:5" ht="15.75">
      <c r="B4" s="186" t="s">
        <v>723</v>
      </c>
      <c r="C4" s="625" t="s">
        <v>197</v>
      </c>
      <c r="D4" s="626" t="s">
        <v>198</v>
      </c>
      <c r="E4" s="149" t="s">
        <v>199</v>
      </c>
    </row>
    <row r="5" spans="2:5" ht="15.75">
      <c r="B5" s="471" t="str">
        <f>inputPrYr!B18</f>
        <v>Road &amp; Bridge</v>
      </c>
      <c r="C5" s="441" t="str">
        <f>CONCATENATE("Actual for ",E1-2,"")</f>
        <v>Actual for 2011</v>
      </c>
      <c r="D5" s="441" t="str">
        <f>CONCATENATE("Estimate for ",E1-1,"")</f>
        <v>Estimate for 2012</v>
      </c>
      <c r="E5" s="294" t="str">
        <f>CONCATENATE("Year for ",E1,"")</f>
        <v>Year for 2013</v>
      </c>
    </row>
    <row r="6" spans="2:5" ht="15.75">
      <c r="B6" s="295" t="s">
        <v>851</v>
      </c>
      <c r="C6" s="469">
        <v>159327</v>
      </c>
      <c r="D6" s="440">
        <f>C112</f>
        <v>215893</v>
      </c>
      <c r="E6" s="259">
        <f>D112</f>
        <v>165566</v>
      </c>
    </row>
    <row r="7" spans="2:5" ht="15.75">
      <c r="B7" s="284" t="s">
        <v>853</v>
      </c>
      <c r="C7" s="167"/>
      <c r="D7" s="167"/>
      <c r="E7" s="110"/>
    </row>
    <row r="8" spans="2:5" ht="15.75">
      <c r="B8" s="295" t="s">
        <v>724</v>
      </c>
      <c r="C8" s="469">
        <v>1596351</v>
      </c>
      <c r="D8" s="440">
        <f>IF(inputPrYr!H18&gt;0,inputPrYr!H18,inputPrYr!E18)</f>
        <v>1734507</v>
      </c>
      <c r="E8" s="195" t="s">
        <v>711</v>
      </c>
    </row>
    <row r="9" spans="2:5" ht="15.75">
      <c r="B9" s="295" t="s">
        <v>725</v>
      </c>
      <c r="C9" s="469">
        <v>29528</v>
      </c>
      <c r="D9" s="469"/>
      <c r="E9" s="94"/>
    </row>
    <row r="10" spans="2:5" ht="15.75">
      <c r="B10" s="295" t="s">
        <v>726</v>
      </c>
      <c r="C10" s="469">
        <v>129196</v>
      </c>
      <c r="D10" s="469">
        <v>134327</v>
      </c>
      <c r="E10" s="259">
        <f>mvalloc!E12</f>
        <v>123590</v>
      </c>
    </row>
    <row r="11" spans="2:5" ht="15.75">
      <c r="B11" s="295" t="s">
        <v>727</v>
      </c>
      <c r="C11" s="469">
        <v>2231</v>
      </c>
      <c r="D11" s="469">
        <v>2441</v>
      </c>
      <c r="E11" s="259">
        <f>mvalloc!F12</f>
        <v>1989</v>
      </c>
    </row>
    <row r="12" spans="2:5" ht="15.75">
      <c r="B12" s="167" t="s">
        <v>834</v>
      </c>
      <c r="C12" s="469">
        <v>8172</v>
      </c>
      <c r="D12" s="469">
        <v>8398</v>
      </c>
      <c r="E12" s="259">
        <f>mvalloc!G12</f>
        <v>8406</v>
      </c>
    </row>
    <row r="13" spans="2:5" ht="15.75">
      <c r="B13" s="344" t="s">
        <v>916</v>
      </c>
      <c r="C13" s="469">
        <v>362686</v>
      </c>
      <c r="D13" s="469">
        <v>370000</v>
      </c>
      <c r="E13" s="88">
        <v>370000</v>
      </c>
    </row>
    <row r="14" spans="2:5" ht="15.75">
      <c r="B14" s="344" t="s">
        <v>441</v>
      </c>
      <c r="C14" s="469">
        <v>268476</v>
      </c>
      <c r="D14" s="469">
        <v>200000</v>
      </c>
      <c r="E14" s="88">
        <v>200000</v>
      </c>
    </row>
    <row r="15" spans="2:5" ht="15.75">
      <c r="B15" s="345"/>
      <c r="C15" s="469"/>
      <c r="D15" s="469"/>
      <c r="E15" s="88"/>
    </row>
    <row r="16" spans="2:5" ht="15.75">
      <c r="B16" s="345"/>
      <c r="C16" s="469"/>
      <c r="D16" s="469"/>
      <c r="E16" s="88"/>
    </row>
    <row r="17" spans="2:5" ht="15.75">
      <c r="B17" s="297"/>
      <c r="C17" s="469"/>
      <c r="D17" s="469"/>
      <c r="E17" s="94"/>
    </row>
    <row r="18" spans="2:5" ht="15.75">
      <c r="B18" s="297"/>
      <c r="C18" s="469"/>
      <c r="D18" s="469"/>
      <c r="E18" s="94"/>
    </row>
    <row r="19" spans="2:5" ht="15.75">
      <c r="B19" s="297"/>
      <c r="C19" s="469"/>
      <c r="D19" s="469"/>
      <c r="E19" s="94"/>
    </row>
    <row r="20" spans="2:5" ht="15.75">
      <c r="B20" s="299"/>
      <c r="C20" s="469"/>
      <c r="D20" s="469"/>
      <c r="E20" s="94"/>
    </row>
    <row r="21" spans="2:5" ht="15.75">
      <c r="B21" s="299"/>
      <c r="C21" s="469"/>
      <c r="D21" s="469"/>
      <c r="E21" s="94"/>
    </row>
    <row r="22" spans="2:5" ht="15.75">
      <c r="B22" s="297"/>
      <c r="C22" s="469"/>
      <c r="D22" s="469"/>
      <c r="E22" s="94"/>
    </row>
    <row r="23" spans="2:5" ht="15.75">
      <c r="B23" s="297"/>
      <c r="C23" s="469"/>
      <c r="D23" s="469"/>
      <c r="E23" s="94"/>
    </row>
    <row r="24" spans="2:5" ht="15.75">
      <c r="B24" s="297"/>
      <c r="C24" s="469"/>
      <c r="D24" s="469"/>
      <c r="E24" s="94"/>
    </row>
    <row r="25" spans="2:5" ht="15.75">
      <c r="B25" s="297"/>
      <c r="C25" s="469"/>
      <c r="D25" s="469"/>
      <c r="E25" s="94"/>
    </row>
    <row r="26" spans="2:5" ht="15.75">
      <c r="B26" s="297"/>
      <c r="C26" s="469"/>
      <c r="D26" s="469"/>
      <c r="E26" s="94"/>
    </row>
    <row r="27" spans="2:5" ht="15.75">
      <c r="B27" s="297"/>
      <c r="C27" s="469"/>
      <c r="D27" s="469"/>
      <c r="E27" s="94"/>
    </row>
    <row r="28" spans="2:5" ht="15.75">
      <c r="B28" s="297"/>
      <c r="C28" s="469"/>
      <c r="D28" s="469"/>
      <c r="E28" s="94"/>
    </row>
    <row r="29" spans="2:5" ht="15.75">
      <c r="B29" s="297"/>
      <c r="C29" s="469"/>
      <c r="D29" s="469"/>
      <c r="E29" s="94"/>
    </row>
    <row r="30" spans="2:5" ht="15.75">
      <c r="B30" s="297"/>
      <c r="C30" s="469"/>
      <c r="D30" s="469"/>
      <c r="E30" s="94"/>
    </row>
    <row r="31" spans="2:5" ht="15.75">
      <c r="B31" s="297"/>
      <c r="C31" s="469"/>
      <c r="D31" s="469"/>
      <c r="E31" s="94"/>
    </row>
    <row r="32" spans="2:5" ht="15.75">
      <c r="B32" s="297"/>
      <c r="C32" s="469"/>
      <c r="D32" s="469"/>
      <c r="E32" s="94"/>
    </row>
    <row r="33" spans="2:5" ht="15.75">
      <c r="B33" s="297"/>
      <c r="C33" s="469"/>
      <c r="D33" s="469"/>
      <c r="E33" s="94"/>
    </row>
    <row r="34" spans="2:5" ht="15.75">
      <c r="B34" s="297"/>
      <c r="C34" s="469"/>
      <c r="D34" s="469"/>
      <c r="E34" s="94"/>
    </row>
    <row r="35" spans="2:5" ht="15.75">
      <c r="B35" s="297"/>
      <c r="C35" s="469"/>
      <c r="D35" s="469"/>
      <c r="E35" s="94"/>
    </row>
    <row r="36" spans="2:5" ht="15.75">
      <c r="B36" s="297"/>
      <c r="C36" s="469"/>
      <c r="D36" s="469"/>
      <c r="E36" s="94"/>
    </row>
    <row r="37" spans="2:5" ht="15.75">
      <c r="B37" s="297"/>
      <c r="C37" s="469"/>
      <c r="D37" s="469"/>
      <c r="E37" s="94"/>
    </row>
    <row r="38" spans="2:5" ht="15.75">
      <c r="B38" s="297"/>
      <c r="C38" s="469"/>
      <c r="D38" s="469"/>
      <c r="E38" s="94"/>
    </row>
    <row r="39" spans="2:5" ht="15.75">
      <c r="B39" s="297"/>
      <c r="C39" s="469"/>
      <c r="D39" s="469"/>
      <c r="E39" s="94"/>
    </row>
    <row r="40" spans="2:5" ht="15.75">
      <c r="B40" s="297"/>
      <c r="C40" s="469"/>
      <c r="D40" s="469"/>
      <c r="E40" s="94"/>
    </row>
    <row r="41" spans="2:5" ht="15.75">
      <c r="B41" s="297"/>
      <c r="C41" s="469"/>
      <c r="D41" s="469"/>
      <c r="E41" s="94"/>
    </row>
    <row r="42" spans="2:5" ht="15.75">
      <c r="B42" s="297"/>
      <c r="C42" s="469"/>
      <c r="D42" s="469"/>
      <c r="E42" s="94"/>
    </row>
    <row r="43" spans="2:5" ht="15.75">
      <c r="B43" s="297"/>
      <c r="C43" s="469"/>
      <c r="D43" s="469"/>
      <c r="E43" s="94"/>
    </row>
    <row r="44" spans="2:5" ht="15.75">
      <c r="B44" s="297"/>
      <c r="C44" s="469"/>
      <c r="D44" s="469"/>
      <c r="E44" s="94"/>
    </row>
    <row r="45" spans="2:5" ht="15.75">
      <c r="B45" s="297"/>
      <c r="C45" s="469"/>
      <c r="D45" s="469"/>
      <c r="E45" s="94"/>
    </row>
    <row r="46" spans="2:5" ht="15.75">
      <c r="B46" s="297"/>
      <c r="C46" s="469"/>
      <c r="D46" s="469"/>
      <c r="E46" s="94"/>
    </row>
    <row r="47" spans="2:5" ht="15.75">
      <c r="B47" s="297"/>
      <c r="C47" s="469"/>
      <c r="D47" s="469"/>
      <c r="E47" s="94"/>
    </row>
    <row r="48" spans="2:5" ht="15.75">
      <c r="B48" s="297"/>
      <c r="C48" s="469"/>
      <c r="D48" s="469"/>
      <c r="E48" s="94"/>
    </row>
    <row r="49" spans="2:5" ht="15.75">
      <c r="B49" s="297"/>
      <c r="C49" s="469"/>
      <c r="D49" s="469"/>
      <c r="E49" s="94"/>
    </row>
    <row r="50" spans="2:5" ht="15.75">
      <c r="B50" s="297"/>
      <c r="C50" s="469"/>
      <c r="D50" s="469"/>
      <c r="E50" s="94"/>
    </row>
    <row r="51" spans="2:5" ht="15.75">
      <c r="B51" s="299" t="s">
        <v>731</v>
      </c>
      <c r="C51" s="469"/>
      <c r="D51" s="469"/>
      <c r="E51" s="94"/>
    </row>
    <row r="52" spans="2:5" ht="15.75">
      <c r="B52" s="300" t="s">
        <v>973</v>
      </c>
      <c r="C52" s="469"/>
      <c r="D52" s="469"/>
      <c r="E52" s="94"/>
    </row>
    <row r="53" spans="2:5" ht="15.75">
      <c r="B53" s="300" t="s">
        <v>67</v>
      </c>
      <c r="C53" s="439">
        <f>IF(C54*0.1&lt;C52,"Exceed 10% Rule","")</f>
      </c>
      <c r="D53" s="439">
        <f>IF(D54*0.1&lt;D52,"Exceed 10% Rule","")</f>
      </c>
      <c r="E53" s="328">
        <f>IF(E54*0.1+E118&lt;E52,"Exceed 10% Rule","")</f>
      </c>
    </row>
    <row r="54" spans="2:5" ht="15.75">
      <c r="B54" s="302" t="s">
        <v>732</v>
      </c>
      <c r="C54" s="443">
        <f>SUM(C8:C52)</f>
        <v>2396640</v>
      </c>
      <c r="D54" s="443">
        <f>SUM(D8:D52)</f>
        <v>2449673</v>
      </c>
      <c r="E54" s="348">
        <f>SUM(E9:E52)</f>
        <v>703985</v>
      </c>
    </row>
    <row r="55" spans="2:5" ht="15.75">
      <c r="B55" s="302" t="s">
        <v>733</v>
      </c>
      <c r="C55" s="443">
        <f>C6+C54</f>
        <v>2555967</v>
      </c>
      <c r="D55" s="443">
        <f>D6+D54</f>
        <v>2665566</v>
      </c>
      <c r="E55" s="348">
        <f>E6+E54</f>
        <v>869551</v>
      </c>
    </row>
    <row r="56" spans="2:5" ht="15.75">
      <c r="B56" s="67"/>
      <c r="C56" s="200"/>
      <c r="D56" s="200"/>
      <c r="E56" s="200"/>
    </row>
    <row r="57" spans="2:5" ht="15.75">
      <c r="B57" s="281" t="s">
        <v>762</v>
      </c>
      <c r="C57" s="334">
        <v>9</v>
      </c>
      <c r="D57" s="81"/>
      <c r="E57" s="81"/>
    </row>
    <row r="58" spans="2:5" ht="15.75">
      <c r="B58" s="81"/>
      <c r="C58" s="81"/>
      <c r="D58" s="81"/>
      <c r="E58" s="81"/>
    </row>
    <row r="59" spans="2:5" ht="15.75">
      <c r="B59" s="81"/>
      <c r="C59" s="81"/>
      <c r="D59" s="81"/>
      <c r="E59" s="281">
        <f>E1</f>
        <v>2013</v>
      </c>
    </row>
    <row r="60" spans="2:5" ht="15.75">
      <c r="B60" s="200" t="str">
        <f>inputPrYr!C3</f>
        <v>Russell County</v>
      </c>
      <c r="C60" s="200"/>
      <c r="D60" s="200"/>
      <c r="E60" s="107"/>
    </row>
    <row r="61" spans="2:5" ht="15.75">
      <c r="B61" s="67"/>
      <c r="C61" s="200"/>
      <c r="D61" s="200"/>
      <c r="E61" s="107"/>
    </row>
    <row r="62" spans="2:5" ht="15.75">
      <c r="B62" s="304" t="s">
        <v>809</v>
      </c>
      <c r="C62" s="305"/>
      <c r="D62" s="305"/>
      <c r="E62" s="305"/>
    </row>
    <row r="63" spans="2:5" ht="15.75">
      <c r="B63" s="67" t="s">
        <v>723</v>
      </c>
      <c r="C63" s="508" t="str">
        <f aca="true" t="shared" si="0" ref="C63:E64">C4</f>
        <v>Prior Year </v>
      </c>
      <c r="D63" s="509" t="str">
        <f t="shared" si="0"/>
        <v>Current Year </v>
      </c>
      <c r="E63" s="507" t="str">
        <f t="shared" si="0"/>
        <v>Proposed Budget </v>
      </c>
    </row>
    <row r="64" spans="2:5" ht="15.75">
      <c r="B64" s="346" t="str">
        <f>B5</f>
        <v>Road &amp; Bridge</v>
      </c>
      <c r="C64" s="441" t="str">
        <f t="shared" si="0"/>
        <v>Actual for 2011</v>
      </c>
      <c r="D64" s="441" t="str">
        <f t="shared" si="0"/>
        <v>Estimate for 2012</v>
      </c>
      <c r="E64" s="306" t="str">
        <f t="shared" si="0"/>
        <v>Year for 2013</v>
      </c>
    </row>
    <row r="65" spans="2:5" ht="15.75">
      <c r="B65" s="302" t="s">
        <v>733</v>
      </c>
      <c r="C65" s="440">
        <f>C55</f>
        <v>2555967</v>
      </c>
      <c r="D65" s="440">
        <f>D55</f>
        <v>2665566</v>
      </c>
      <c r="E65" s="259">
        <f>E55</f>
        <v>869551</v>
      </c>
    </row>
    <row r="66" spans="2:5" ht="15.75">
      <c r="B66" s="295" t="s">
        <v>917</v>
      </c>
      <c r="C66" s="440"/>
      <c r="D66" s="440"/>
      <c r="E66" s="259"/>
    </row>
    <row r="67" spans="2:5" ht="15.75">
      <c r="B67" s="167" t="str">
        <f>IF(('road-detail'!$B7&gt;" "),('road-detail'!$B7)," ")</f>
        <v>Personal Service</v>
      </c>
      <c r="C67" s="440">
        <f>'road-detail'!C12</f>
        <v>545582</v>
      </c>
      <c r="D67" s="440">
        <f>'road-detail'!D12</f>
        <v>790000</v>
      </c>
      <c r="E67" s="259">
        <f>'road-detail'!E12</f>
        <v>790000</v>
      </c>
    </row>
    <row r="68" spans="2:5" ht="15.75">
      <c r="B68" s="167" t="str">
        <f>IF(('road-detail'!$B13&gt;" "),('road-detail'!$B13)," ")</f>
        <v>Commodities</v>
      </c>
      <c r="C68" s="440">
        <f>'road-detail'!C18</f>
        <v>1322018</v>
      </c>
      <c r="D68" s="440">
        <f>'road-detail'!D18</f>
        <v>1250200</v>
      </c>
      <c r="E68" s="259">
        <f>'road-detail'!E18</f>
        <v>1250200</v>
      </c>
    </row>
    <row r="69" spans="2:5" ht="15.75">
      <c r="B69" s="167" t="str">
        <f>IF(('road-detail'!$B19&gt;" "),('road-detail'!$B19)," ")</f>
        <v>Contractual Service</v>
      </c>
      <c r="C69" s="440">
        <f>'road-detail'!C24</f>
        <v>48734</v>
      </c>
      <c r="D69" s="440">
        <f>'road-detail'!D24</f>
        <v>280500</v>
      </c>
      <c r="E69" s="259">
        <f>'road-detail'!E24</f>
        <v>280500</v>
      </c>
    </row>
    <row r="70" spans="2:5" ht="15.75">
      <c r="B70" s="167" t="str">
        <f>IF(('road-detail'!$B25&gt;" "),('road-detail'!$B25)," ")</f>
        <v>Capital Outlay</v>
      </c>
      <c r="C70" s="440">
        <f>'road-detail'!C30</f>
        <v>73740</v>
      </c>
      <c r="D70" s="440">
        <f>'road-detail'!D30</f>
        <v>50000</v>
      </c>
      <c r="E70" s="259">
        <f>'road-detail'!E30</f>
        <v>50000</v>
      </c>
    </row>
    <row r="71" spans="2:5" ht="15.75">
      <c r="B71" s="167" t="str">
        <f>IF(('road-detail'!$B31&gt;" "),('road-detail'!$B31)," ")</f>
        <v>Transfer to Special Machinery</v>
      </c>
      <c r="C71" s="440">
        <f>'road-detail'!C36</f>
        <v>350000</v>
      </c>
      <c r="D71" s="440">
        <f>'road-detail'!D36</f>
        <v>129300</v>
      </c>
      <c r="E71" s="259">
        <f>'road-detail'!E36</f>
        <v>129300</v>
      </c>
    </row>
    <row r="72" spans="2:5" ht="15.75">
      <c r="B72" s="167" t="str">
        <f>IF(('road-detail'!$B37&gt;" "),('road-detail'!$B37)," ")</f>
        <v>Other</v>
      </c>
      <c r="C72" s="440">
        <f>'road-detail'!C42</f>
        <v>0</v>
      </c>
      <c r="D72" s="440">
        <f>'road-detail'!D42</f>
        <v>0</v>
      </c>
      <c r="E72" s="259">
        <f>'road-detail'!E42</f>
        <v>0</v>
      </c>
    </row>
    <row r="73" spans="2:5" ht="15.75">
      <c r="B73" s="167" t="s">
        <v>958</v>
      </c>
      <c r="C73" s="451">
        <f>SUM(C67:C72)</f>
        <v>2340074</v>
      </c>
      <c r="D73" s="451">
        <f>SUM(D67:D72)</f>
        <v>2500000</v>
      </c>
      <c r="E73" s="333">
        <f>SUM(E67:E72)</f>
        <v>2500000</v>
      </c>
    </row>
    <row r="74" spans="2:5" ht="15.75">
      <c r="B74" s="167" t="s">
        <v>918</v>
      </c>
      <c r="C74" s="167"/>
      <c r="D74" s="167"/>
      <c r="E74" s="110"/>
    </row>
    <row r="75" spans="2:5" ht="15.75">
      <c r="B75" s="347"/>
      <c r="C75" s="469"/>
      <c r="D75" s="469"/>
      <c r="E75" s="88"/>
    </row>
    <row r="76" spans="2:5" ht="15.75">
      <c r="B76" s="347"/>
      <c r="C76" s="469"/>
      <c r="D76" s="469"/>
      <c r="E76" s="88"/>
    </row>
    <row r="77" spans="2:5" ht="15.75">
      <c r="B77" s="347"/>
      <c r="C77" s="469"/>
      <c r="D77" s="469"/>
      <c r="E77" s="88"/>
    </row>
    <row r="78" spans="2:5" ht="15.75">
      <c r="B78" s="347"/>
      <c r="C78" s="469"/>
      <c r="D78" s="469"/>
      <c r="E78" s="88"/>
    </row>
    <row r="79" spans="2:5" ht="15.75">
      <c r="B79" s="347"/>
      <c r="C79" s="469"/>
      <c r="D79" s="469"/>
      <c r="E79" s="88"/>
    </row>
    <row r="80" spans="2:5" ht="15.75">
      <c r="B80" s="347"/>
      <c r="C80" s="469"/>
      <c r="D80" s="469"/>
      <c r="E80" s="88"/>
    </row>
    <row r="81" spans="2:5" ht="15.75">
      <c r="B81" s="347"/>
      <c r="C81" s="469"/>
      <c r="D81" s="469"/>
      <c r="E81" s="88"/>
    </row>
    <row r="82" spans="2:5" ht="15.75">
      <c r="B82" s="347"/>
      <c r="C82" s="469"/>
      <c r="D82" s="469"/>
      <c r="E82" s="88"/>
    </row>
    <row r="83" spans="2:5" ht="15.75">
      <c r="B83" s="347"/>
      <c r="C83" s="469"/>
      <c r="D83" s="469"/>
      <c r="E83" s="88"/>
    </row>
    <row r="84" spans="2:5" ht="15.75">
      <c r="B84" s="347"/>
      <c r="C84" s="469"/>
      <c r="D84" s="469"/>
      <c r="E84" s="88"/>
    </row>
    <row r="85" spans="2:5" ht="15.75">
      <c r="B85" s="347"/>
      <c r="C85" s="469"/>
      <c r="D85" s="469"/>
      <c r="E85" s="88"/>
    </row>
    <row r="86" spans="2:5" ht="15.75">
      <c r="B86" s="347"/>
      <c r="C86" s="469"/>
      <c r="D86" s="469"/>
      <c r="E86" s="88"/>
    </row>
    <row r="87" spans="2:5" ht="15.75">
      <c r="B87" s="347"/>
      <c r="C87" s="469"/>
      <c r="D87" s="469"/>
      <c r="E87" s="88"/>
    </row>
    <row r="88" spans="2:5" ht="15.75">
      <c r="B88" s="347"/>
      <c r="C88" s="469"/>
      <c r="D88" s="469"/>
      <c r="E88" s="88"/>
    </row>
    <row r="89" spans="2:5" ht="15.75">
      <c r="B89" s="347"/>
      <c r="C89" s="469"/>
      <c r="D89" s="469"/>
      <c r="E89" s="88"/>
    </row>
    <row r="90" spans="2:5" ht="15.75">
      <c r="B90" s="347"/>
      <c r="C90" s="469"/>
      <c r="D90" s="469"/>
      <c r="E90" s="88"/>
    </row>
    <row r="91" spans="2:5" ht="15.75">
      <c r="B91" s="347"/>
      <c r="C91" s="469"/>
      <c r="D91" s="469"/>
      <c r="E91" s="88"/>
    </row>
    <row r="92" spans="2:5" ht="15.75">
      <c r="B92" s="347"/>
      <c r="C92" s="469"/>
      <c r="D92" s="469"/>
      <c r="E92" s="88"/>
    </row>
    <row r="93" spans="2:5" ht="15.75">
      <c r="B93" s="347"/>
      <c r="C93" s="469"/>
      <c r="D93" s="469"/>
      <c r="E93" s="88"/>
    </row>
    <row r="94" spans="2:5" ht="15.75">
      <c r="B94" s="347"/>
      <c r="C94" s="469"/>
      <c r="D94" s="469"/>
      <c r="E94" s="88"/>
    </row>
    <row r="95" spans="2:5" ht="15.75">
      <c r="B95" s="347"/>
      <c r="C95" s="469"/>
      <c r="D95" s="469"/>
      <c r="E95" s="88"/>
    </row>
    <row r="96" spans="2:5" ht="15.75">
      <c r="B96" s="347"/>
      <c r="C96" s="469"/>
      <c r="D96" s="469"/>
      <c r="E96" s="88"/>
    </row>
    <row r="97" spans="2:5" ht="15.75">
      <c r="B97" s="347"/>
      <c r="C97" s="469"/>
      <c r="D97" s="469"/>
      <c r="E97" s="88"/>
    </row>
    <row r="98" spans="2:5" ht="15.75">
      <c r="B98" s="347"/>
      <c r="C98" s="469"/>
      <c r="D98" s="469"/>
      <c r="E98" s="88"/>
    </row>
    <row r="99" spans="2:5" ht="15.75">
      <c r="B99" s="347"/>
      <c r="C99" s="469"/>
      <c r="D99" s="469"/>
      <c r="E99" s="88"/>
    </row>
    <row r="100" spans="2:5" ht="15.75">
      <c r="B100" s="347"/>
      <c r="C100" s="469"/>
      <c r="D100" s="469"/>
      <c r="E100" s="88"/>
    </row>
    <row r="101" spans="2:5" ht="15.75">
      <c r="B101" s="347"/>
      <c r="C101" s="469"/>
      <c r="D101" s="469"/>
      <c r="E101" s="88"/>
    </row>
    <row r="102" spans="2:5" ht="15.75">
      <c r="B102" s="347"/>
      <c r="C102" s="469"/>
      <c r="D102" s="469"/>
      <c r="E102" s="88"/>
    </row>
    <row r="103" spans="2:10" ht="15.75">
      <c r="B103" s="347"/>
      <c r="C103" s="469"/>
      <c r="D103" s="469"/>
      <c r="E103" s="88"/>
      <c r="G103" s="760" t="str">
        <f>CONCATENATE("Desired Carryover Into ",E1+1,"")</f>
        <v>Desired Carryover Into 2014</v>
      </c>
      <c r="H103" s="761"/>
      <c r="I103" s="761"/>
      <c r="J103" s="762"/>
    </row>
    <row r="104" spans="2:10" ht="15.75">
      <c r="B104" s="347"/>
      <c r="C104" s="469"/>
      <c r="D104" s="469"/>
      <c r="E104" s="88"/>
      <c r="G104" s="629"/>
      <c r="H104" s="630"/>
      <c r="I104" s="631"/>
      <c r="J104" s="632"/>
    </row>
    <row r="105" spans="2:10" ht="15.75">
      <c r="B105" s="347"/>
      <c r="C105" s="469"/>
      <c r="D105" s="469"/>
      <c r="E105" s="88"/>
      <c r="G105" s="633" t="s">
        <v>77</v>
      </c>
      <c r="H105" s="631"/>
      <c r="I105" s="631"/>
      <c r="J105" s="634">
        <v>0</v>
      </c>
    </row>
    <row r="106" spans="2:10" ht="15.75">
      <c r="B106" s="347"/>
      <c r="C106" s="469"/>
      <c r="D106" s="469"/>
      <c r="E106" s="88"/>
      <c r="G106" s="629" t="s">
        <v>78</v>
      </c>
      <c r="H106" s="630"/>
      <c r="I106" s="630"/>
      <c r="J106" s="635">
        <f>IF(J105=0,"",ROUND((J105+E118-G118)/inputOth!E5*1000,3)-G123)</f>
      </c>
    </row>
    <row r="107" spans="2:10" ht="15.75">
      <c r="B107" s="347"/>
      <c r="C107" s="469"/>
      <c r="D107" s="469"/>
      <c r="E107" s="88"/>
      <c r="G107" s="636" t="str">
        <f>CONCATENATE("",E1," Tot Exp/Non-Appr Must Be:")</f>
        <v>2013 Tot Exp/Non-Appr Must Be:</v>
      </c>
      <c r="H107" s="637"/>
      <c r="I107" s="638"/>
      <c r="J107" s="639">
        <f>IF(J105&gt;0,IF(E115&lt;E55,IF(J105=G118,E115,((J105-G118)*(1-D117))+E55),E115+(J105-G118)),0)</f>
        <v>0</v>
      </c>
    </row>
    <row r="108" spans="2:10" ht="15.75">
      <c r="B108" s="300" t="s">
        <v>972</v>
      </c>
      <c r="C108" s="469"/>
      <c r="D108" s="469"/>
      <c r="E108" s="312">
        <f>Nhood!E8</f>
      </c>
      <c r="G108" s="640" t="s">
        <v>200</v>
      </c>
      <c r="H108" s="641"/>
      <c r="I108" s="641"/>
      <c r="J108" s="642">
        <f>IF(J105&gt;0,J107-E115,0)</f>
        <v>0</v>
      </c>
    </row>
    <row r="109" spans="2:5" ht="15.75">
      <c r="B109" s="300" t="s">
        <v>973</v>
      </c>
      <c r="C109" s="469"/>
      <c r="D109" s="469"/>
      <c r="E109" s="298"/>
    </row>
    <row r="110" spans="2:10" ht="15.75">
      <c r="B110" s="300" t="s">
        <v>68</v>
      </c>
      <c r="C110" s="439">
        <f>IF(C111*0.1&lt;C109,"Exceed 10% Rule","")</f>
      </c>
      <c r="D110" s="439">
        <f>IF(D111*0.1&lt;D109,"Exceed 10% Rule","")</f>
      </c>
      <c r="E110" s="328">
        <f>IF(E111*0.1&lt;E109,"Exceed 10% Rule","")</f>
      </c>
      <c r="G110" s="747" t="str">
        <f>CONCATENATE("Projected Carryover Into ",E1+1,"")</f>
        <v>Projected Carryover Into 2014</v>
      </c>
      <c r="H110" s="748"/>
      <c r="I110" s="748"/>
      <c r="J110" s="749"/>
    </row>
    <row r="111" spans="2:10" ht="15.75">
      <c r="B111" s="302" t="s">
        <v>737</v>
      </c>
      <c r="C111" s="470">
        <f>SUM(C73:C109)</f>
        <v>2340074</v>
      </c>
      <c r="D111" s="470">
        <f>SUM(D73:D109)</f>
        <v>2500000</v>
      </c>
      <c r="E111" s="350">
        <f>SUM(E73:E109)</f>
        <v>2500000</v>
      </c>
      <c r="G111" s="485"/>
      <c r="H111" s="484"/>
      <c r="I111" s="484"/>
      <c r="J111" s="486"/>
    </row>
    <row r="112" spans="2:10" ht="15.75">
      <c r="B112" s="153" t="s">
        <v>852</v>
      </c>
      <c r="C112" s="440">
        <f>C55-C111</f>
        <v>215893</v>
      </c>
      <c r="D112" s="440">
        <f>D55-D111</f>
        <v>165566</v>
      </c>
      <c r="E112" s="195" t="s">
        <v>711</v>
      </c>
      <c r="G112" s="487">
        <f>D112</f>
        <v>165566</v>
      </c>
      <c r="H112" s="488" t="str">
        <f>CONCATENATE("",E1-1," Ending Cash Balance (est.)")</f>
        <v>2012 Ending Cash Balance (est.)</v>
      </c>
      <c r="I112" s="489"/>
      <c r="J112" s="486"/>
    </row>
    <row r="113" spans="2:10" ht="15.75">
      <c r="B113" s="281" t="str">
        <f>CONCATENATE("",$E$1-2,"/",$E$1-1," Budget Authority Amount:")</f>
        <v>2011/2012 Budget Authority Amount:</v>
      </c>
      <c r="C113" s="273">
        <f>inputOth!B31</f>
        <v>2400000</v>
      </c>
      <c r="D113" s="273">
        <f>inputPrYr!D18</f>
        <v>2500000</v>
      </c>
      <c r="E113" s="195" t="s">
        <v>711</v>
      </c>
      <c r="F113" s="314"/>
      <c r="G113" s="487">
        <f>E54</f>
        <v>703985</v>
      </c>
      <c r="H113" s="490" t="str">
        <f>CONCATENATE("",E1," Non-AV Receipts (est.)")</f>
        <v>2013 Non-AV Receipts (est.)</v>
      </c>
      <c r="I113" s="489"/>
      <c r="J113" s="486"/>
    </row>
    <row r="114" spans="2:11" ht="15.75">
      <c r="B114" s="281"/>
      <c r="C114" s="753" t="s">
        <v>69</v>
      </c>
      <c r="D114" s="754"/>
      <c r="E114" s="94"/>
      <c r="F114" s="482">
        <f>IF(E111/0.95-E111&lt;E114,"Exceeds 5%","")</f>
      </c>
      <c r="G114" s="491">
        <f>IF(E117&gt;0,E116,E118)</f>
        <v>1630449</v>
      </c>
      <c r="H114" s="490" t="str">
        <f>CONCATENATE("",E1," Ad Valorem Tax (est.)")</f>
        <v>2013 Ad Valorem Tax (est.)</v>
      </c>
      <c r="I114" s="489"/>
      <c r="J114" s="486"/>
      <c r="K114" s="684">
        <f>IF(G114=E118,"","Note: Does not include Delinquent Taxes")</f>
      </c>
    </row>
    <row r="115" spans="2:10" ht="15.75">
      <c r="B115" s="476" t="str">
        <f>CONCATENATE(C129,"     ",D129)</f>
        <v>     </v>
      </c>
      <c r="C115" s="755" t="s">
        <v>70</v>
      </c>
      <c r="D115" s="756"/>
      <c r="E115" s="259">
        <f>E111+E114</f>
        <v>2500000</v>
      </c>
      <c r="G115" s="487">
        <f>SUM(G112:G114)</f>
        <v>2500000</v>
      </c>
      <c r="H115" s="490" t="str">
        <f>CONCATENATE("Total ",E1," Resources Available")</f>
        <v>Total 2013 Resources Available</v>
      </c>
      <c r="I115" s="489"/>
      <c r="J115" s="486"/>
    </row>
    <row r="116" spans="2:10" ht="15.75">
      <c r="B116" s="476" t="str">
        <f>CONCATENATE(C130,"     ",D130)</f>
        <v>     </v>
      </c>
      <c r="C116" s="315"/>
      <c r="D116" s="107" t="s">
        <v>738</v>
      </c>
      <c r="E116" s="259">
        <f>IF(E115-E55&gt;0,E115-E55,0)</f>
        <v>1630449</v>
      </c>
      <c r="G116" s="492"/>
      <c r="H116" s="490"/>
      <c r="I116" s="490"/>
      <c r="J116" s="486"/>
    </row>
    <row r="117" spans="2:10" ht="15.75">
      <c r="B117" s="281"/>
      <c r="C117" s="458" t="s">
        <v>71</v>
      </c>
      <c r="D117" s="687">
        <f>inputOth!$E$22</f>
        <v>0</v>
      </c>
      <c r="E117" s="259">
        <f>IF(D117&gt;0,(E116*D117),0)</f>
        <v>0</v>
      </c>
      <c r="G117" s="491">
        <f>C111*0.05+C111</f>
        <v>2457077.7</v>
      </c>
      <c r="H117" s="490" t="str">
        <f>CONCATENATE("Less ",E1-2," Expenditures + 5%")</f>
        <v>Less 2011 Expenditures + 5%</v>
      </c>
      <c r="I117" s="489"/>
      <c r="J117" s="486"/>
    </row>
    <row r="118" spans="2:10" ht="15.75">
      <c r="B118" s="67"/>
      <c r="C118" s="751" t="str">
        <f>CONCATENATE("Amount of  ",$E$1-1," Ad Valorem Tax")</f>
        <v>Amount of  2012 Ad Valorem Tax</v>
      </c>
      <c r="D118" s="752"/>
      <c r="E118" s="333">
        <f>E116+E117</f>
        <v>1630449</v>
      </c>
      <c r="G118" s="496">
        <f>G115-G117</f>
        <v>42922.299999999814</v>
      </c>
      <c r="H118" s="493" t="str">
        <f>CONCATENATE("Projected ",E1," Carryover (est.)")</f>
        <v>Projected 2013 Carryover (est.)</v>
      </c>
      <c r="I118" s="494"/>
      <c r="J118" s="495"/>
    </row>
    <row r="119" spans="2:5" ht="15.75">
      <c r="B119" s="67"/>
      <c r="C119" s="67"/>
      <c r="D119" s="67"/>
      <c r="E119" s="67"/>
    </row>
    <row r="120" spans="2:10" ht="15.75">
      <c r="B120" s="81"/>
      <c r="C120" s="81" t="str">
        <f>CONCATENATE("Page No. ",C57,"a")</f>
        <v>Page No. 9a</v>
      </c>
      <c r="D120" s="186"/>
      <c r="E120" s="81"/>
      <c r="G120" s="757" t="s">
        <v>201</v>
      </c>
      <c r="H120" s="758"/>
      <c r="I120" s="758"/>
      <c r="J120" s="759"/>
    </row>
    <row r="121" spans="7:10" ht="15.75">
      <c r="G121" s="654"/>
      <c r="H121" s="646"/>
      <c r="I121" s="655"/>
      <c r="J121" s="656"/>
    </row>
    <row r="122" spans="7:10" ht="15.75">
      <c r="G122" s="657">
        <f>summ!H18</f>
        <v>14.539</v>
      </c>
      <c r="H122" s="646" t="str">
        <f>CONCATENATE("",E1," Fund Mill Rate")</f>
        <v>2013 Fund Mill Rate</v>
      </c>
      <c r="I122" s="655"/>
      <c r="J122" s="656"/>
    </row>
    <row r="123" spans="7:10" ht="15.75">
      <c r="G123" s="658">
        <f>summ!E18</f>
        <v>16.099</v>
      </c>
      <c r="H123" s="646" t="str">
        <f>CONCATENATE("",E1-1," Fund Mill Rate")</f>
        <v>2012 Fund Mill Rate</v>
      </c>
      <c r="I123" s="655"/>
      <c r="J123" s="656"/>
    </row>
    <row r="124" spans="7:10" ht="15.75">
      <c r="G124" s="659">
        <f>summ!H52</f>
        <v>73.908</v>
      </c>
      <c r="H124" s="646" t="str">
        <f>CONCATENATE("Total ",E1," Mill Rate")</f>
        <v>Total 2013 Mill Rate</v>
      </c>
      <c r="I124" s="655"/>
      <c r="J124" s="656"/>
    </row>
    <row r="125" spans="7:10" ht="15.75">
      <c r="G125" s="658">
        <f>summ!E52</f>
        <v>77.497</v>
      </c>
      <c r="H125" s="660" t="str">
        <f>CONCATENATE("Total ",E1-1," Mill Rate")</f>
        <v>Total 2012 Mill Rate</v>
      </c>
      <c r="I125" s="661"/>
      <c r="J125" s="662"/>
    </row>
    <row r="129" spans="3:4" ht="15.75" hidden="1">
      <c r="C129" s="52">
        <f>IF(C111&gt;C113,"See Tab A","")</f>
      </c>
      <c r="D129" s="52">
        <f>IF(D111&gt;D113,"See Tab C","")</f>
      </c>
    </row>
    <row r="130" spans="3:4" ht="15.75" hidden="1">
      <c r="C130" s="52">
        <f>IF(C112&lt;0,"See Tab B","")</f>
      </c>
      <c r="D130" s="52">
        <f>IF(D112&lt;0,"See Tab D","")</f>
      </c>
    </row>
  </sheetData>
  <sheetProtection sheet="1"/>
  <mergeCells count="6">
    <mergeCell ref="G120:J120"/>
    <mergeCell ref="G103:J103"/>
    <mergeCell ref="C114:D114"/>
    <mergeCell ref="C115:D115"/>
    <mergeCell ref="G110:J110"/>
    <mergeCell ref="C118:D118"/>
  </mergeCells>
  <conditionalFormatting sqref="C52">
    <cfRule type="cellIs" priority="2" dxfId="351" operator="greaterThan" stopIfTrue="1">
      <formula>$C$54*0.1</formula>
    </cfRule>
  </conditionalFormatting>
  <conditionalFormatting sqref="D52">
    <cfRule type="cellIs" priority="3" dxfId="351" operator="greaterThan" stopIfTrue="1">
      <formula>$D$54*0.1</formula>
    </cfRule>
  </conditionalFormatting>
  <conditionalFormatting sqref="E109">
    <cfRule type="cellIs" priority="4" dxfId="351" operator="greaterThan" stopIfTrue="1">
      <formula>$E$111*0.1</formula>
    </cfRule>
  </conditionalFormatting>
  <conditionalFormatting sqref="E114">
    <cfRule type="cellIs" priority="5" dxfId="351" operator="greaterThan" stopIfTrue="1">
      <formula>$E$111/0.95-$E$111</formula>
    </cfRule>
  </conditionalFormatting>
  <conditionalFormatting sqref="E52">
    <cfRule type="cellIs" priority="6" dxfId="351" operator="greaterThan" stopIfTrue="1">
      <formula>$E$54*0.1+E118</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C111">
    <cfRule type="cellIs" priority="9" dxfId="2" operator="greaterThan" stopIfTrue="1">
      <formula>$C$113</formula>
    </cfRule>
  </conditionalFormatting>
  <conditionalFormatting sqref="D111">
    <cfRule type="cellIs" priority="10" dxfId="2" operator="greaterThan" stopIfTrue="1">
      <formula>$D$113</formula>
    </cfRule>
  </conditionalFormatting>
  <conditionalFormatting sqref="C112">
    <cfRule type="cellIs" priority="11" dxfId="2" operator="lessThan" stopIfTrue="1">
      <formula>0</formula>
    </cfRule>
  </conditionalFormatting>
  <conditionalFormatting sqref="D112">
    <cfRule type="cellIs" priority="1" dxfId="0" operator="lessThan" stopIfTrue="1">
      <formula>0</formula>
    </cfRule>
  </conditionalFormatting>
  <printOptions/>
  <pageMargins left="0.75" right="0.75" top="1" bottom="1" header="0.5" footer="0.5"/>
  <pageSetup blackAndWhite="1" fitToHeight="2" horizontalDpi="600" verticalDpi="600" orientation="portrait" scale="65" r:id="rId1"/>
  <headerFooter alignWithMargins="0">
    <oddHeader>&amp;RState of Kansas
County</oddHeader>
  </headerFooter>
  <rowBreaks count="1" manualBreakCount="1">
    <brk id="58" max="255" man="1"/>
  </rowBreaks>
</worksheet>
</file>

<file path=xl/worksheets/sheet19.xml><?xml version="1.0" encoding="utf-8"?>
<worksheet xmlns="http://schemas.openxmlformats.org/spreadsheetml/2006/main" xmlns:r="http://schemas.openxmlformats.org/officeDocument/2006/relationships">
  <sheetPr>
    <pageSetUpPr fitToPage="1"/>
  </sheetPr>
  <dimension ref="B1:E46"/>
  <sheetViews>
    <sheetView zoomScalePageLayoutView="0" workbookViewId="0" topLeftCell="A1">
      <selection activeCell="E36" sqref="E36"/>
    </sheetView>
  </sheetViews>
  <sheetFormatPr defaultColWidth="8.796875" defaultRowHeight="15"/>
  <cols>
    <col min="1" max="1" width="2.3984375" style="52" customWidth="1"/>
    <col min="2" max="2" width="28.296875" style="52" customWidth="1"/>
    <col min="3" max="4" width="15.796875" style="52" customWidth="1"/>
    <col min="5" max="5" width="16.19921875" style="52" customWidth="1"/>
    <col min="6" max="16384" width="8.8984375" style="52" customWidth="1"/>
  </cols>
  <sheetData>
    <row r="1" spans="2:5" ht="15.75">
      <c r="B1" s="200" t="str">
        <f>inputPrYr!C3</f>
        <v>Russell County</v>
      </c>
      <c r="C1" s="67"/>
      <c r="D1" s="186"/>
      <c r="E1" s="67">
        <f>inputPrYr!C5</f>
        <v>2013</v>
      </c>
    </row>
    <row r="2" spans="2:5" ht="15.75">
      <c r="B2" s="67"/>
      <c r="C2" s="67"/>
      <c r="D2" s="67"/>
      <c r="E2" s="186"/>
    </row>
    <row r="3" spans="2:5" ht="15.75">
      <c r="B3" s="209" t="s">
        <v>983</v>
      </c>
      <c r="C3" s="305"/>
      <c r="D3" s="305"/>
      <c r="E3" s="305"/>
    </row>
    <row r="4" spans="2:5" ht="15.75">
      <c r="B4" s="186" t="s">
        <v>723</v>
      </c>
      <c r="C4" s="625" t="s">
        <v>197</v>
      </c>
      <c r="D4" s="626" t="s">
        <v>198</v>
      </c>
      <c r="E4" s="149" t="s">
        <v>199</v>
      </c>
    </row>
    <row r="5" spans="2:5" ht="15.75">
      <c r="B5" s="464" t="s">
        <v>72</v>
      </c>
      <c r="C5" s="441" t="str">
        <f>CONCATENATE("Actual for ",E1-2,"")</f>
        <v>Actual for 2011</v>
      </c>
      <c r="D5" s="441" t="str">
        <f>CONCATENATE("Estimate for ",E1-1,"")</f>
        <v>Estimate for 2012</v>
      </c>
      <c r="E5" s="294" t="str">
        <f>CONCATENATE("Year for ",E1,"")</f>
        <v>Year for 2013</v>
      </c>
    </row>
    <row r="6" spans="2:5" ht="15.75">
      <c r="B6" s="256" t="s">
        <v>736</v>
      </c>
      <c r="C6" s="110"/>
      <c r="D6" s="110"/>
      <c r="E6" s="110"/>
    </row>
    <row r="7" spans="2:5" ht="15.75">
      <c r="B7" s="336" t="s">
        <v>6</v>
      </c>
      <c r="C7" s="110"/>
      <c r="D7" s="110"/>
      <c r="E7" s="110"/>
    </row>
    <row r="8" spans="2:5" ht="15.75">
      <c r="B8" s="337" t="s">
        <v>741</v>
      </c>
      <c r="C8" s="298">
        <v>545582</v>
      </c>
      <c r="D8" s="298">
        <v>790000</v>
      </c>
      <c r="E8" s="298">
        <v>790000</v>
      </c>
    </row>
    <row r="9" spans="2:5" ht="15.75">
      <c r="B9" s="337" t="s">
        <v>742</v>
      </c>
      <c r="C9" s="298"/>
      <c r="D9" s="298"/>
      <c r="E9" s="298"/>
    </row>
    <row r="10" spans="2:5" ht="15.75">
      <c r="B10" s="337" t="s">
        <v>743</v>
      </c>
      <c r="C10" s="298"/>
      <c r="D10" s="298"/>
      <c r="E10" s="298"/>
    </row>
    <row r="11" spans="2:5" ht="15.75">
      <c r="B11" s="337" t="s">
        <v>744</v>
      </c>
      <c r="C11" s="298"/>
      <c r="D11" s="298"/>
      <c r="E11" s="298"/>
    </row>
    <row r="12" spans="2:5" ht="15.75">
      <c r="B12" s="256" t="s">
        <v>695</v>
      </c>
      <c r="C12" s="312">
        <f>SUM(C8:C11)</f>
        <v>545582</v>
      </c>
      <c r="D12" s="312">
        <f>SUM(D8:D11)</f>
        <v>790000</v>
      </c>
      <c r="E12" s="312">
        <f>SUM(E8:E11)</f>
        <v>790000</v>
      </c>
    </row>
    <row r="13" spans="2:5" ht="15.75">
      <c r="B13" s="336" t="s">
        <v>449</v>
      </c>
      <c r="C13" s="110"/>
      <c r="D13" s="110"/>
      <c r="E13" s="110"/>
    </row>
    <row r="14" spans="2:5" ht="15.75">
      <c r="B14" s="337" t="s">
        <v>741</v>
      </c>
      <c r="C14" s="298"/>
      <c r="D14" s="298"/>
      <c r="E14" s="298"/>
    </row>
    <row r="15" spans="2:5" ht="15.75">
      <c r="B15" s="337" t="s">
        <v>742</v>
      </c>
      <c r="C15" s="298"/>
      <c r="D15" s="298"/>
      <c r="E15" s="298"/>
    </row>
    <row r="16" spans="2:5" ht="15.75">
      <c r="B16" s="337" t="s">
        <v>743</v>
      </c>
      <c r="C16" s="298">
        <v>1322018</v>
      </c>
      <c r="D16" s="298">
        <v>1250200</v>
      </c>
      <c r="E16" s="298">
        <v>1250200</v>
      </c>
    </row>
    <row r="17" spans="2:5" ht="15.75">
      <c r="B17" s="337" t="s">
        <v>744</v>
      </c>
      <c r="C17" s="298"/>
      <c r="D17" s="298"/>
      <c r="E17" s="298"/>
    </row>
    <row r="18" spans="2:5" ht="15.75">
      <c r="B18" s="256" t="s">
        <v>695</v>
      </c>
      <c r="C18" s="312">
        <f>SUM(C14:C17)</f>
        <v>1322018</v>
      </c>
      <c r="D18" s="312">
        <f>SUM(D14:D17)</f>
        <v>1250200</v>
      </c>
      <c r="E18" s="312">
        <f>SUM(E14:E17)</f>
        <v>1250200</v>
      </c>
    </row>
    <row r="19" spans="2:5" ht="15.75">
      <c r="B19" s="336" t="s">
        <v>450</v>
      </c>
      <c r="C19" s="110"/>
      <c r="D19" s="110"/>
      <c r="E19" s="110"/>
    </row>
    <row r="20" spans="2:5" ht="15.75">
      <c r="B20" s="337" t="s">
        <v>741</v>
      </c>
      <c r="C20" s="298"/>
      <c r="D20" s="298"/>
      <c r="E20" s="298"/>
    </row>
    <row r="21" spans="2:5" ht="15.75">
      <c r="B21" s="337" t="s">
        <v>742</v>
      </c>
      <c r="C21" s="298">
        <v>48734</v>
      </c>
      <c r="D21" s="298">
        <v>280500</v>
      </c>
      <c r="E21" s="298">
        <v>280500</v>
      </c>
    </row>
    <row r="22" spans="2:5" ht="15.75">
      <c r="B22" s="337" t="s">
        <v>743</v>
      </c>
      <c r="C22" s="298"/>
      <c r="D22" s="298"/>
      <c r="E22" s="298"/>
    </row>
    <row r="23" spans="2:5" ht="15.75">
      <c r="B23" s="337" t="s">
        <v>744</v>
      </c>
      <c r="C23" s="298"/>
      <c r="D23" s="298"/>
      <c r="E23" s="298"/>
    </row>
    <row r="24" spans="2:5" ht="15.75">
      <c r="B24" s="256" t="s">
        <v>695</v>
      </c>
      <c r="C24" s="312">
        <f>SUM(C20:C23)</f>
        <v>48734</v>
      </c>
      <c r="D24" s="312">
        <f>SUM(D20:D23)</f>
        <v>280500</v>
      </c>
      <c r="E24" s="312">
        <f>SUM(E20:E23)</f>
        <v>280500</v>
      </c>
    </row>
    <row r="25" spans="2:5" ht="15.75">
      <c r="B25" s="336" t="s">
        <v>453</v>
      </c>
      <c r="C25" s="110"/>
      <c r="D25" s="110"/>
      <c r="E25" s="110"/>
    </row>
    <row r="26" spans="2:5" ht="15.75">
      <c r="B26" s="337" t="s">
        <v>741</v>
      </c>
      <c r="C26" s="298"/>
      <c r="D26" s="298"/>
      <c r="E26" s="298"/>
    </row>
    <row r="27" spans="2:5" ht="15.75">
      <c r="B27" s="337" t="s">
        <v>742</v>
      </c>
      <c r="C27" s="298"/>
      <c r="D27" s="298"/>
      <c r="E27" s="298"/>
    </row>
    <row r="28" spans="2:5" ht="15.75">
      <c r="B28" s="337" t="s">
        <v>743</v>
      </c>
      <c r="C28" s="298"/>
      <c r="D28" s="298"/>
      <c r="E28" s="298"/>
    </row>
    <row r="29" spans="2:5" ht="15.75">
      <c r="B29" s="337" t="s">
        <v>744</v>
      </c>
      <c r="C29" s="298">
        <v>73740</v>
      </c>
      <c r="D29" s="298">
        <v>50000</v>
      </c>
      <c r="E29" s="298">
        <v>50000</v>
      </c>
    </row>
    <row r="30" spans="2:5" ht="15.75">
      <c r="B30" s="256" t="s">
        <v>695</v>
      </c>
      <c r="C30" s="312">
        <f>SUM(C26:C29)</f>
        <v>73740</v>
      </c>
      <c r="D30" s="312">
        <f>SUM(D26:D29)</f>
        <v>50000</v>
      </c>
      <c r="E30" s="312">
        <f>SUM(E26:E29)</f>
        <v>50000</v>
      </c>
    </row>
    <row r="31" spans="2:5" ht="15.75">
      <c r="B31" s="336" t="s">
        <v>7</v>
      </c>
      <c r="C31" s="110"/>
      <c r="D31" s="110"/>
      <c r="E31" s="110"/>
    </row>
    <row r="32" spans="2:5" ht="15.75">
      <c r="B32" s="337" t="s">
        <v>741</v>
      </c>
      <c r="C32" s="298"/>
      <c r="D32" s="298"/>
      <c r="E32" s="298"/>
    </row>
    <row r="33" spans="2:5" ht="15.75">
      <c r="B33" s="337" t="s">
        <v>742</v>
      </c>
      <c r="C33" s="298"/>
      <c r="D33" s="298"/>
      <c r="E33" s="298"/>
    </row>
    <row r="34" spans="2:5" ht="15.75">
      <c r="B34" s="337" t="s">
        <v>743</v>
      </c>
      <c r="C34" s="298"/>
      <c r="D34" s="298"/>
      <c r="E34" s="298"/>
    </row>
    <row r="35" spans="2:5" ht="15.75">
      <c r="B35" s="337" t="s">
        <v>744</v>
      </c>
      <c r="C35" s="298">
        <v>350000</v>
      </c>
      <c r="D35" s="298">
        <v>129300</v>
      </c>
      <c r="E35" s="298">
        <v>129300</v>
      </c>
    </row>
    <row r="36" spans="2:5" ht="15.75">
      <c r="B36" s="256" t="s">
        <v>695</v>
      </c>
      <c r="C36" s="312">
        <f>SUM(C32:C35)</f>
        <v>350000</v>
      </c>
      <c r="D36" s="312">
        <f>SUM(D32:D35)</f>
        <v>129300</v>
      </c>
      <c r="E36" s="312">
        <f>SUM(E32:E35)</f>
        <v>129300</v>
      </c>
    </row>
    <row r="37" spans="2:5" ht="15.75">
      <c r="B37" s="336" t="s">
        <v>761</v>
      </c>
      <c r="C37" s="110"/>
      <c r="D37" s="110"/>
      <c r="E37" s="110"/>
    </row>
    <row r="38" spans="2:5" ht="15.75">
      <c r="B38" s="337" t="s">
        <v>741</v>
      </c>
      <c r="C38" s="298"/>
      <c r="D38" s="298"/>
      <c r="E38" s="298"/>
    </row>
    <row r="39" spans="2:5" ht="15.75">
      <c r="B39" s="337" t="s">
        <v>742</v>
      </c>
      <c r="C39" s="298"/>
      <c r="D39" s="298"/>
      <c r="E39" s="298"/>
    </row>
    <row r="40" spans="2:5" ht="15.75">
      <c r="B40" s="337" t="s">
        <v>743</v>
      </c>
      <c r="C40" s="298"/>
      <c r="D40" s="298"/>
      <c r="E40" s="298"/>
    </row>
    <row r="41" spans="2:5" ht="15.75">
      <c r="B41" s="337" t="s">
        <v>744</v>
      </c>
      <c r="C41" s="298"/>
      <c r="D41" s="298"/>
      <c r="E41" s="298"/>
    </row>
    <row r="42" spans="2:5" ht="15.75">
      <c r="B42" s="256" t="s">
        <v>695</v>
      </c>
      <c r="C42" s="312">
        <f>SUM(C38:C41)</f>
        <v>0</v>
      </c>
      <c r="D42" s="312">
        <f>SUM(D38:D41)</f>
        <v>0</v>
      </c>
      <c r="E42" s="312">
        <f>SUM(E38:E41)</f>
        <v>0</v>
      </c>
    </row>
    <row r="43" spans="2:5" ht="15.75">
      <c r="B43" s="67" t="s">
        <v>936</v>
      </c>
      <c r="C43" s="308">
        <f>SUM(C12+C18+C24+C30+C36+C42)</f>
        <v>2340074</v>
      </c>
      <c r="D43" s="308">
        <f>SUM(D12+D18+D24+D30+D36+D42)</f>
        <v>2500000</v>
      </c>
      <c r="E43" s="308">
        <f>SUM(E12+E18+E24+E30+E36+E42)</f>
        <v>2500000</v>
      </c>
    </row>
    <row r="44" spans="2:5" ht="15.75">
      <c r="B44" s="67"/>
      <c r="C44" s="69"/>
      <c r="D44" s="69"/>
      <c r="E44" s="69"/>
    </row>
    <row r="45" spans="2:5" ht="15.75">
      <c r="B45" s="763" t="s">
        <v>959</v>
      </c>
      <c r="C45" s="764"/>
      <c r="D45" s="764"/>
      <c r="E45" s="69"/>
    </row>
    <row r="46" spans="2:5" ht="15.75">
      <c r="B46" s="281"/>
      <c r="C46" s="84" t="str">
        <f>CONCATENATE("Page No.",road!C57,"b")</f>
        <v>Page No.9b</v>
      </c>
      <c r="D46" s="67"/>
      <c r="E46" s="67"/>
    </row>
  </sheetData>
  <sheetProtection sheet="1"/>
  <mergeCells count="1">
    <mergeCell ref="B45:D45"/>
  </mergeCells>
  <printOptions/>
  <pageMargins left="1.12" right="0.5" top="0.74" bottom="0.34" header="0.5" footer="0"/>
  <pageSetup blackAndWhite="1" fitToHeight="1" fitToWidth="1" horizontalDpi="300" verticalDpi="300" orientation="portrait" scale="93"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03"/>
  <sheetViews>
    <sheetView zoomScalePageLayoutView="0" workbookViewId="0" topLeftCell="A31">
      <selection activeCell="B53" sqref="B53"/>
    </sheetView>
  </sheetViews>
  <sheetFormatPr defaultColWidth="8.796875" defaultRowHeight="15"/>
  <cols>
    <col min="1" max="1" width="15.796875" style="52" customWidth="1"/>
    <col min="2" max="2" width="20.796875" style="52" customWidth="1"/>
    <col min="3" max="3" width="8.796875" style="52" customWidth="1"/>
    <col min="4" max="5" width="13.296875" style="52" customWidth="1"/>
    <col min="6" max="6" width="10.796875" style="52" customWidth="1"/>
    <col min="7" max="7" width="1.796875" style="52" customWidth="1"/>
    <col min="8" max="8" width="18.69921875" style="52" customWidth="1"/>
    <col min="9" max="16384" width="8.8984375" style="52" customWidth="1"/>
  </cols>
  <sheetData>
    <row r="1" spans="1:6" ht="15.75">
      <c r="A1" s="706" t="s">
        <v>692</v>
      </c>
      <c r="B1" s="707"/>
      <c r="C1" s="707"/>
      <c r="D1" s="707"/>
      <c r="E1" s="707"/>
      <c r="F1" s="707"/>
    </row>
    <row r="2" spans="1:6" ht="15.75">
      <c r="A2" s="64"/>
      <c r="B2" s="65"/>
      <c r="C2" s="65"/>
      <c r="D2" s="65"/>
      <c r="E2" s="65"/>
      <c r="F2" s="65"/>
    </row>
    <row r="3" spans="1:6" ht="15.75">
      <c r="A3" s="66" t="s">
        <v>889</v>
      </c>
      <c r="B3" s="67"/>
      <c r="C3" s="183" t="s">
        <v>396</v>
      </c>
      <c r="D3" s="183"/>
      <c r="E3" s="68"/>
      <c r="F3" s="69"/>
    </row>
    <row r="4" spans="1:6" ht="15.75">
      <c r="A4" s="66"/>
      <c r="B4" s="67"/>
      <c r="C4" s="67"/>
      <c r="D4" s="67"/>
      <c r="E4" s="70"/>
      <c r="F4" s="69"/>
    </row>
    <row r="5" spans="1:6" ht="15.75">
      <c r="A5" s="66" t="s">
        <v>892</v>
      </c>
      <c r="B5" s="67"/>
      <c r="C5" s="71">
        <v>2013</v>
      </c>
      <c r="D5" s="72"/>
      <c r="E5" s="73"/>
      <c r="F5" s="69"/>
    </row>
    <row r="6" spans="1:6" ht="15.75">
      <c r="A6" s="67"/>
      <c r="B6" s="67"/>
      <c r="C6" s="67"/>
      <c r="D6" s="67"/>
      <c r="E6" s="67"/>
      <c r="F6" s="67"/>
    </row>
    <row r="7" spans="1:9" ht="15.75">
      <c r="A7" s="74" t="s">
        <v>42</v>
      </c>
      <c r="B7" s="75"/>
      <c r="C7" s="75"/>
      <c r="D7" s="75"/>
      <c r="E7" s="75"/>
      <c r="F7" s="75"/>
      <c r="G7" s="67"/>
      <c r="H7" s="699" t="s">
        <v>238</v>
      </c>
      <c r="I7" s="700"/>
    </row>
    <row r="8" spans="1:9" ht="15.75">
      <c r="A8" s="74" t="s">
        <v>43</v>
      </c>
      <c r="B8" s="75"/>
      <c r="C8" s="75"/>
      <c r="D8" s="75"/>
      <c r="E8" s="75"/>
      <c r="F8" s="75"/>
      <c r="G8" s="67"/>
      <c r="H8" s="701"/>
      <c r="I8" s="700"/>
    </row>
    <row r="9" spans="1:9" ht="15.75">
      <c r="A9" s="708" t="s">
        <v>292</v>
      </c>
      <c r="B9" s="709"/>
      <c r="C9" s="709"/>
      <c r="D9" s="709"/>
      <c r="E9" s="709"/>
      <c r="F9" s="709"/>
      <c r="G9" s="67"/>
      <c r="H9" s="701"/>
      <c r="I9" s="700"/>
    </row>
    <row r="10" spans="1:9" ht="15.75">
      <c r="A10" s="76"/>
      <c r="B10" s="77"/>
      <c r="C10" s="77"/>
      <c r="D10" s="77"/>
      <c r="E10" s="77"/>
      <c r="F10" s="77"/>
      <c r="G10" s="67"/>
      <c r="H10" s="701"/>
      <c r="I10" s="700"/>
    </row>
    <row r="11" spans="1:9" ht="15.75">
      <c r="A11" s="78" t="str">
        <f>CONCATENATE("The input for the following comes directly from the ",C5-1," Budget:")</f>
        <v>The input for the following comes directly from the 2012 Budget:</v>
      </c>
      <c r="B11" s="79"/>
      <c r="C11" s="79"/>
      <c r="D11" s="79"/>
      <c r="E11" s="67"/>
      <c r="F11" s="67"/>
      <c r="G11" s="67"/>
      <c r="H11" s="701"/>
      <c r="I11" s="700"/>
    </row>
    <row r="12" spans="1:9" ht="15.75">
      <c r="A12" s="80" t="s">
        <v>893</v>
      </c>
      <c r="B12" s="79"/>
      <c r="C12" s="79"/>
      <c r="D12" s="79"/>
      <c r="E12" s="67"/>
      <c r="F12" s="67"/>
      <c r="G12" s="67"/>
      <c r="H12" s="701"/>
      <c r="I12" s="700"/>
    </row>
    <row r="13" spans="1:9" ht="15.75">
      <c r="A13" s="80" t="s">
        <v>303</v>
      </c>
      <c r="B13" s="79"/>
      <c r="C13" s="79"/>
      <c r="D13" s="79"/>
      <c r="E13" s="67"/>
      <c r="F13" s="67"/>
      <c r="G13" s="67"/>
      <c r="H13" s="69"/>
      <c r="I13" s="690"/>
    </row>
    <row r="14" spans="1:9" ht="15.75">
      <c r="A14" s="67"/>
      <c r="B14" s="67"/>
      <c r="C14" s="81"/>
      <c r="D14" s="82">
        <f>C5-1</f>
        <v>2012</v>
      </c>
      <c r="E14" s="83">
        <f>C5-2</f>
        <v>2011</v>
      </c>
      <c r="F14" s="83">
        <f>C5-2</f>
        <v>2011</v>
      </c>
      <c r="H14" s="251" t="s">
        <v>239</v>
      </c>
      <c r="I14" s="246" t="s">
        <v>739</v>
      </c>
    </row>
    <row r="15" spans="1:9" ht="15.75">
      <c r="A15" s="66" t="s">
        <v>915</v>
      </c>
      <c r="B15" s="67"/>
      <c r="C15" s="84" t="s">
        <v>693</v>
      </c>
      <c r="D15" s="85" t="s">
        <v>302</v>
      </c>
      <c r="E15" s="85" t="s">
        <v>977</v>
      </c>
      <c r="F15" s="85" t="s">
        <v>971</v>
      </c>
      <c r="H15" s="257" t="str">
        <f>CONCATENATE("",E14," Ad Valorem Tax")</f>
        <v>2011 Ad Valorem Tax</v>
      </c>
      <c r="I15" s="691">
        <v>0</v>
      </c>
    </row>
    <row r="16" spans="1:8" ht="15.75">
      <c r="A16" s="67"/>
      <c r="B16" s="86" t="s">
        <v>694</v>
      </c>
      <c r="C16" s="87" t="s">
        <v>855</v>
      </c>
      <c r="D16" s="88">
        <v>5400780</v>
      </c>
      <c r="E16" s="89">
        <v>1685132</v>
      </c>
      <c r="F16" s="90">
        <v>15.64</v>
      </c>
      <c r="H16" s="259">
        <f>IF($I$15&gt;0,ROUND(E16-(E16*$I$15),0),0)</f>
        <v>0</v>
      </c>
    </row>
    <row r="17" spans="1:8" ht="15.75">
      <c r="A17" s="67"/>
      <c r="B17" s="86" t="s">
        <v>748</v>
      </c>
      <c r="C17" s="87" t="s">
        <v>894</v>
      </c>
      <c r="D17" s="88">
        <v>420065</v>
      </c>
      <c r="E17" s="89"/>
      <c r="F17" s="90"/>
      <c r="H17" s="259">
        <f aca="true" t="shared" si="0" ref="H17:H40">IF($I$15&gt;0,ROUND(E17-(E17*$I$15),0),0)</f>
        <v>0</v>
      </c>
    </row>
    <row r="18" spans="1:8" ht="15.75">
      <c r="A18" s="67"/>
      <c r="B18" s="86" t="s">
        <v>757</v>
      </c>
      <c r="C18" s="87" t="s">
        <v>855</v>
      </c>
      <c r="D18" s="88">
        <v>2500000</v>
      </c>
      <c r="E18" s="89">
        <v>1734507</v>
      </c>
      <c r="F18" s="90">
        <v>16.099</v>
      </c>
      <c r="H18" s="259">
        <f t="shared" si="0"/>
        <v>0</v>
      </c>
    </row>
    <row r="19" spans="1:8" ht="15.75">
      <c r="A19" s="66"/>
      <c r="B19" s="91" t="s">
        <v>397</v>
      </c>
      <c r="C19" s="457"/>
      <c r="D19" s="88">
        <v>640000</v>
      </c>
      <c r="E19" s="88">
        <v>356819</v>
      </c>
      <c r="F19" s="92">
        <v>3.312</v>
      </c>
      <c r="H19" s="259">
        <f t="shared" si="0"/>
        <v>0</v>
      </c>
    </row>
    <row r="20" spans="1:8" ht="15.75">
      <c r="A20" s="67"/>
      <c r="B20" s="93" t="s">
        <v>398</v>
      </c>
      <c r="C20" s="457"/>
      <c r="D20" s="88">
        <v>358600</v>
      </c>
      <c r="E20" s="94">
        <v>161316</v>
      </c>
      <c r="F20" s="90">
        <v>1.5</v>
      </c>
      <c r="H20" s="259">
        <f t="shared" si="0"/>
        <v>0</v>
      </c>
    </row>
    <row r="21" spans="1:8" ht="15.75">
      <c r="A21" s="67"/>
      <c r="B21" s="93" t="s">
        <v>399</v>
      </c>
      <c r="C21" s="457"/>
      <c r="D21" s="88">
        <v>280000</v>
      </c>
      <c r="E21" s="94">
        <v>72423</v>
      </c>
      <c r="F21" s="90">
        <v>0.672</v>
      </c>
      <c r="H21" s="259">
        <f t="shared" si="0"/>
        <v>0</v>
      </c>
    </row>
    <row r="22" spans="1:8" ht="15.75">
      <c r="A22" s="67"/>
      <c r="B22" s="93" t="s">
        <v>400</v>
      </c>
      <c r="C22" s="457"/>
      <c r="D22" s="88">
        <v>166500</v>
      </c>
      <c r="E22" s="94">
        <v>28356</v>
      </c>
      <c r="F22" s="90">
        <v>0.263</v>
      </c>
      <c r="H22" s="259">
        <f t="shared" si="0"/>
        <v>0</v>
      </c>
    </row>
    <row r="23" spans="1:8" ht="15.75">
      <c r="A23" s="67"/>
      <c r="B23" s="93" t="s">
        <v>745</v>
      </c>
      <c r="C23" s="457"/>
      <c r="D23" s="88">
        <v>1675530</v>
      </c>
      <c r="E23" s="94">
        <v>750000</v>
      </c>
      <c r="F23" s="90">
        <v>6.961</v>
      </c>
      <c r="H23" s="259">
        <f t="shared" si="0"/>
        <v>0</v>
      </c>
    </row>
    <row r="24" spans="1:8" ht="15.75">
      <c r="A24" s="67"/>
      <c r="B24" s="93" t="s">
        <v>401</v>
      </c>
      <c r="C24" s="457"/>
      <c r="D24" s="88">
        <v>50000</v>
      </c>
      <c r="E24" s="94">
        <v>45969</v>
      </c>
      <c r="F24" s="90">
        <v>0.426</v>
      </c>
      <c r="H24" s="259">
        <f t="shared" si="0"/>
        <v>0</v>
      </c>
    </row>
    <row r="25" spans="1:8" ht="15.75">
      <c r="A25" s="67"/>
      <c r="B25" s="93" t="s">
        <v>402</v>
      </c>
      <c r="C25" s="457"/>
      <c r="D25" s="88">
        <v>160000</v>
      </c>
      <c r="E25" s="94">
        <v>148101</v>
      </c>
      <c r="F25" s="90">
        <v>1.375</v>
      </c>
      <c r="H25" s="259">
        <f t="shared" si="0"/>
        <v>0</v>
      </c>
    </row>
    <row r="26" spans="1:8" ht="15.75">
      <c r="A26" s="67"/>
      <c r="B26" s="93" t="s">
        <v>716</v>
      </c>
      <c r="C26" s="457"/>
      <c r="D26" s="88">
        <v>48726</v>
      </c>
      <c r="E26" s="94">
        <v>44776</v>
      </c>
      <c r="F26" s="90">
        <v>0.416</v>
      </c>
      <c r="H26" s="259">
        <f t="shared" si="0"/>
        <v>0</v>
      </c>
    </row>
    <row r="27" spans="1:8" ht="15.75">
      <c r="A27" s="67"/>
      <c r="B27" s="93" t="s">
        <v>418</v>
      </c>
      <c r="C27" s="457"/>
      <c r="D27" s="88">
        <v>131704</v>
      </c>
      <c r="E27" s="94">
        <v>107020</v>
      </c>
      <c r="F27" s="90">
        <v>1</v>
      </c>
      <c r="H27" s="259">
        <f t="shared" si="0"/>
        <v>0</v>
      </c>
    </row>
    <row r="28" spans="1:8" ht="15.75">
      <c r="A28" s="67"/>
      <c r="B28" s="93" t="s">
        <v>417</v>
      </c>
      <c r="C28" s="457"/>
      <c r="D28" s="88">
        <v>300000</v>
      </c>
      <c r="E28" s="94">
        <v>115273</v>
      </c>
      <c r="F28" s="90">
        <v>1.07</v>
      </c>
      <c r="H28" s="259">
        <f t="shared" si="0"/>
        <v>0</v>
      </c>
    </row>
    <row r="29" spans="1:8" ht="15.75">
      <c r="A29" s="67"/>
      <c r="B29" s="93" t="s">
        <v>403</v>
      </c>
      <c r="C29" s="457"/>
      <c r="D29" s="88">
        <v>77235</v>
      </c>
      <c r="E29" s="94">
        <v>71038</v>
      </c>
      <c r="F29" s="90">
        <v>0.659</v>
      </c>
      <c r="H29" s="259">
        <f t="shared" si="0"/>
        <v>0</v>
      </c>
    </row>
    <row r="30" spans="1:8" ht="15.75">
      <c r="A30" s="67"/>
      <c r="B30" s="93" t="s">
        <v>404</v>
      </c>
      <c r="C30" s="457"/>
      <c r="D30" s="88">
        <v>219350</v>
      </c>
      <c r="E30" s="94">
        <v>168257</v>
      </c>
      <c r="F30" s="90">
        <v>1.561</v>
      </c>
      <c r="H30" s="259">
        <f t="shared" si="0"/>
        <v>0</v>
      </c>
    </row>
    <row r="31" spans="1:8" ht="15.75">
      <c r="A31" s="67"/>
      <c r="B31" s="93" t="s">
        <v>405</v>
      </c>
      <c r="C31" s="457"/>
      <c r="D31" s="88">
        <v>280416</v>
      </c>
      <c r="E31" s="94">
        <v>214038</v>
      </c>
      <c r="F31" s="90">
        <v>2</v>
      </c>
      <c r="H31" s="259">
        <f t="shared" si="0"/>
        <v>0</v>
      </c>
    </row>
    <row r="32" spans="1:8" ht="15.75">
      <c r="A32" s="67"/>
      <c r="B32" s="93" t="s">
        <v>406</v>
      </c>
      <c r="C32" s="457"/>
      <c r="D32" s="88">
        <v>2850000</v>
      </c>
      <c r="E32" s="94">
        <v>1954751</v>
      </c>
      <c r="F32" s="90">
        <v>18.143</v>
      </c>
      <c r="H32" s="259">
        <f t="shared" si="0"/>
        <v>0</v>
      </c>
    </row>
    <row r="33" spans="1:8" ht="15.75">
      <c r="A33" s="67"/>
      <c r="B33" s="93" t="s">
        <v>407</v>
      </c>
      <c r="C33" s="457"/>
      <c r="D33" s="88">
        <v>57605</v>
      </c>
      <c r="E33" s="94">
        <v>53510</v>
      </c>
      <c r="F33" s="90">
        <v>0.5</v>
      </c>
      <c r="H33" s="259">
        <f t="shared" si="0"/>
        <v>0</v>
      </c>
    </row>
    <row r="34" spans="1:8" ht="15.75">
      <c r="A34" s="67"/>
      <c r="B34" s="93" t="s">
        <v>408</v>
      </c>
      <c r="C34" s="457"/>
      <c r="D34" s="88">
        <v>679732</v>
      </c>
      <c r="E34" s="94">
        <v>631418</v>
      </c>
      <c r="F34" s="90">
        <v>5.9</v>
      </c>
      <c r="H34" s="259">
        <f t="shared" si="0"/>
        <v>0</v>
      </c>
    </row>
    <row r="35" spans="1:8" ht="15.75">
      <c r="A35" s="67"/>
      <c r="B35" s="93" t="s">
        <v>749</v>
      </c>
      <c r="C35" s="457"/>
      <c r="D35" s="88">
        <v>100000</v>
      </c>
      <c r="E35" s="94"/>
      <c r="F35" s="90"/>
      <c r="H35" s="259">
        <f t="shared" si="0"/>
        <v>0</v>
      </c>
    </row>
    <row r="36" spans="1:8" ht="15.75">
      <c r="A36" s="67"/>
      <c r="B36" s="93"/>
      <c r="C36" s="457"/>
      <c r="D36" s="88"/>
      <c r="E36" s="94"/>
      <c r="F36" s="90"/>
      <c r="H36" s="259">
        <f t="shared" si="0"/>
        <v>0</v>
      </c>
    </row>
    <row r="37" spans="1:8" ht="15.75">
      <c r="A37" s="67"/>
      <c r="B37" s="93"/>
      <c r="C37" s="457"/>
      <c r="D37" s="88"/>
      <c r="E37" s="94"/>
      <c r="F37" s="90"/>
      <c r="H37" s="259">
        <f t="shared" si="0"/>
        <v>0</v>
      </c>
    </row>
    <row r="38" spans="1:8" ht="15.75">
      <c r="A38" s="67"/>
      <c r="B38" s="93"/>
      <c r="C38" s="457"/>
      <c r="D38" s="88"/>
      <c r="E38" s="94"/>
      <c r="F38" s="90"/>
      <c r="H38" s="259">
        <f t="shared" si="0"/>
        <v>0</v>
      </c>
    </row>
    <row r="39" spans="1:8" ht="15.75">
      <c r="A39" s="67"/>
      <c r="B39" s="93"/>
      <c r="C39" s="457"/>
      <c r="D39" s="88"/>
      <c r="E39" s="94"/>
      <c r="F39" s="90"/>
      <c r="H39" s="259">
        <f t="shared" si="0"/>
        <v>0</v>
      </c>
    </row>
    <row r="40" spans="1:8" ht="15.75">
      <c r="A40" s="67"/>
      <c r="B40" s="93"/>
      <c r="C40" s="457"/>
      <c r="D40" s="88"/>
      <c r="E40" s="94"/>
      <c r="F40" s="90"/>
      <c r="H40" s="259">
        <f t="shared" si="0"/>
        <v>0</v>
      </c>
    </row>
    <row r="41" spans="1:6" ht="15.75">
      <c r="A41" s="95" t="str">
        <f>CONCATENATE("Total Tax Levy Funds Levy Amounts and Levy Rates for ",C5-1," Budget")</f>
        <v>Total Tax Levy Funds Levy Amounts and Levy Rates for 2012 Budget</v>
      </c>
      <c r="B41" s="96"/>
      <c r="C41" s="96"/>
      <c r="D41" s="97"/>
      <c r="E41" s="98">
        <f>SUM(E16:E40)</f>
        <v>8342704</v>
      </c>
      <c r="F41" s="99">
        <f>SUM(F16:F40)</f>
        <v>77.497</v>
      </c>
    </row>
    <row r="42" spans="1:6" ht="15.75">
      <c r="A42" s="73"/>
      <c r="B42" s="69"/>
      <c r="C42" s="69"/>
      <c r="D42" s="69"/>
      <c r="E42" s="100"/>
      <c r="F42" s="101"/>
    </row>
    <row r="43" spans="1:6" ht="15.75">
      <c r="A43" s="66" t="s">
        <v>895</v>
      </c>
      <c r="B43" s="67"/>
      <c r="C43" s="67"/>
      <c r="D43" s="67"/>
      <c r="E43" s="67"/>
      <c r="F43" s="67"/>
    </row>
    <row r="44" spans="1:6" ht="15.75">
      <c r="A44" s="67"/>
      <c r="B44" s="90" t="s">
        <v>759</v>
      </c>
      <c r="C44" s="67"/>
      <c r="D44" s="102">
        <v>547750</v>
      </c>
      <c r="E44" s="67"/>
      <c r="F44" s="67"/>
    </row>
    <row r="45" spans="1:6" ht="15.75">
      <c r="A45" s="67"/>
      <c r="B45" s="90" t="s">
        <v>409</v>
      </c>
      <c r="C45" s="67"/>
      <c r="D45" s="102">
        <v>71400</v>
      </c>
      <c r="E45" s="67"/>
      <c r="F45" s="67"/>
    </row>
    <row r="46" spans="1:6" ht="15.75">
      <c r="A46" s="67"/>
      <c r="B46" s="90" t="s">
        <v>410</v>
      </c>
      <c r="C46" s="67"/>
      <c r="D46" s="102">
        <v>53235</v>
      </c>
      <c r="E46" s="67"/>
      <c r="F46" s="67"/>
    </row>
    <row r="47" spans="1:6" ht="15.75">
      <c r="A47" s="67"/>
      <c r="B47" s="90" t="s">
        <v>411</v>
      </c>
      <c r="C47" s="67"/>
      <c r="D47" s="102">
        <v>261452</v>
      </c>
      <c r="E47" s="67"/>
      <c r="F47" s="67"/>
    </row>
    <row r="48" spans="1:6" ht="15.75">
      <c r="A48" s="67"/>
      <c r="B48" s="90" t="s">
        <v>412</v>
      </c>
      <c r="C48" s="67"/>
      <c r="D48" s="102">
        <v>1524</v>
      </c>
      <c r="E48" s="67"/>
      <c r="F48" s="67"/>
    </row>
    <row r="49" spans="1:6" ht="15.75">
      <c r="A49" s="67"/>
      <c r="B49" s="90" t="s">
        <v>413</v>
      </c>
      <c r="C49" s="67"/>
      <c r="D49" s="102">
        <v>120000</v>
      </c>
      <c r="E49" s="67"/>
      <c r="F49" s="67"/>
    </row>
    <row r="50" spans="1:6" ht="15.75">
      <c r="A50" s="67"/>
      <c r="B50" s="90" t="s">
        <v>414</v>
      </c>
      <c r="C50" s="67"/>
      <c r="D50" s="102">
        <v>73406</v>
      </c>
      <c r="E50" s="67"/>
      <c r="F50" s="67"/>
    </row>
    <row r="51" spans="1:6" ht="15.75">
      <c r="A51" s="67"/>
      <c r="B51" s="90" t="s">
        <v>415</v>
      </c>
      <c r="C51" s="67"/>
      <c r="D51" s="102">
        <v>7048</v>
      </c>
      <c r="E51" s="67"/>
      <c r="F51" s="67"/>
    </row>
    <row r="52" spans="1:6" ht="15.75">
      <c r="A52" s="67"/>
      <c r="B52" s="90" t="s">
        <v>416</v>
      </c>
      <c r="C52" s="67"/>
      <c r="D52" s="102">
        <v>4204</v>
      </c>
      <c r="E52" s="67"/>
      <c r="F52" s="67"/>
    </row>
    <row r="53" spans="1:6" ht="15.75">
      <c r="A53" s="67"/>
      <c r="B53" s="90" t="s">
        <v>665</v>
      </c>
      <c r="C53" s="67"/>
      <c r="D53" s="102"/>
      <c r="E53" s="67"/>
      <c r="F53" s="67"/>
    </row>
    <row r="54" spans="1:6" ht="15.75">
      <c r="A54" s="95" t="str">
        <f>CONCATENATE("Total Expenditures for ",C5-1," Budgeted Year")</f>
        <v>Total Expenditures for 2012 Budgeted Year</v>
      </c>
      <c r="B54" s="103"/>
      <c r="C54" s="104"/>
      <c r="D54" s="98">
        <f>SUM(D16:D40,D44:D53)</f>
        <v>17536262</v>
      </c>
      <c r="E54" s="67"/>
      <c r="F54" s="67"/>
    </row>
    <row r="55" spans="1:6" ht="15.75">
      <c r="A55" s="67"/>
      <c r="B55" s="105"/>
      <c r="C55" s="67"/>
      <c r="D55" s="69"/>
      <c r="E55" s="67"/>
      <c r="F55" s="67"/>
    </row>
    <row r="56" spans="1:6" ht="15.75">
      <c r="A56" s="66" t="s">
        <v>932</v>
      </c>
      <c r="B56" s="67"/>
      <c r="C56" s="67"/>
      <c r="D56" s="67"/>
      <c r="E56" s="67"/>
      <c r="F56" s="106"/>
    </row>
    <row r="57" spans="1:6" ht="15.75">
      <c r="A57" s="107">
        <v>1</v>
      </c>
      <c r="B57" s="91"/>
      <c r="C57" s="67"/>
      <c r="D57" s="67"/>
      <c r="E57" s="67"/>
      <c r="F57" s="106"/>
    </row>
    <row r="58" spans="1:6" ht="15.75">
      <c r="A58" s="107">
        <v>2</v>
      </c>
      <c r="B58" s="91"/>
      <c r="C58" s="67"/>
      <c r="D58" s="67"/>
      <c r="E58" s="67"/>
      <c r="F58" s="106"/>
    </row>
    <row r="59" spans="1:6" ht="15.75">
      <c r="A59" s="107">
        <v>3</v>
      </c>
      <c r="B59" s="91"/>
      <c r="C59" s="67"/>
      <c r="D59" s="67"/>
      <c r="E59" s="67"/>
      <c r="F59" s="106"/>
    </row>
    <row r="60" spans="1:6" ht="15.75">
      <c r="A60" s="107">
        <v>4</v>
      </c>
      <c r="B60" s="91"/>
      <c r="C60" s="67"/>
      <c r="D60" s="67"/>
      <c r="E60" s="67"/>
      <c r="F60" s="106"/>
    </row>
    <row r="61" spans="1:6" ht="15.75">
      <c r="A61" s="107">
        <v>5</v>
      </c>
      <c r="B61" s="91"/>
      <c r="C61" s="67"/>
      <c r="D61" s="67"/>
      <c r="E61" s="67"/>
      <c r="F61" s="106"/>
    </row>
    <row r="62" spans="1:6" ht="15.75">
      <c r="A62" s="66"/>
      <c r="B62" s="67"/>
      <c r="C62" s="67"/>
      <c r="D62" s="67"/>
      <c r="E62" s="67"/>
      <c r="F62" s="106"/>
    </row>
    <row r="63" spans="1:6" ht="15.75">
      <c r="A63" s="66"/>
      <c r="B63" s="67"/>
      <c r="C63" s="67"/>
      <c r="D63" s="67"/>
      <c r="E63" s="67"/>
      <c r="F63" s="106"/>
    </row>
    <row r="64" spans="1:6" ht="15.75">
      <c r="A64" s="66" t="str">
        <f>CONCATENATE("County's Final Assessed Valuation for ",C5-1," (November 1,",C5-2," Abstract):")</f>
        <v>County's Final Assessed Valuation for 2012 (November 1,2011 Abstract):</v>
      </c>
      <c r="B64" s="67"/>
      <c r="C64" s="67"/>
      <c r="D64" s="67"/>
      <c r="E64" s="94">
        <v>107742883</v>
      </c>
      <c r="F64" s="108"/>
    </row>
    <row r="65" spans="1:6" ht="15.75">
      <c r="A65" s="67"/>
      <c r="B65" s="67"/>
      <c r="C65" s="67"/>
      <c r="D65" s="67"/>
      <c r="E65" s="67"/>
      <c r="F65" s="67"/>
    </row>
    <row r="66" spans="1:6" ht="15.75">
      <c r="A66" s="80" t="str">
        <f>CONCATENATE("From the ",C5-1," Budget:")</f>
        <v>From the 2012 Budget:</v>
      </c>
      <c r="B66" s="109"/>
      <c r="C66" s="67"/>
      <c r="D66" s="704" t="str">
        <f>CONCATENATE("",C5-3," Tax Rate (",C5-2," Column)")</f>
        <v>2010 Tax Rate (2011 Column)</v>
      </c>
      <c r="E66" s="702"/>
      <c r="F66" s="67"/>
    </row>
    <row r="67" spans="1:6" ht="15.75">
      <c r="A67" s="80" t="s">
        <v>288</v>
      </c>
      <c r="B67" s="79"/>
      <c r="C67" s="67"/>
      <c r="D67" s="705"/>
      <c r="E67" s="703"/>
      <c r="F67" s="67"/>
    </row>
    <row r="68" spans="1:6" ht="15.75">
      <c r="A68" s="67"/>
      <c r="B68" s="110" t="str">
        <f>B16</f>
        <v>General</v>
      </c>
      <c r="C68" s="67"/>
      <c r="D68" s="90">
        <v>16.508</v>
      </c>
      <c r="E68" s="105"/>
      <c r="F68" s="67"/>
    </row>
    <row r="69" spans="1:6" ht="15.75">
      <c r="A69" s="67"/>
      <c r="B69" s="110" t="str">
        <f>B17</f>
        <v>Debt Service</v>
      </c>
      <c r="C69" s="67"/>
      <c r="D69" s="90"/>
      <c r="E69" s="105"/>
      <c r="F69" s="67"/>
    </row>
    <row r="70" spans="1:6" ht="15.75">
      <c r="A70" s="67"/>
      <c r="B70" s="110" t="str">
        <f>B18</f>
        <v>Road &amp; Bridge</v>
      </c>
      <c r="C70" s="67"/>
      <c r="D70" s="90">
        <v>17.363</v>
      </c>
      <c r="E70" s="105"/>
      <c r="F70" s="67"/>
    </row>
    <row r="71" spans="1:6" ht="15.75">
      <c r="A71" s="67"/>
      <c r="B71" s="110" t="str">
        <f>B19</f>
        <v>Special Bridge</v>
      </c>
      <c r="C71" s="67"/>
      <c r="D71" s="90">
        <v>3.991</v>
      </c>
      <c r="E71" s="105"/>
      <c r="F71" s="67"/>
    </row>
    <row r="72" spans="1:6" ht="15.75">
      <c r="A72" s="67"/>
      <c r="B72" s="110" t="str">
        <f aca="true" t="shared" si="1" ref="B72:B92">B20</f>
        <v>Noxious Weed</v>
      </c>
      <c r="C72" s="67"/>
      <c r="D72" s="90">
        <v>1.5</v>
      </c>
      <c r="E72" s="105"/>
      <c r="F72" s="67"/>
    </row>
    <row r="73" spans="1:6" ht="15.75">
      <c r="A73" s="67"/>
      <c r="B73" s="110" t="str">
        <f t="shared" si="1"/>
        <v>4-H Bldg Maintenance</v>
      </c>
      <c r="C73" s="67"/>
      <c r="D73" s="90">
        <v>0.864</v>
      </c>
      <c r="E73" s="105"/>
      <c r="F73" s="67"/>
    </row>
    <row r="74" spans="1:6" ht="15.75">
      <c r="A74" s="67"/>
      <c r="B74" s="110" t="str">
        <f t="shared" si="1"/>
        <v>Election Expense</v>
      </c>
      <c r="C74" s="67"/>
      <c r="D74" s="90">
        <v>0.478</v>
      </c>
      <c r="E74" s="105"/>
      <c r="F74" s="67"/>
    </row>
    <row r="75" spans="1:6" ht="15.75">
      <c r="A75" s="67"/>
      <c r="B75" s="110" t="str">
        <f t="shared" si="1"/>
        <v>Ambulance</v>
      </c>
      <c r="C75" s="67"/>
      <c r="D75" s="90">
        <v>4.982</v>
      </c>
      <c r="E75" s="105"/>
      <c r="F75" s="67"/>
    </row>
    <row r="76" spans="1:6" ht="15.75">
      <c r="A76" s="67"/>
      <c r="B76" s="110" t="str">
        <f t="shared" si="1"/>
        <v>Free Fair</v>
      </c>
      <c r="C76" s="67"/>
      <c r="D76" s="90">
        <v>0.482</v>
      </c>
      <c r="E76" s="105"/>
      <c r="F76" s="67"/>
    </row>
    <row r="77" spans="1:6" ht="15.75">
      <c r="A77" s="67"/>
      <c r="B77" s="110" t="str">
        <f t="shared" si="1"/>
        <v>Ag Extension Council</v>
      </c>
      <c r="C77" s="67"/>
      <c r="D77" s="90">
        <v>1.423</v>
      </c>
      <c r="E77" s="105"/>
      <c r="F77" s="67"/>
    </row>
    <row r="78" spans="1:6" ht="15.75">
      <c r="A78" s="67"/>
      <c r="B78" s="110" t="str">
        <f t="shared" si="1"/>
        <v>Mental Health</v>
      </c>
      <c r="C78" s="67"/>
      <c r="D78" s="90">
        <v>0.472</v>
      </c>
      <c r="E78" s="105"/>
      <c r="F78" s="67"/>
    </row>
    <row r="79" spans="1:6" ht="15.75">
      <c r="A79" s="67"/>
      <c r="B79" s="110" t="str">
        <f t="shared" si="1"/>
        <v>Service for the Elderly</v>
      </c>
      <c r="C79" s="67"/>
      <c r="D79" s="90">
        <v>1</v>
      </c>
      <c r="E79" s="105"/>
      <c r="F79" s="67"/>
    </row>
    <row r="80" spans="1:6" ht="15.75">
      <c r="A80" s="67"/>
      <c r="B80" s="110" t="str">
        <f t="shared" si="1"/>
        <v>County Health</v>
      </c>
      <c r="C80" s="67"/>
      <c r="D80" s="90">
        <v>1.044</v>
      </c>
      <c r="E80" s="105"/>
      <c r="F80" s="67"/>
    </row>
    <row r="81" spans="1:6" ht="15.75">
      <c r="A81" s="67"/>
      <c r="B81" s="110" t="str">
        <f t="shared" si="1"/>
        <v>Developmental Service</v>
      </c>
      <c r="C81" s="67"/>
      <c r="D81" s="90">
        <v>0.741</v>
      </c>
      <c r="E81" s="105"/>
      <c r="F81" s="67"/>
    </row>
    <row r="82" spans="1:6" ht="15.75">
      <c r="A82" s="67"/>
      <c r="B82" s="110" t="str">
        <f t="shared" si="1"/>
        <v>Appraiser</v>
      </c>
      <c r="C82" s="67"/>
      <c r="D82" s="90">
        <v>1.526</v>
      </c>
      <c r="E82" s="105"/>
      <c r="F82" s="67"/>
    </row>
    <row r="83" spans="1:6" ht="15.75">
      <c r="A83" s="67"/>
      <c r="B83" s="110" t="str">
        <f t="shared" si="1"/>
        <v>Special Road and Bridge</v>
      </c>
      <c r="C83" s="67"/>
      <c r="D83" s="90">
        <v>2</v>
      </c>
      <c r="E83" s="105"/>
      <c r="F83" s="67"/>
    </row>
    <row r="84" spans="1:6" ht="15.75">
      <c r="A84" s="67"/>
      <c r="B84" s="110" t="str">
        <f t="shared" si="1"/>
        <v>Employee Benefit</v>
      </c>
      <c r="C84" s="67"/>
      <c r="D84" s="90">
        <v>19.011</v>
      </c>
      <c r="E84" s="105"/>
      <c r="F84" s="67"/>
    </row>
    <row r="85" spans="1:6" ht="15.75">
      <c r="A85" s="67"/>
      <c r="B85" s="110" t="str">
        <f t="shared" si="1"/>
        <v>Historical Society</v>
      </c>
      <c r="C85" s="67"/>
      <c r="D85" s="90">
        <v>0.5</v>
      </c>
      <c r="E85" s="105"/>
      <c r="F85" s="67"/>
    </row>
    <row r="86" spans="1:6" ht="15.75">
      <c r="A86" s="67"/>
      <c r="B86" s="110" t="str">
        <f t="shared" si="1"/>
        <v>Hospital Board</v>
      </c>
      <c r="C86" s="67"/>
      <c r="D86" s="90">
        <v>5.9</v>
      </c>
      <c r="E86" s="105"/>
      <c r="F86" s="67"/>
    </row>
    <row r="87" spans="1:6" ht="15.75">
      <c r="A87" s="67"/>
      <c r="B87" s="110" t="str">
        <f t="shared" si="1"/>
        <v>Economic Development</v>
      </c>
      <c r="C87" s="67"/>
      <c r="D87" s="90"/>
      <c r="E87" s="105"/>
      <c r="F87" s="67"/>
    </row>
    <row r="88" spans="1:6" ht="15.75">
      <c r="A88" s="67"/>
      <c r="B88" s="110">
        <f t="shared" si="1"/>
        <v>0</v>
      </c>
      <c r="C88" s="67"/>
      <c r="D88" s="90"/>
      <c r="E88" s="105"/>
      <c r="F88" s="67"/>
    </row>
    <row r="89" spans="1:6" ht="15.75">
      <c r="A89" s="67"/>
      <c r="B89" s="110">
        <f t="shared" si="1"/>
        <v>0</v>
      </c>
      <c r="C89" s="67"/>
      <c r="D89" s="90"/>
      <c r="E89" s="105"/>
      <c r="F89" s="67"/>
    </row>
    <row r="90" spans="1:6" ht="15.75">
      <c r="A90" s="67"/>
      <c r="B90" s="110">
        <f t="shared" si="1"/>
        <v>0</v>
      </c>
      <c r="C90" s="67"/>
      <c r="D90" s="90"/>
      <c r="E90" s="105"/>
      <c r="F90" s="67"/>
    </row>
    <row r="91" spans="1:6" ht="15.75">
      <c r="A91" s="67"/>
      <c r="B91" s="110">
        <f t="shared" si="1"/>
        <v>0</v>
      </c>
      <c r="C91" s="67"/>
      <c r="D91" s="90"/>
      <c r="E91" s="105"/>
      <c r="F91" s="67"/>
    </row>
    <row r="92" spans="1:6" ht="15.75">
      <c r="A92" s="67"/>
      <c r="B92" s="110">
        <f t="shared" si="1"/>
        <v>0</v>
      </c>
      <c r="C92" s="67"/>
      <c r="D92" s="90"/>
      <c r="E92" s="105"/>
      <c r="F92" s="67"/>
    </row>
    <row r="93" spans="1:6" ht="15.75">
      <c r="A93" s="96" t="s">
        <v>695</v>
      </c>
      <c r="B93" s="96"/>
      <c r="C93" s="104"/>
      <c r="D93" s="99">
        <f>SUM(D68:D92)</f>
        <v>79.785</v>
      </c>
      <c r="E93" s="101"/>
      <c r="F93" s="67"/>
    </row>
    <row r="94" spans="1:6" ht="15.75">
      <c r="A94" s="67"/>
      <c r="B94" s="67"/>
      <c r="C94" s="67"/>
      <c r="D94" s="67"/>
      <c r="E94" s="67"/>
      <c r="F94" s="67"/>
    </row>
    <row r="95" spans="1:6" ht="15.75">
      <c r="A95" s="111" t="str">
        <f>CONCATENATE("Total Tax Levied (",C5-2," budget column)")</f>
        <v>Total Tax Levied (2011 budget column)</v>
      </c>
      <c r="B95" s="112"/>
      <c r="C95" s="96"/>
      <c r="D95" s="94">
        <v>7524840</v>
      </c>
      <c r="E95" s="69"/>
      <c r="F95" s="108"/>
    </row>
    <row r="96" spans="1:6" ht="15.75">
      <c r="A96" s="113" t="str">
        <f>CONCATENATE("Assessed Valuation  (",C5-2," budget column)")</f>
        <v>Assessed Valuation  (2011 budget column)</v>
      </c>
      <c r="B96" s="114"/>
      <c r="C96" s="97"/>
      <c r="D96" s="94">
        <v>94582983</v>
      </c>
      <c r="E96" s="69"/>
      <c r="F96" s="108"/>
    </row>
    <row r="97" spans="1:6" ht="15.75">
      <c r="A97" s="73"/>
      <c r="B97" s="69"/>
      <c r="C97" s="69"/>
      <c r="D97" s="69"/>
      <c r="E97" s="69"/>
      <c r="F97" s="106"/>
    </row>
    <row r="98" spans="1:6" ht="15.75">
      <c r="A98" s="115" t="str">
        <f>CONCATENATE("From the ",C5-1," Budget, Budget Summary Page")</f>
        <v>From the 2012 Budget, Budget Summary Page</v>
      </c>
      <c r="B98" s="116"/>
      <c r="C98" s="108"/>
      <c r="D98" s="108"/>
      <c r="E98" s="108"/>
      <c r="F98" s="108"/>
    </row>
    <row r="99" spans="1:6" ht="15.75">
      <c r="A99" s="79" t="s">
        <v>919</v>
      </c>
      <c r="B99" s="79"/>
      <c r="C99" s="117"/>
      <c r="D99" s="118">
        <f>C5-3</f>
        <v>2010</v>
      </c>
      <c r="E99" s="119">
        <f>C5-2</f>
        <v>2011</v>
      </c>
      <c r="F99" s="108"/>
    </row>
    <row r="100" spans="1:6" ht="15.75">
      <c r="A100" s="120" t="s">
        <v>920</v>
      </c>
      <c r="B100" s="120"/>
      <c r="C100" s="121"/>
      <c r="D100" s="88">
        <v>4640000</v>
      </c>
      <c r="E100" s="88">
        <v>4410000</v>
      </c>
      <c r="F100" s="108"/>
    </row>
    <row r="101" spans="1:6" s="124" customFormat="1" ht="15.75">
      <c r="A101" s="122" t="s">
        <v>921</v>
      </c>
      <c r="B101" s="122"/>
      <c r="C101" s="123"/>
      <c r="D101" s="88"/>
      <c r="E101" s="88"/>
      <c r="F101" s="117"/>
    </row>
    <row r="102" spans="1:6" s="124" customFormat="1" ht="15.75">
      <c r="A102" s="122" t="s">
        <v>922</v>
      </c>
      <c r="B102" s="122"/>
      <c r="C102" s="123"/>
      <c r="D102" s="88"/>
      <c r="E102" s="88"/>
      <c r="F102" s="117"/>
    </row>
    <row r="103" spans="1:6" s="124" customFormat="1" ht="15.75">
      <c r="A103" s="122" t="s">
        <v>923</v>
      </c>
      <c r="B103" s="122"/>
      <c r="C103" s="123"/>
      <c r="D103" s="88">
        <v>590079</v>
      </c>
      <c r="E103" s="88">
        <v>708103</v>
      </c>
      <c r="F103" s="117"/>
    </row>
    <row r="104" s="124" customFormat="1" ht="15.75"/>
  </sheetData>
  <sheetProtection/>
  <mergeCells count="5">
    <mergeCell ref="H7:I12"/>
    <mergeCell ref="E66:E67"/>
    <mergeCell ref="D66:D67"/>
    <mergeCell ref="A1:F1"/>
    <mergeCell ref="A9:F9"/>
  </mergeCells>
  <printOptions/>
  <pageMargins left="0.5" right="0.5" top="1" bottom="0.5" header="0.5" footer="0.5"/>
  <pageSetup blackAndWhite="1" fitToHeight="2" fitToWidth="1" horizontalDpi="120" verticalDpi="120" orientation="portrait" scale="96" r:id="rId1"/>
</worksheet>
</file>

<file path=xl/worksheets/sheet20.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27" sqref="E27"/>
    </sheetView>
  </sheetViews>
  <sheetFormatPr defaultColWidth="8.796875" defaultRowHeight="15"/>
  <cols>
    <col min="1" max="1" width="2.3984375" style="52" customWidth="1"/>
    <col min="2" max="2" width="31.09765625" style="52" customWidth="1"/>
    <col min="3" max="4" width="15.796875" style="52" customWidth="1"/>
    <col min="5" max="5" width="16.3984375" style="52" customWidth="1"/>
    <col min="6" max="6" width="8.0976562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67"/>
      <c r="C2" s="67"/>
      <c r="D2" s="67"/>
      <c r="E2" s="107"/>
    </row>
    <row r="3" spans="2:5" ht="15.75">
      <c r="B3" s="473" t="s">
        <v>810</v>
      </c>
      <c r="C3" s="145"/>
      <c r="D3" s="145"/>
      <c r="E3" s="145"/>
    </row>
    <row r="4" spans="2:5" ht="15.75">
      <c r="B4" s="66" t="s">
        <v>723</v>
      </c>
      <c r="C4" s="625" t="s">
        <v>197</v>
      </c>
      <c r="D4" s="626" t="s">
        <v>198</v>
      </c>
      <c r="E4" s="149" t="s">
        <v>199</v>
      </c>
    </row>
    <row r="5" spans="2:5" ht="15.75">
      <c r="B5" s="461" t="str">
        <f>inputPrYr!$B$19</f>
        <v>Special Bridge</v>
      </c>
      <c r="C5" s="441" t="str">
        <f>CONCATENATE("Actual for ",E1-2,"")</f>
        <v>Actual for 2011</v>
      </c>
      <c r="D5" s="441" t="str">
        <f>CONCATENATE("Estimate for ",E1-1,"")</f>
        <v>Estimate for 2012</v>
      </c>
      <c r="E5" s="294" t="str">
        <f>CONCATENATE("Year for ",E1,"")</f>
        <v>Year for 2013</v>
      </c>
    </row>
    <row r="6" spans="2:5" ht="15.75">
      <c r="B6" s="153" t="s">
        <v>851</v>
      </c>
      <c r="C6" s="469">
        <v>433957</v>
      </c>
      <c r="D6" s="440">
        <f>C34</f>
        <v>469141</v>
      </c>
      <c r="E6" s="259">
        <f>D34</f>
        <v>275000</v>
      </c>
    </row>
    <row r="7" spans="2:5" ht="15.75">
      <c r="B7" s="284" t="s">
        <v>853</v>
      </c>
      <c r="C7" s="167"/>
      <c r="D7" s="167"/>
      <c r="E7" s="110"/>
    </row>
    <row r="8" spans="2:5" ht="15.75">
      <c r="B8" s="153" t="s">
        <v>724</v>
      </c>
      <c r="C8" s="469">
        <v>367289</v>
      </c>
      <c r="D8" s="440">
        <f>IF(inputPrYr!H19&gt;0,inputPrYr!H19,inputPrYr!E19)</f>
        <v>356819</v>
      </c>
      <c r="E8" s="321" t="s">
        <v>711</v>
      </c>
    </row>
    <row r="9" spans="2:5" ht="15.75">
      <c r="B9" s="153" t="s">
        <v>725</v>
      </c>
      <c r="C9" s="469">
        <v>4831</v>
      </c>
      <c r="D9" s="469"/>
      <c r="E9" s="94"/>
    </row>
    <row r="10" spans="2:5" ht="15.75">
      <c r="B10" s="153" t="s">
        <v>726</v>
      </c>
      <c r="C10" s="469">
        <v>13651</v>
      </c>
      <c r="D10" s="469">
        <v>30878</v>
      </c>
      <c r="E10" s="259">
        <f>mvalloc!E13</f>
        <v>25425</v>
      </c>
    </row>
    <row r="11" spans="2:5" ht="15.75">
      <c r="B11" s="153" t="s">
        <v>727</v>
      </c>
      <c r="C11" s="469">
        <v>249</v>
      </c>
      <c r="D11" s="469">
        <v>561</v>
      </c>
      <c r="E11" s="259">
        <f>mvalloc!F13</f>
        <v>409</v>
      </c>
    </row>
    <row r="12" spans="2:5" ht="15.75">
      <c r="B12" s="167" t="s">
        <v>802</v>
      </c>
      <c r="C12" s="469">
        <v>1525</v>
      </c>
      <c r="D12" s="469">
        <v>1931</v>
      </c>
      <c r="E12" s="259">
        <f>mvalloc!G13</f>
        <v>1729</v>
      </c>
    </row>
    <row r="13" spans="2:5" ht="15.75">
      <c r="B13" s="311"/>
      <c r="C13" s="469"/>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387545</v>
      </c>
      <c r="D20" s="443">
        <f>SUM(D8:D18)</f>
        <v>390189</v>
      </c>
      <c r="E20" s="348">
        <f>SUM(E8:E18)</f>
        <v>27563</v>
      </c>
    </row>
    <row r="21" spans="2:5" ht="15.75">
      <c r="B21" s="302" t="s">
        <v>733</v>
      </c>
      <c r="C21" s="443">
        <f>C6+C20</f>
        <v>821502</v>
      </c>
      <c r="D21" s="443">
        <f>D6+D20</f>
        <v>859330</v>
      </c>
      <c r="E21" s="348">
        <f>E6+E20</f>
        <v>302563</v>
      </c>
    </row>
    <row r="22" spans="2:5" ht="15.75">
      <c r="B22" s="153" t="s">
        <v>736</v>
      </c>
      <c r="C22" s="300"/>
      <c r="D22" s="300"/>
      <c r="E22" s="163"/>
    </row>
    <row r="23" spans="2:5" ht="15.75">
      <c r="B23" s="311" t="s">
        <v>5</v>
      </c>
      <c r="C23" s="469">
        <v>352361</v>
      </c>
      <c r="D23" s="469">
        <v>584330</v>
      </c>
      <c r="E23" s="94">
        <v>420000</v>
      </c>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Nhood!E9</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352361</v>
      </c>
      <c r="D33" s="443">
        <f>SUM(D23:D31)</f>
        <v>584330</v>
      </c>
      <c r="E33" s="348">
        <f>SUM(E23:E31)</f>
        <v>420000</v>
      </c>
      <c r="G33" s="645">
        <f>D34</f>
        <v>275000</v>
      </c>
      <c r="H33" s="646" t="str">
        <f>CONCATENATE("",E1-1," Ending Cash Balance (est.)")</f>
        <v>2012 Ending Cash Balance (est.)</v>
      </c>
      <c r="I33" s="647"/>
      <c r="J33" s="644"/>
    </row>
    <row r="34" spans="2:10" ht="15.75">
      <c r="B34" s="153" t="s">
        <v>852</v>
      </c>
      <c r="C34" s="438">
        <f>C21-C33</f>
        <v>469141</v>
      </c>
      <c r="D34" s="438">
        <f>D21-D33</f>
        <v>275000</v>
      </c>
      <c r="E34" s="321" t="s">
        <v>711</v>
      </c>
      <c r="G34" s="645">
        <f>E20</f>
        <v>27563</v>
      </c>
      <c r="H34" s="631" t="str">
        <f>CONCATENATE("",E1," Non-AV Receipts (est.)")</f>
        <v>2013 Non-AV Receipts (est.)</v>
      </c>
      <c r="I34" s="647"/>
      <c r="J34" s="644"/>
    </row>
    <row r="35" spans="2:11" ht="15.75">
      <c r="B35" s="281" t="str">
        <f>CONCATENATE("",$E$1-2,"/",$E$1-1," Budget Authority Amount:")</f>
        <v>2011/2012 Budget Authority Amount:</v>
      </c>
      <c r="C35" s="273">
        <f>inputOth!B32</f>
        <v>635000</v>
      </c>
      <c r="D35" s="273">
        <f>inputPrYr!D19</f>
        <v>640000</v>
      </c>
      <c r="E35" s="321" t="s">
        <v>711</v>
      </c>
      <c r="F35" s="314"/>
      <c r="G35" s="648">
        <f>IF(E39&gt;0,E38,E40)</f>
        <v>117437</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420000</v>
      </c>
      <c r="H36" s="631" t="str">
        <f>CONCATENATE("Total ",E1," Resources Available")</f>
        <v>Total 2013 Resources Available</v>
      </c>
      <c r="I36" s="647"/>
      <c r="J36" s="644"/>
    </row>
    <row r="37" spans="2:10" ht="15.75">
      <c r="B37" s="476" t="str">
        <f>CONCATENATE(C88,"     ",D88)</f>
        <v>     </v>
      </c>
      <c r="C37" s="755" t="s">
        <v>70</v>
      </c>
      <c r="D37" s="756"/>
      <c r="E37" s="259">
        <f>E33+E36</f>
        <v>420000</v>
      </c>
      <c r="G37" s="649"/>
      <c r="H37" s="631"/>
      <c r="I37" s="631"/>
      <c r="J37" s="644"/>
    </row>
    <row r="38" spans="2:10" ht="15.75">
      <c r="B38" s="476" t="str">
        <f>CONCATENATE(C89,"      ",D89)</f>
        <v>      </v>
      </c>
      <c r="C38" s="315"/>
      <c r="D38" s="107" t="s">
        <v>738</v>
      </c>
      <c r="E38" s="98">
        <f>IF(E37-E21&gt;0,E37-E21,0)</f>
        <v>117437</v>
      </c>
      <c r="G38" s="648">
        <f>ROUND(C33*0.05+C33,0)</f>
        <v>369979</v>
      </c>
      <c r="H38" s="631" t="str">
        <f>CONCATENATE("Less ",E1-2," Expenditures + 5%")</f>
        <v>Less 2011 Expenditures + 5%</v>
      </c>
      <c r="I38" s="647"/>
      <c r="J38" s="664"/>
    </row>
    <row r="39" spans="2:10" ht="15.75">
      <c r="B39" s="349"/>
      <c r="C39" s="458" t="s">
        <v>71</v>
      </c>
      <c r="D39" s="687">
        <f>inputOth!$E$22</f>
        <v>0</v>
      </c>
      <c r="E39" s="259">
        <f>ROUND(IF(D39&gt;0,(E38*D39),0),0)</f>
        <v>0</v>
      </c>
      <c r="G39" s="650">
        <f>G36-G38</f>
        <v>50021</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117437</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f>summ!H19</f>
        <v>1.047</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f>summ!E19</f>
        <v>3.312</v>
      </c>
      <c r="H44" s="646" t="str">
        <f>CONCATENATE("",E1-1," Fund Mill Rate")</f>
        <v>2012 Fund Mill Rate</v>
      </c>
      <c r="I44" s="655"/>
      <c r="J44" s="656"/>
    </row>
    <row r="45" spans="2:10" ht="15.75">
      <c r="B45" s="461" t="str">
        <f>inputPrYr!$B$20</f>
        <v>Noxious Weed</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v>124400</v>
      </c>
      <c r="D46" s="440">
        <f>C74</f>
        <v>125927</v>
      </c>
      <c r="E46" s="259">
        <f>D74</f>
        <v>75000</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v>137903</v>
      </c>
      <c r="D48" s="440">
        <f>IF(inputPrYr!H20&gt;0,inputPrYr!H20,inputPrYr!E20)</f>
        <v>161316</v>
      </c>
      <c r="E48" s="321" t="s">
        <v>711</v>
      </c>
      <c r="G48" s="643"/>
      <c r="H48" s="643"/>
      <c r="I48" s="643"/>
      <c r="J48" s="643"/>
    </row>
    <row r="49" spans="2:10" ht="15.75">
      <c r="B49" s="153" t="s">
        <v>725</v>
      </c>
      <c r="C49" s="469">
        <v>2614</v>
      </c>
      <c r="D49" s="469"/>
      <c r="E49" s="94"/>
      <c r="G49" s="643"/>
      <c r="H49" s="643"/>
      <c r="I49" s="643"/>
      <c r="J49" s="643"/>
    </row>
    <row r="50" spans="2:10" ht="15.75">
      <c r="B50" s="153" t="s">
        <v>726</v>
      </c>
      <c r="C50" s="469">
        <v>11648</v>
      </c>
      <c r="D50" s="469">
        <v>11366</v>
      </c>
      <c r="E50" s="259">
        <f>mvalloc!E14</f>
        <v>11494</v>
      </c>
      <c r="G50" s="643"/>
      <c r="H50" s="643"/>
      <c r="I50" s="643"/>
      <c r="J50" s="643"/>
    </row>
    <row r="51" spans="2:10" ht="15.75">
      <c r="B51" s="153" t="s">
        <v>727</v>
      </c>
      <c r="C51" s="469">
        <v>200</v>
      </c>
      <c r="D51" s="469">
        <v>207</v>
      </c>
      <c r="E51" s="259">
        <f>mvalloc!F14</f>
        <v>185</v>
      </c>
      <c r="G51" s="643"/>
      <c r="H51" s="643"/>
      <c r="I51" s="643"/>
      <c r="J51" s="643"/>
    </row>
    <row r="52" spans="2:10" ht="15.75">
      <c r="B52" s="167" t="s">
        <v>802</v>
      </c>
      <c r="C52" s="469">
        <v>670</v>
      </c>
      <c r="D52" s="469">
        <v>711</v>
      </c>
      <c r="E52" s="259">
        <f>mvalloc!G14</f>
        <v>782</v>
      </c>
      <c r="G52" s="643"/>
      <c r="H52" s="643"/>
      <c r="I52" s="643"/>
      <c r="J52" s="643"/>
    </row>
    <row r="53" spans="2:10" ht="15.75">
      <c r="B53" s="311" t="s">
        <v>441</v>
      </c>
      <c r="C53" s="469">
        <v>69650</v>
      </c>
      <c r="D53" s="469">
        <v>105000</v>
      </c>
      <c r="E53" s="94">
        <v>110000</v>
      </c>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IF(E60*0.1+E77&lt;E58,"Exceed 10% Rule","")</f>
      </c>
      <c r="G59" s="643"/>
      <c r="H59" s="643"/>
      <c r="I59" s="643"/>
      <c r="J59" s="643"/>
    </row>
    <row r="60" spans="2:10" ht="15.75">
      <c r="B60" s="302" t="s">
        <v>732</v>
      </c>
      <c r="C60" s="443">
        <f>SUM(C48:C58)</f>
        <v>222685</v>
      </c>
      <c r="D60" s="443">
        <f>SUM(D48:D58)</f>
        <v>278600</v>
      </c>
      <c r="E60" s="348">
        <f>SUM(E48:E58)</f>
        <v>122461</v>
      </c>
      <c r="G60" s="643"/>
      <c r="H60" s="643"/>
      <c r="I60" s="643"/>
      <c r="J60" s="643"/>
    </row>
    <row r="61" spans="2:10" ht="15.75">
      <c r="B61" s="302" t="s">
        <v>733</v>
      </c>
      <c r="C61" s="443">
        <f>C46+C60</f>
        <v>347085</v>
      </c>
      <c r="D61" s="443">
        <f>D46+D60</f>
        <v>404527</v>
      </c>
      <c r="E61" s="348">
        <f>E46+E60</f>
        <v>197461</v>
      </c>
      <c r="G61" s="643"/>
      <c r="H61" s="643"/>
      <c r="I61" s="643"/>
      <c r="J61" s="643"/>
    </row>
    <row r="62" spans="2:10" ht="15.75">
      <c r="B62" s="153" t="s">
        <v>736</v>
      </c>
      <c r="C62" s="300"/>
      <c r="D62" s="300"/>
      <c r="E62" s="163"/>
      <c r="G62" s="643"/>
      <c r="H62" s="643"/>
      <c r="I62" s="643"/>
      <c r="J62" s="643"/>
    </row>
    <row r="63" spans="2:10" ht="15.75">
      <c r="B63" s="311" t="s">
        <v>452</v>
      </c>
      <c r="C63" s="469">
        <v>221158</v>
      </c>
      <c r="D63" s="469">
        <v>329527</v>
      </c>
      <c r="E63" s="94">
        <v>335676</v>
      </c>
      <c r="G63" s="643"/>
      <c r="H63" s="643"/>
      <c r="I63" s="643"/>
      <c r="J63" s="643"/>
    </row>
    <row r="64" spans="2:10" ht="15.75">
      <c r="B64" s="311" t="s">
        <v>651</v>
      </c>
      <c r="C64" s="469"/>
      <c r="D64" s="469"/>
      <c r="E64" s="94">
        <v>30000</v>
      </c>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Nhood!E10</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221158</v>
      </c>
      <c r="D73" s="443">
        <f>SUM(D63:D71)</f>
        <v>329527</v>
      </c>
      <c r="E73" s="348">
        <f>SUM(E63:E71)</f>
        <v>365676</v>
      </c>
      <c r="G73" s="645">
        <f>D74</f>
        <v>75000</v>
      </c>
      <c r="H73" s="646" t="str">
        <f>CONCATENATE("",E1-1," Ending Cash Balance (est.)")</f>
        <v>2012 Ending Cash Balance (est.)</v>
      </c>
      <c r="I73" s="647"/>
      <c r="J73" s="664"/>
    </row>
    <row r="74" spans="2:10" ht="15.75">
      <c r="B74" s="153" t="s">
        <v>852</v>
      </c>
      <c r="C74" s="438">
        <f>C61-C73</f>
        <v>125927</v>
      </c>
      <c r="D74" s="438">
        <f>D61-D73</f>
        <v>75000</v>
      </c>
      <c r="E74" s="321" t="s">
        <v>711</v>
      </c>
      <c r="G74" s="645">
        <f>E60</f>
        <v>122461</v>
      </c>
      <c r="H74" s="631" t="str">
        <f>CONCATENATE("",E1," Non-AV Receipts (est.)")</f>
        <v>2013 Non-AV Receipts (est.)</v>
      </c>
      <c r="I74" s="647"/>
      <c r="J74" s="664"/>
    </row>
    <row r="75" spans="2:11" ht="15.75">
      <c r="B75" s="281" t="str">
        <f>CONCATENATE("",$E$1-2,"/",$E$1-1," Budget Authority Amount:")</f>
        <v>2011/2012 Budget Authority Amount:</v>
      </c>
      <c r="C75" s="273">
        <f>inputOth!B33</f>
        <v>361740</v>
      </c>
      <c r="D75" s="273">
        <f>inputPrYr!D20</f>
        <v>358600</v>
      </c>
      <c r="E75" s="321" t="s">
        <v>711</v>
      </c>
      <c r="F75" s="314"/>
      <c r="G75" s="648">
        <f>IF(E79&gt;0,E78,E80)</f>
        <v>168215</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365676</v>
      </c>
      <c r="H76" s="631" t="str">
        <f>CONCATENATE("Total ",E1," Resources Available")</f>
        <v>Total 2013 Resources Available</v>
      </c>
      <c r="I76" s="666"/>
      <c r="J76" s="664"/>
    </row>
    <row r="77" spans="2:10" ht="15.75">
      <c r="B77" s="476" t="str">
        <f>CONCATENATE(C90,"      ",D90)</f>
        <v>      </v>
      </c>
      <c r="C77" s="755" t="s">
        <v>70</v>
      </c>
      <c r="D77" s="756"/>
      <c r="E77" s="259">
        <f>E73+E76</f>
        <v>365676</v>
      </c>
      <c r="G77" s="667"/>
      <c r="H77" s="668"/>
      <c r="I77" s="630"/>
      <c r="J77" s="664"/>
    </row>
    <row r="78" spans="2:10" ht="15.75">
      <c r="B78" s="476" t="str">
        <f>CONCATENATE(C91,"      ",D91)</f>
        <v>      </v>
      </c>
      <c r="C78" s="315"/>
      <c r="D78" s="107" t="s">
        <v>738</v>
      </c>
      <c r="E78" s="98">
        <f>IF(E77-E61&gt;0,E77-E61,0)</f>
        <v>168215</v>
      </c>
      <c r="G78" s="669">
        <f>ROUND(C73*0.05+C73,0)</f>
        <v>232216</v>
      </c>
      <c r="H78" s="631" t="str">
        <f>CONCATENATE("Less ",E1-2," Expenditures + 5%")</f>
        <v>Less 2011 Expenditures + 5%</v>
      </c>
      <c r="I78" s="666"/>
      <c r="J78" s="664"/>
    </row>
    <row r="79" spans="2:10" ht="15.75">
      <c r="B79" s="107"/>
      <c r="C79" s="458" t="s">
        <v>71</v>
      </c>
      <c r="D79" s="687">
        <f>inputOth!$E$22</f>
        <v>0</v>
      </c>
      <c r="E79" s="259">
        <f>ROUND(IF(D79&gt;0,(E78*D79),0),0)</f>
        <v>0</v>
      </c>
      <c r="G79" s="670">
        <f>G76-G78</f>
        <v>133460</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168215</v>
      </c>
      <c r="G80" s="643"/>
      <c r="H80" s="643"/>
      <c r="I80" s="643"/>
      <c r="J80" s="643"/>
    </row>
    <row r="81" spans="2:10" ht="15.75">
      <c r="B81" s="316" t="s">
        <v>762</v>
      </c>
      <c r="C81" s="334">
        <v>10</v>
      </c>
      <c r="D81" s="67"/>
      <c r="E81" s="67"/>
      <c r="G81" s="757" t="s">
        <v>201</v>
      </c>
      <c r="H81" s="758"/>
      <c r="I81" s="758"/>
      <c r="J81" s="759"/>
    </row>
    <row r="82" spans="7:10" ht="15.75">
      <c r="G82" s="654"/>
      <c r="H82" s="646"/>
      <c r="I82" s="655"/>
      <c r="J82" s="656"/>
    </row>
    <row r="83" spans="7:10" ht="15.75">
      <c r="G83" s="657">
        <f>summ!H20</f>
        <v>1.5</v>
      </c>
      <c r="H83" s="646" t="str">
        <f>CONCATENATE("",E1," Fund Mill Rate")</f>
        <v>2013 Fund Mill Rate</v>
      </c>
      <c r="I83" s="655"/>
      <c r="J83" s="656"/>
    </row>
    <row r="84" spans="7:10" ht="15.75">
      <c r="G84" s="658">
        <f>summ!E20</f>
        <v>1.5</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E36">
    <cfRule type="cellIs" priority="6" dxfId="351" operator="greaterThan" stopIfTrue="1">
      <formula>$E$33/0.95-$E$33</formula>
    </cfRule>
  </conditionalFormatting>
  <conditionalFormatting sqref="E31">
    <cfRule type="cellIs" priority="7" dxfId="351" operator="greaterThan" stopIfTrue="1">
      <formula>$E$33*0.1</formula>
    </cfRule>
  </conditionalFormatting>
  <conditionalFormatting sqref="E18">
    <cfRule type="cellIs" priority="8" dxfId="351" operator="greaterThan" stopIfTrue="1">
      <formula>$E$20*0.1+E40</formula>
    </cfRule>
  </conditionalFormatting>
  <conditionalFormatting sqref="E58">
    <cfRule type="cellIs" priority="9" dxfId="351" operator="greaterThan" stopIfTrue="1">
      <formula>$E$60*0.1+E77</formula>
    </cfRule>
  </conditionalFormatting>
  <conditionalFormatting sqref="C71">
    <cfRule type="cellIs" priority="10" dxfId="2" operator="greaterThan" stopIfTrue="1">
      <formula>$C$73*0.1</formula>
    </cfRule>
  </conditionalFormatting>
  <conditionalFormatting sqref="D71">
    <cfRule type="cellIs" priority="11" dxfId="2" operator="greaterThan" stopIfTrue="1">
      <formula>$D$73*0.1</formula>
    </cfRule>
  </conditionalFormatting>
  <conditionalFormatting sqref="D58">
    <cfRule type="cellIs" priority="12" dxfId="2" operator="greaterThan" stopIfTrue="1">
      <formula>$D$60*0.1</formula>
    </cfRule>
  </conditionalFormatting>
  <conditionalFormatting sqref="C58">
    <cfRule type="cellIs" priority="13" dxfId="2" operator="greaterThan" stopIfTrue="1">
      <formula>$C$60*0.1</formula>
    </cfRule>
  </conditionalFormatting>
  <conditionalFormatting sqref="C31">
    <cfRule type="cellIs" priority="14" dxfId="2" operator="greaterThan" stopIfTrue="1">
      <formula>$C$33*0.1</formula>
    </cfRule>
  </conditionalFormatting>
  <conditionalFormatting sqref="D31">
    <cfRule type="cellIs" priority="15" dxfId="2" operator="greaterThan" stopIfTrue="1">
      <formula>$D$33*0.1</formula>
    </cfRule>
  </conditionalFormatting>
  <conditionalFormatting sqref="D33">
    <cfRule type="cellIs" priority="16" dxfId="2" operator="greaterThan" stopIfTrue="1">
      <formula>$D$35</formula>
    </cfRule>
  </conditionalFormatting>
  <conditionalFormatting sqref="C74 C34">
    <cfRule type="cellIs" priority="18" dxfId="2" operator="lessThan" stopIfTrue="1">
      <formula>0</formula>
    </cfRule>
  </conditionalFormatting>
  <conditionalFormatting sqref="C18">
    <cfRule type="cellIs" priority="19" dxfId="351" operator="greaterThan" stopIfTrue="1">
      <formula>$C$21*0.1</formula>
    </cfRule>
  </conditionalFormatting>
  <conditionalFormatting sqref="D18">
    <cfRule type="cellIs" priority="20" dxfId="351" operator="greaterThan" stopIfTrue="1">
      <formula>$D$20*0.1</formula>
    </cfRule>
  </conditionalFormatting>
  <conditionalFormatting sqref="C73">
    <cfRule type="cellIs" priority="21" dxfId="2" operator="greaterThan" stopIfTrue="1">
      <formula>$C$75</formula>
    </cfRule>
  </conditionalFormatting>
  <conditionalFormatting sqref="D73">
    <cfRule type="cellIs" priority="22" dxfId="2" operator="greaterThan" stopIfTrue="1">
      <formula>$D$75</formula>
    </cfRule>
  </conditionalFormatting>
  <conditionalFormatting sqref="D34">
    <cfRule type="cellIs" priority="3" dxfId="0" operator="lessThan" stopIfTrue="1">
      <formula>0</formula>
    </cfRule>
  </conditionalFormatting>
  <conditionalFormatting sqref="D74">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E64" sqref="E64"/>
    </sheetView>
  </sheetViews>
  <sheetFormatPr defaultColWidth="8.796875" defaultRowHeight="15"/>
  <cols>
    <col min="1" max="1" width="2.3984375" style="52" customWidth="1"/>
    <col min="2" max="2" width="31.09765625" style="52" customWidth="1"/>
    <col min="3" max="4" width="15.796875" style="52" customWidth="1"/>
    <col min="5" max="5" width="16.39843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t="str">
        <f>inputPrYr!$B$21</f>
        <v>4-H Bldg Maintenance</v>
      </c>
      <c r="C5" s="441" t="str">
        <f>CONCATENATE("Actual for ",E1-2,"")</f>
        <v>Actual for 2011</v>
      </c>
      <c r="D5" s="441" t="str">
        <f>CONCATENATE("Estimate for ",E1-1,"")</f>
        <v>Estimate for 2012</v>
      </c>
      <c r="E5" s="294" t="str">
        <f>CONCATENATE("Year for ",E1,"")</f>
        <v>Year for 2013</v>
      </c>
    </row>
    <row r="6" spans="2:5" ht="15.75">
      <c r="B6" s="153" t="s">
        <v>851</v>
      </c>
      <c r="C6" s="469">
        <v>210530</v>
      </c>
      <c r="D6" s="440">
        <f>C34</f>
        <v>205799</v>
      </c>
      <c r="E6" s="259">
        <f>D34</f>
        <v>185440</v>
      </c>
    </row>
    <row r="7" spans="2:5" ht="15.75">
      <c r="B7" s="284" t="s">
        <v>853</v>
      </c>
      <c r="C7" s="167"/>
      <c r="D7" s="167"/>
      <c r="E7" s="110"/>
    </row>
    <row r="8" spans="2:5" ht="15.75">
      <c r="B8" s="153" t="s">
        <v>724</v>
      </c>
      <c r="C8" s="469">
        <v>79423</v>
      </c>
      <c r="D8" s="440">
        <f>IF(inputPrYr!H21&gt;0,inputPrYr!H21,inputPrYr!E21)</f>
        <v>72423</v>
      </c>
      <c r="E8" s="321" t="s">
        <v>711</v>
      </c>
    </row>
    <row r="9" spans="2:5" ht="15.75">
      <c r="B9" s="153" t="s">
        <v>725</v>
      </c>
      <c r="C9" s="469">
        <v>1568</v>
      </c>
      <c r="D9" s="469"/>
      <c r="E9" s="94"/>
    </row>
    <row r="10" spans="2:5" ht="15.75">
      <c r="B10" s="153" t="s">
        <v>726</v>
      </c>
      <c r="C10" s="469">
        <v>7217</v>
      </c>
      <c r="D10" s="469">
        <v>6679</v>
      </c>
      <c r="E10" s="259">
        <f>mvalloc!E15</f>
        <v>5160</v>
      </c>
    </row>
    <row r="11" spans="2:5" ht="15.75">
      <c r="B11" s="153" t="s">
        <v>727</v>
      </c>
      <c r="C11" s="469">
        <v>123</v>
      </c>
      <c r="D11" s="469">
        <v>121</v>
      </c>
      <c r="E11" s="259">
        <f>mvalloc!F15</f>
        <v>83</v>
      </c>
    </row>
    <row r="12" spans="2:5" ht="15.75">
      <c r="B12" s="167" t="s">
        <v>802</v>
      </c>
      <c r="C12" s="469">
        <v>368</v>
      </c>
      <c r="D12" s="469">
        <v>418</v>
      </c>
      <c r="E12" s="259">
        <f>mvalloc!G15</f>
        <v>351</v>
      </c>
    </row>
    <row r="13" spans="2:5" ht="15.75">
      <c r="B13" s="311" t="s">
        <v>441</v>
      </c>
      <c r="C13" s="469">
        <v>5546</v>
      </c>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67</v>
      </c>
      <c r="C19" s="439">
        <f>IF(C20*0.1&lt;C18,"Exceed 10% Rule","")</f>
      </c>
      <c r="D19" s="439">
        <f>IF(D20*0.1&lt;D18,"Exceed 10% Rule","")</f>
      </c>
      <c r="E19" s="328">
        <f>IF(E20*0.1+E40&lt;E18,"Exceed 10% Rule","")</f>
      </c>
    </row>
    <row r="20" spans="2:5" ht="15.75">
      <c r="B20" s="302" t="s">
        <v>732</v>
      </c>
      <c r="C20" s="443">
        <f>SUM(C8:C18)</f>
        <v>94245</v>
      </c>
      <c r="D20" s="443">
        <f>SUM(D8:D18)</f>
        <v>79641</v>
      </c>
      <c r="E20" s="348">
        <f>SUM(E8:E18)</f>
        <v>5594</v>
      </c>
    </row>
    <row r="21" spans="2:5" ht="15.75">
      <c r="B21" s="302" t="s">
        <v>733</v>
      </c>
      <c r="C21" s="443">
        <f>C6+C20</f>
        <v>304775</v>
      </c>
      <c r="D21" s="443">
        <f>D6+D20</f>
        <v>285440</v>
      </c>
      <c r="E21" s="348">
        <f>E6+E20</f>
        <v>191034</v>
      </c>
    </row>
    <row r="22" spans="2:5" ht="15.75">
      <c r="B22" s="153" t="s">
        <v>736</v>
      </c>
      <c r="C22" s="300"/>
      <c r="D22" s="300"/>
      <c r="E22" s="163"/>
    </row>
    <row r="23" spans="2:5" ht="15.75">
      <c r="B23" s="311" t="s">
        <v>457</v>
      </c>
      <c r="C23" s="469">
        <v>98976</v>
      </c>
      <c r="D23" s="469">
        <v>100000</v>
      </c>
      <c r="E23" s="94">
        <v>263457</v>
      </c>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Nhood!E11</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98976</v>
      </c>
      <c r="D33" s="443">
        <f>SUM(D23:D31)</f>
        <v>100000</v>
      </c>
      <c r="E33" s="348">
        <f>SUM(E23:E31)</f>
        <v>263457</v>
      </c>
      <c r="G33" s="645">
        <f>D34</f>
        <v>185440</v>
      </c>
      <c r="H33" s="646" t="str">
        <f>CONCATENATE("",E1-1," Ending Cash Balance (est.)")</f>
        <v>2012 Ending Cash Balance (est.)</v>
      </c>
      <c r="I33" s="647"/>
      <c r="J33" s="644"/>
    </row>
    <row r="34" spans="2:10" ht="15.75">
      <c r="B34" s="153" t="s">
        <v>852</v>
      </c>
      <c r="C34" s="438">
        <f>C21-C33</f>
        <v>205799</v>
      </c>
      <c r="D34" s="438">
        <f>D21-D33</f>
        <v>185440</v>
      </c>
      <c r="E34" s="321" t="s">
        <v>711</v>
      </c>
      <c r="G34" s="645">
        <f>E20</f>
        <v>5594</v>
      </c>
      <c r="H34" s="631" t="str">
        <f>CONCATENATE("",E1," Non-AV Receipts (est.)")</f>
        <v>2013 Non-AV Receipts (est.)</v>
      </c>
      <c r="I34" s="647"/>
      <c r="J34" s="644"/>
    </row>
    <row r="35" spans="2:11" ht="15.75">
      <c r="B35" s="281" t="str">
        <f>CONCATENATE("",$E$1-2,"/",$E$1-1," Budget Authority Amount:")</f>
        <v>2011/2012 Budget Authority Amount:</v>
      </c>
      <c r="C35" s="273">
        <f>inputOth!B34</f>
        <v>301542</v>
      </c>
      <c r="D35" s="273">
        <f>inputPrYr!D21</f>
        <v>280000</v>
      </c>
      <c r="E35" s="321" t="s">
        <v>711</v>
      </c>
      <c r="F35" s="314"/>
      <c r="G35" s="648">
        <f>IF(E39&gt;0,E38,E40)</f>
        <v>72423</v>
      </c>
      <c r="H35" s="631" t="str">
        <f>CONCATENATE("",E1," Ad Valorem Tax (est.)")</f>
        <v>2013 Ad Valorem Tax (est.)</v>
      </c>
      <c r="I35" s="647"/>
      <c r="J35" s="644"/>
      <c r="K35" s="684">
        <f>IF(G35=E40,"","Note: Does not include Delinquent Taxes")</f>
      </c>
    </row>
    <row r="36" spans="2:10" ht="15.75">
      <c r="B36" s="281"/>
      <c r="C36" s="753" t="s">
        <v>69</v>
      </c>
      <c r="D36" s="754"/>
      <c r="E36" s="93"/>
      <c r="F36" s="482">
        <f>IF(E33/0.95-E33&lt;E36,"Exceeds 5%","")</f>
      </c>
      <c r="G36" s="645">
        <f>SUM(G33:G35)</f>
        <v>263457</v>
      </c>
      <c r="H36" s="631" t="str">
        <f>CONCATENATE("Total ",E1," Resources Available")</f>
        <v>Total 2013 Resources Available</v>
      </c>
      <c r="I36" s="647"/>
      <c r="J36" s="644"/>
    </row>
    <row r="37" spans="2:10" ht="15.75">
      <c r="B37" s="476" t="str">
        <f>CONCATENATE(C88,"     ",D88)</f>
        <v>     </v>
      </c>
      <c r="C37" s="755" t="s">
        <v>70</v>
      </c>
      <c r="D37" s="756"/>
      <c r="E37" s="259">
        <f>E33+E36</f>
        <v>263457</v>
      </c>
      <c r="G37" s="649"/>
      <c r="H37" s="631"/>
      <c r="I37" s="631"/>
      <c r="J37" s="644"/>
    </row>
    <row r="38" spans="2:10" ht="15.75">
      <c r="B38" s="476" t="str">
        <f>CONCATENATE(C89,"      ",D89)</f>
        <v>      </v>
      </c>
      <c r="C38" s="315"/>
      <c r="D38" s="107" t="s">
        <v>738</v>
      </c>
      <c r="E38" s="98">
        <f>IF(E37-E21&gt;0,E37-E21,0)</f>
        <v>72423</v>
      </c>
      <c r="G38" s="648">
        <f>ROUND(C33*0.05+C33,0)</f>
        <v>103925</v>
      </c>
      <c r="H38" s="631" t="str">
        <f>CONCATENATE("Less ",E1-2," Expenditures + 5%")</f>
        <v>Less 2011 Expenditures + 5%</v>
      </c>
      <c r="I38" s="647"/>
      <c r="J38" s="664"/>
    </row>
    <row r="39" spans="2:10" ht="15.75">
      <c r="B39" s="107"/>
      <c r="C39" s="458" t="s">
        <v>71</v>
      </c>
      <c r="D39" s="687">
        <f>inputOth!$E$22</f>
        <v>0</v>
      </c>
      <c r="E39" s="259">
        <f>ROUND(IF(D39&gt;0,(E38*D39),0),0)</f>
        <v>0</v>
      </c>
      <c r="G39" s="650">
        <f>G36-G38</f>
        <v>159532</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72423</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6"/>
      <c r="C43" s="145"/>
      <c r="D43" s="145"/>
      <c r="E43" s="145"/>
      <c r="G43" s="657">
        <f>summ!H21</f>
        <v>0.646</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f>summ!E21</f>
        <v>0.672</v>
      </c>
      <c r="H44" s="646" t="str">
        <f>CONCATENATE("",E1-1," Fund Mill Rate")</f>
        <v>2012 Fund Mill Rate</v>
      </c>
      <c r="I44" s="655"/>
      <c r="J44" s="656"/>
    </row>
    <row r="45" spans="2:10" ht="15.75">
      <c r="B45" s="461" t="str">
        <f>inputPrYr!$B$22</f>
        <v>Election Expense</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v>158464</v>
      </c>
      <c r="D46" s="440">
        <f>C74</f>
        <v>152465</v>
      </c>
      <c r="E46" s="259">
        <f>D74</f>
        <v>18315</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v>43877</v>
      </c>
      <c r="D48" s="440">
        <f>IF(inputPrYr!H22&gt;0,inputPrYr!H22,inputPrYr!E22)</f>
        <v>28356</v>
      </c>
      <c r="E48" s="321" t="s">
        <v>711</v>
      </c>
      <c r="G48" s="643"/>
      <c r="H48" s="643"/>
      <c r="I48" s="643"/>
      <c r="J48" s="643"/>
    </row>
    <row r="49" spans="2:10" ht="15.75">
      <c r="B49" s="153" t="s">
        <v>725</v>
      </c>
      <c r="C49" s="469">
        <v>1247</v>
      </c>
      <c r="D49" s="469"/>
      <c r="E49" s="94"/>
      <c r="G49" s="643"/>
      <c r="H49" s="643"/>
      <c r="I49" s="643"/>
      <c r="J49" s="643"/>
    </row>
    <row r="50" spans="2:10" ht="15.75">
      <c r="B50" s="153" t="s">
        <v>726</v>
      </c>
      <c r="C50" s="469">
        <v>7674</v>
      </c>
      <c r="D50" s="469">
        <v>3696</v>
      </c>
      <c r="E50" s="259">
        <f>mvalloc!E16</f>
        <v>2020</v>
      </c>
      <c r="G50" s="643"/>
      <c r="H50" s="643"/>
      <c r="I50" s="643"/>
      <c r="J50" s="643"/>
    </row>
    <row r="51" spans="2:10" ht="15.75">
      <c r="B51" s="153" t="s">
        <v>727</v>
      </c>
      <c r="C51" s="469">
        <v>126</v>
      </c>
      <c r="D51" s="469">
        <v>67</v>
      </c>
      <c r="E51" s="259">
        <f>mvalloc!F16</f>
        <v>33</v>
      </c>
      <c r="G51" s="643"/>
      <c r="H51" s="643"/>
      <c r="I51" s="643"/>
      <c r="J51" s="643"/>
    </row>
    <row r="52" spans="2:10" ht="15.75">
      <c r="B52" s="167" t="s">
        <v>802</v>
      </c>
      <c r="C52" s="469">
        <v>59</v>
      </c>
      <c r="D52" s="469">
        <v>231</v>
      </c>
      <c r="E52" s="259">
        <f>mvalloc!G16</f>
        <v>137</v>
      </c>
      <c r="G52" s="643"/>
      <c r="H52" s="643"/>
      <c r="I52" s="643"/>
      <c r="J52" s="643"/>
    </row>
    <row r="53" spans="2:10" ht="15.75">
      <c r="B53" s="311" t="s">
        <v>441</v>
      </c>
      <c r="C53" s="469">
        <v>1801</v>
      </c>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54784</v>
      </c>
      <c r="D60" s="443">
        <f>SUM(D48:D58)</f>
        <v>32350</v>
      </c>
      <c r="E60" s="348">
        <f>SUM(E49:E58)</f>
        <v>2190</v>
      </c>
      <c r="G60" s="643"/>
      <c r="H60" s="643"/>
      <c r="I60" s="643"/>
      <c r="J60" s="643"/>
    </row>
    <row r="61" spans="2:10" ht="15.75">
      <c r="B61" s="302" t="s">
        <v>733</v>
      </c>
      <c r="C61" s="443">
        <f>C46+C60</f>
        <v>213248</v>
      </c>
      <c r="D61" s="443">
        <f>D46+D60</f>
        <v>184815</v>
      </c>
      <c r="E61" s="348">
        <f>E46+E60</f>
        <v>20505</v>
      </c>
      <c r="G61" s="643"/>
      <c r="H61" s="643"/>
      <c r="I61" s="643"/>
      <c r="J61" s="643"/>
    </row>
    <row r="62" spans="2:10" ht="15.75">
      <c r="B62" s="153" t="s">
        <v>736</v>
      </c>
      <c r="C62" s="300"/>
      <c r="D62" s="300"/>
      <c r="E62" s="163"/>
      <c r="G62" s="643"/>
      <c r="H62" s="643"/>
      <c r="I62" s="643"/>
      <c r="J62" s="643"/>
    </row>
    <row r="63" spans="2:10" ht="15.75">
      <c r="B63" s="311" t="s">
        <v>457</v>
      </c>
      <c r="C63" s="469">
        <v>60783</v>
      </c>
      <c r="D63" s="469">
        <v>166500</v>
      </c>
      <c r="E63" s="94">
        <v>166500</v>
      </c>
      <c r="G63" s="643"/>
      <c r="H63" s="643"/>
      <c r="I63" s="643"/>
      <c r="J63" s="643"/>
    </row>
    <row r="64" spans="2:10" ht="15.75">
      <c r="B64" s="311"/>
      <c r="C64" s="469"/>
      <c r="D64" s="469"/>
      <c r="E64" s="94"/>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Nhood!E12</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60783</v>
      </c>
      <c r="D73" s="443">
        <f>SUM(D63:D71)</f>
        <v>166500</v>
      </c>
      <c r="E73" s="348">
        <f>SUM(E63:E71)</f>
        <v>166500</v>
      </c>
      <c r="G73" s="645">
        <f>D74</f>
        <v>18315</v>
      </c>
      <c r="H73" s="646" t="str">
        <f>CONCATENATE("",E1-1," Ending Cash Balance (est.)")</f>
        <v>2012 Ending Cash Balance (est.)</v>
      </c>
      <c r="I73" s="647"/>
      <c r="J73" s="664"/>
    </row>
    <row r="74" spans="2:10" ht="15.75">
      <c r="B74" s="153" t="s">
        <v>852</v>
      </c>
      <c r="C74" s="438">
        <f>C61-C73</f>
        <v>152465</v>
      </c>
      <c r="D74" s="438">
        <f>D61-D73</f>
        <v>18315</v>
      </c>
      <c r="E74" s="321" t="s">
        <v>711</v>
      </c>
      <c r="G74" s="645">
        <f>E60</f>
        <v>2190</v>
      </c>
      <c r="H74" s="631" t="str">
        <f>CONCATENATE("",E1," Non-AV Receipts (est.)")</f>
        <v>2013 Non-AV Receipts (est.)</v>
      </c>
      <c r="I74" s="647"/>
      <c r="J74" s="664"/>
    </row>
    <row r="75" spans="2:11" ht="15.75">
      <c r="B75" s="281" t="str">
        <f>CONCATENATE("",$E$1-2,"/",$E$1-1," Budget Authority Amount:")</f>
        <v>2011/2012 Budget Authority Amount:</v>
      </c>
      <c r="C75" s="273">
        <f>inputOth!B35</f>
        <v>158500</v>
      </c>
      <c r="D75" s="273">
        <f>inputPrYr!D22</f>
        <v>166500</v>
      </c>
      <c r="E75" s="321" t="s">
        <v>711</v>
      </c>
      <c r="F75" s="314"/>
      <c r="G75" s="648">
        <f>IF(E79&gt;0,E78,E80)</f>
        <v>145995</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166500</v>
      </c>
      <c r="H76" s="631" t="str">
        <f>CONCATENATE("Total ",E1," Resources Available")</f>
        <v>Total 2013 Resources Available</v>
      </c>
      <c r="I76" s="666"/>
      <c r="J76" s="664"/>
    </row>
    <row r="77" spans="2:10" ht="15.75">
      <c r="B77" s="476" t="str">
        <f>CONCATENATE(C90,"      ",D90)</f>
        <v>      </v>
      </c>
      <c r="C77" s="755" t="s">
        <v>70</v>
      </c>
      <c r="D77" s="756"/>
      <c r="E77" s="259">
        <f>E73+E76</f>
        <v>166500</v>
      </c>
      <c r="G77" s="667"/>
      <c r="H77" s="668"/>
      <c r="I77" s="630"/>
      <c r="J77" s="664"/>
    </row>
    <row r="78" spans="2:10" ht="15.75">
      <c r="B78" s="476" t="str">
        <f>CONCATENATE(C91,"      ",D91)</f>
        <v>      </v>
      </c>
      <c r="C78" s="315"/>
      <c r="D78" s="107" t="s">
        <v>738</v>
      </c>
      <c r="E78" s="98">
        <f>IF(E77-E61&gt;0,E77-E61,0)</f>
        <v>145995</v>
      </c>
      <c r="G78" s="669">
        <f>ROUND(C73*0.05+C73,0)</f>
        <v>63822</v>
      </c>
      <c r="H78" s="631" t="str">
        <f>CONCATENATE("Less ",E1-2," Expenditures + 5%")</f>
        <v>Less 2011 Expenditures + 5%</v>
      </c>
      <c r="I78" s="666"/>
      <c r="J78" s="664"/>
    </row>
    <row r="79" spans="2:10" ht="15.75">
      <c r="B79" s="107"/>
      <c r="C79" s="458" t="s">
        <v>71</v>
      </c>
      <c r="D79" s="687">
        <f>inputOth!$E$22</f>
        <v>0</v>
      </c>
      <c r="E79" s="259">
        <f>ROUND(IF(D79&gt;0,(E78*D79),0),0)</f>
        <v>0</v>
      </c>
      <c r="G79" s="670">
        <f>G76-G78</f>
        <v>102678</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145995</v>
      </c>
      <c r="G80" s="643"/>
      <c r="H80" s="643"/>
      <c r="I80" s="643"/>
      <c r="J80" s="643"/>
    </row>
    <row r="81" spans="2:10" ht="15.75">
      <c r="B81" s="316" t="s">
        <v>762</v>
      </c>
      <c r="C81" s="334">
        <v>11</v>
      </c>
      <c r="D81" s="67"/>
      <c r="E81" s="67"/>
      <c r="G81" s="757" t="s">
        <v>201</v>
      </c>
      <c r="H81" s="758"/>
      <c r="I81" s="758"/>
      <c r="J81" s="759"/>
    </row>
    <row r="82" spans="7:10" ht="15.75">
      <c r="G82" s="654"/>
      <c r="H82" s="646"/>
      <c r="I82" s="655"/>
      <c r="J82" s="656"/>
    </row>
    <row r="83" spans="7:10" ht="15.75">
      <c r="G83" s="657">
        <f>summ!H22</f>
        <v>1.302</v>
      </c>
      <c r="H83" s="646" t="str">
        <f>CONCATENATE("",E1," Fund Mill Rate")</f>
        <v>2013 Fund Mill Rate</v>
      </c>
      <c r="I83" s="655"/>
      <c r="J83" s="656"/>
    </row>
    <row r="84" spans="7:10" ht="15.75">
      <c r="G84" s="658">
        <f>summ!E22</f>
        <v>0.263</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4" spans="3:4" ht="15.75">
      <c r="C94" s="52">
        <f>IF(C77&lt;0,"See Tab B","")</f>
      </c>
      <c r="D94" s="52">
        <f>IF(D77&lt;0,"See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1">
    <cfRule type="cellIs" priority="4" dxfId="351" operator="greaterThan" stopIfTrue="1">
      <formula>$E$73*0.1</formula>
    </cfRule>
  </conditionalFormatting>
  <conditionalFormatting sqref="C18">
    <cfRule type="cellIs" priority="5" dxfId="351" operator="greaterThan" stopIfTrue="1">
      <formula>$C$20*0.1</formula>
    </cfRule>
  </conditionalFormatting>
  <conditionalFormatting sqref="D18">
    <cfRule type="cellIs" priority="6" dxfId="351" operator="greaterThan" stopIfTrue="1">
      <formula>$D$20*0.1</formula>
    </cfRule>
  </conditionalFormatting>
  <conditionalFormatting sqref="E31">
    <cfRule type="cellIs" priority="7" dxfId="351" operator="greaterThan" stopIfTrue="1">
      <formula>$E$33*0.1</formula>
    </cfRule>
  </conditionalFormatting>
  <conditionalFormatting sqref="E76">
    <cfRule type="cellIs" priority="8" dxfId="351" operator="greaterThan" stopIfTrue="1">
      <formula>$E$73/0.95-$E$73</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D33">
    <cfRule type="cellIs" priority="17" dxfId="2" operator="greaterThan" stopIfTrue="1">
      <formula>$D$35</formula>
    </cfRule>
  </conditionalFormatting>
  <conditionalFormatting sqref="C74 C3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74 D3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1"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C81" sqref="C81"/>
    </sheetView>
  </sheetViews>
  <sheetFormatPr defaultColWidth="8.796875" defaultRowHeight="15"/>
  <cols>
    <col min="1" max="1" width="2.3984375" style="52" customWidth="1"/>
    <col min="2" max="2" width="31.09765625" style="52" customWidth="1"/>
    <col min="3" max="4" width="15.796875" style="52" customWidth="1"/>
    <col min="5" max="5" width="16.6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t="str">
        <f>inputPrYr!$B$23</f>
        <v>Ambulance</v>
      </c>
      <c r="C5" s="441" t="str">
        <f>CONCATENATE("Actual for ",E1-2,"")</f>
        <v>Actual for 2011</v>
      </c>
      <c r="D5" s="441" t="str">
        <f>CONCATENATE("Estimate for ",E1-1,"")</f>
        <v>Estimate for 2012</v>
      </c>
      <c r="E5" s="294" t="str">
        <f>CONCATENATE("Year for ",E1,"")</f>
        <v>Year for 2013</v>
      </c>
    </row>
    <row r="6" spans="2:5" ht="15.75">
      <c r="B6" s="153" t="s">
        <v>851</v>
      </c>
      <c r="C6" s="469">
        <v>33878</v>
      </c>
      <c r="D6" s="440">
        <f>C34</f>
        <v>28428</v>
      </c>
      <c r="E6" s="259">
        <f>D34</f>
        <v>0</v>
      </c>
    </row>
    <row r="7" spans="2:5" ht="15.75">
      <c r="B7" s="284" t="s">
        <v>853</v>
      </c>
      <c r="C7" s="167"/>
      <c r="D7" s="167"/>
      <c r="E7" s="110"/>
    </row>
    <row r="8" spans="2:5" ht="15.75">
      <c r="B8" s="153" t="s">
        <v>724</v>
      </c>
      <c r="C8" s="469">
        <v>458309</v>
      </c>
      <c r="D8" s="440">
        <f>IF(inputPrYr!H23&gt;0,inputPrYr!H23,inputPrYr!E23)</f>
        <v>750000</v>
      </c>
      <c r="E8" s="321" t="s">
        <v>711</v>
      </c>
    </row>
    <row r="9" spans="2:5" ht="15.75">
      <c r="B9" s="153" t="s">
        <v>725</v>
      </c>
      <c r="C9" s="469">
        <v>7132</v>
      </c>
      <c r="D9" s="469"/>
      <c r="E9" s="94"/>
    </row>
    <row r="10" spans="2:5" ht="15.75">
      <c r="B10" s="153" t="s">
        <v>726</v>
      </c>
      <c r="C10" s="469">
        <v>28468</v>
      </c>
      <c r="D10" s="469">
        <v>38542</v>
      </c>
      <c r="E10" s="259">
        <f>mvalloc!E17</f>
        <v>53440</v>
      </c>
    </row>
    <row r="11" spans="2:5" ht="15.75">
      <c r="B11" s="153" t="s">
        <v>727</v>
      </c>
      <c r="C11" s="469">
        <v>484</v>
      </c>
      <c r="D11" s="469">
        <v>700</v>
      </c>
      <c r="E11" s="259">
        <f>mvalloc!F17</f>
        <v>860</v>
      </c>
    </row>
    <row r="12" spans="2:5" ht="15.75">
      <c r="B12" s="167" t="s">
        <v>802</v>
      </c>
      <c r="C12" s="469">
        <v>1266</v>
      </c>
      <c r="D12" s="469">
        <v>2410</v>
      </c>
      <c r="E12" s="259">
        <f>mvalloc!G17</f>
        <v>3635</v>
      </c>
    </row>
    <row r="13" spans="2:5" ht="15.75">
      <c r="B13" s="311" t="s">
        <v>441</v>
      </c>
      <c r="C13" s="469">
        <v>2275</v>
      </c>
      <c r="D13" s="469">
        <v>850000</v>
      </c>
      <c r="E13" s="94">
        <v>900000</v>
      </c>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497934</v>
      </c>
      <c r="D20" s="443">
        <f>SUM(D8:D18)</f>
        <v>1641652</v>
      </c>
      <c r="E20" s="348">
        <f>SUM(E8:E18)</f>
        <v>957935</v>
      </c>
    </row>
    <row r="21" spans="2:5" ht="15.75">
      <c r="B21" s="302" t="s">
        <v>733</v>
      </c>
      <c r="C21" s="443">
        <f>C6+C20</f>
        <v>531812</v>
      </c>
      <c r="D21" s="443">
        <f>D6+D20</f>
        <v>1670080</v>
      </c>
      <c r="E21" s="348">
        <f>E6+E20</f>
        <v>957935</v>
      </c>
    </row>
    <row r="22" spans="2:5" ht="15.75">
      <c r="B22" s="153" t="s">
        <v>736</v>
      </c>
      <c r="C22" s="300"/>
      <c r="D22" s="300"/>
      <c r="E22" s="163"/>
    </row>
    <row r="23" spans="2:5" ht="15.75">
      <c r="B23" s="311" t="s">
        <v>451</v>
      </c>
      <c r="C23" s="469">
        <v>491936</v>
      </c>
      <c r="D23" s="469"/>
      <c r="E23" s="94"/>
    </row>
    <row r="24" spans="2:10" ht="15.75">
      <c r="B24" s="311" t="s">
        <v>453</v>
      </c>
      <c r="C24" s="469">
        <v>11448</v>
      </c>
      <c r="D24" s="469"/>
      <c r="E24" s="94"/>
      <c r="G24" s="760" t="str">
        <f>CONCATENATE("Desired Carryover Into ",E1+1,"")</f>
        <v>Desired Carryover Into 2014</v>
      </c>
      <c r="H24" s="761"/>
      <c r="I24" s="761"/>
      <c r="J24" s="762"/>
    </row>
    <row r="25" spans="2:10" ht="15.75">
      <c r="B25" s="311" t="s">
        <v>650</v>
      </c>
      <c r="C25" s="469"/>
      <c r="D25" s="469">
        <v>1670080</v>
      </c>
      <c r="E25" s="94">
        <v>1675530</v>
      </c>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Nhood!E13</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503384</v>
      </c>
      <c r="D33" s="443">
        <f>SUM(D23:D31)</f>
        <v>1670080</v>
      </c>
      <c r="E33" s="348">
        <f>SUM(E23:E31)</f>
        <v>1675530</v>
      </c>
      <c r="G33" s="645">
        <f>D34</f>
        <v>0</v>
      </c>
      <c r="H33" s="646" t="str">
        <f>CONCATENATE("",E1-1," Ending Cash Balance (est.)")</f>
        <v>2012 Ending Cash Balance (est.)</v>
      </c>
      <c r="I33" s="647"/>
      <c r="J33" s="644"/>
    </row>
    <row r="34" spans="2:10" ht="15.75">
      <c r="B34" s="153" t="s">
        <v>852</v>
      </c>
      <c r="C34" s="438">
        <f>C21-C33</f>
        <v>28428</v>
      </c>
      <c r="D34" s="438">
        <f>D21-D33</f>
        <v>0</v>
      </c>
      <c r="E34" s="321" t="s">
        <v>711</v>
      </c>
      <c r="G34" s="645">
        <f>E20</f>
        <v>957935</v>
      </c>
      <c r="H34" s="631" t="str">
        <f>CONCATENATE("",E1," Non-AV Receipts (est.)")</f>
        <v>2013 Non-AV Receipts (est.)</v>
      </c>
      <c r="I34" s="647"/>
      <c r="J34" s="644"/>
    </row>
    <row r="35" spans="2:11" ht="15.75">
      <c r="B35" s="281" t="str">
        <f>CONCATENATE("",$E$1-2,"/",$E$1-1," Budget Authority Amount:")</f>
        <v>2011/2012 Budget Authority Amount:</v>
      </c>
      <c r="C35" s="273">
        <f>inputOth!B36</f>
        <v>504450</v>
      </c>
      <c r="D35" s="273">
        <f>inputPrYr!D23</f>
        <v>1675530</v>
      </c>
      <c r="E35" s="321" t="s">
        <v>711</v>
      </c>
      <c r="F35" s="314"/>
      <c r="G35" s="648">
        <f>IF(E39&gt;0,E38,E40)</f>
        <v>717595</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1675530</v>
      </c>
      <c r="H36" s="631" t="str">
        <f>CONCATENATE("Total ",E1," Resources Available")</f>
        <v>Total 2013 Resources Available</v>
      </c>
      <c r="I36" s="647"/>
      <c r="J36" s="644"/>
    </row>
    <row r="37" spans="2:10" ht="15.75">
      <c r="B37" s="476" t="str">
        <f>CONCATENATE(C88,"     ",D88)</f>
        <v>     </v>
      </c>
      <c r="C37" s="755" t="s">
        <v>70</v>
      </c>
      <c r="D37" s="756"/>
      <c r="E37" s="259">
        <f>E33+E36</f>
        <v>1675530</v>
      </c>
      <c r="G37" s="649"/>
      <c r="H37" s="631"/>
      <c r="I37" s="631"/>
      <c r="J37" s="644"/>
    </row>
    <row r="38" spans="2:10" ht="15.75">
      <c r="B38" s="476" t="str">
        <f>CONCATENATE(C89,"      ",D89)</f>
        <v>      </v>
      </c>
      <c r="C38" s="315"/>
      <c r="D38" s="107" t="s">
        <v>738</v>
      </c>
      <c r="E38" s="98">
        <f>IF(E37-E21&gt;0,E37-E21,0)</f>
        <v>717595</v>
      </c>
      <c r="G38" s="648">
        <f>ROUND(C33*0.05+C33,0)</f>
        <v>528553</v>
      </c>
      <c r="H38" s="631" t="str">
        <f>CONCATENATE("Less ",E1-2," Expenditures + 5%")</f>
        <v>Less 2011 Expenditures + 5%</v>
      </c>
      <c r="I38" s="647"/>
      <c r="J38" s="664"/>
    </row>
    <row r="39" spans="2:10" ht="15.75">
      <c r="B39" s="107"/>
      <c r="C39" s="458" t="s">
        <v>71</v>
      </c>
      <c r="D39" s="687">
        <f>inputOth!$E$22</f>
        <v>0</v>
      </c>
      <c r="E39" s="259">
        <f>ROUND(IF(D39&gt;0,(E38*D39),0),0)</f>
        <v>0</v>
      </c>
      <c r="G39" s="650">
        <f>G36-G38</f>
        <v>1146977</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717595</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f>summ!H23</f>
        <v>6.399</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f>summ!E23</f>
        <v>6.961</v>
      </c>
      <c r="H44" s="646" t="str">
        <f>CONCATENATE("",E1-1," Fund Mill Rate")</f>
        <v>2012 Fund Mill Rate</v>
      </c>
      <c r="I44" s="655"/>
      <c r="J44" s="656"/>
    </row>
    <row r="45" spans="2:10" ht="15.75">
      <c r="B45" s="461" t="str">
        <f>inputPrYr!$B$24</f>
        <v>Free Fair</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c r="D46" s="440">
        <f>C74</f>
        <v>0</v>
      </c>
      <c r="E46" s="259">
        <f>D74</f>
        <v>0</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v>45441</v>
      </c>
      <c r="D48" s="440">
        <f>IF(inputPrYr!H24&gt;0,inputPrYr!H24,inputPrYr!E24)</f>
        <v>45969</v>
      </c>
      <c r="E48" s="321" t="s">
        <v>711</v>
      </c>
      <c r="G48" s="643"/>
      <c r="H48" s="643"/>
      <c r="I48" s="643"/>
      <c r="J48" s="643"/>
    </row>
    <row r="49" spans="2:10" ht="15.75">
      <c r="B49" s="153" t="s">
        <v>725</v>
      </c>
      <c r="C49" s="469">
        <v>864</v>
      </c>
      <c r="D49" s="469"/>
      <c r="E49" s="94"/>
      <c r="G49" s="643"/>
      <c r="H49" s="643"/>
      <c r="I49" s="643"/>
      <c r="J49" s="643"/>
    </row>
    <row r="50" spans="2:10" ht="15.75">
      <c r="B50" s="153" t="s">
        <v>726</v>
      </c>
      <c r="C50" s="469">
        <v>4411</v>
      </c>
      <c r="D50" s="469">
        <v>3730</v>
      </c>
      <c r="E50" s="259">
        <f>mvalloc!E18</f>
        <v>3275</v>
      </c>
      <c r="G50" s="643"/>
      <c r="H50" s="643"/>
      <c r="I50" s="643"/>
      <c r="J50" s="643"/>
    </row>
    <row r="51" spans="2:10" ht="15.75">
      <c r="B51" s="153" t="s">
        <v>727</v>
      </c>
      <c r="C51" s="469">
        <v>72</v>
      </c>
      <c r="D51" s="469">
        <v>68</v>
      </c>
      <c r="E51" s="259">
        <f>mvalloc!F18</f>
        <v>53</v>
      </c>
      <c r="G51" s="643"/>
      <c r="H51" s="643"/>
      <c r="I51" s="643"/>
      <c r="J51" s="643"/>
    </row>
    <row r="52" spans="2:10" ht="15.75">
      <c r="B52" s="167" t="s">
        <v>802</v>
      </c>
      <c r="C52" s="469">
        <v>207</v>
      </c>
      <c r="D52" s="469">
        <v>233</v>
      </c>
      <c r="E52" s="259">
        <f>mvalloc!G18</f>
        <v>223</v>
      </c>
      <c r="G52" s="643"/>
      <c r="H52" s="643"/>
      <c r="I52" s="643"/>
      <c r="J52" s="643"/>
    </row>
    <row r="53" spans="2:10" ht="15.75">
      <c r="B53" s="311"/>
      <c r="C53" s="469"/>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50995</v>
      </c>
      <c r="D60" s="443">
        <f>SUM(D48:D58)</f>
        <v>50000</v>
      </c>
      <c r="E60" s="348">
        <f>SUM(E48:E58)</f>
        <v>3551</v>
      </c>
      <c r="G60" s="643"/>
      <c r="H60" s="643"/>
      <c r="I60" s="643"/>
      <c r="J60" s="643"/>
    </row>
    <row r="61" spans="2:10" ht="15.75">
      <c r="B61" s="302" t="s">
        <v>733</v>
      </c>
      <c r="C61" s="443">
        <f>C46+C60</f>
        <v>50995</v>
      </c>
      <c r="D61" s="443">
        <f>D46+D60</f>
        <v>50000</v>
      </c>
      <c r="E61" s="348">
        <f>E46+E60</f>
        <v>3551</v>
      </c>
      <c r="G61" s="643"/>
      <c r="H61" s="643"/>
      <c r="I61" s="643"/>
      <c r="J61" s="643"/>
    </row>
    <row r="62" spans="2:10" ht="15.75">
      <c r="B62" s="153" t="s">
        <v>736</v>
      </c>
      <c r="C62" s="300"/>
      <c r="D62" s="300"/>
      <c r="E62" s="163"/>
      <c r="G62" s="643"/>
      <c r="H62" s="643"/>
      <c r="I62" s="643"/>
      <c r="J62" s="643"/>
    </row>
    <row r="63" spans="2:10" ht="15.75">
      <c r="B63" s="311" t="s">
        <v>451</v>
      </c>
      <c r="C63" s="469">
        <v>50995</v>
      </c>
      <c r="D63" s="469">
        <v>50000</v>
      </c>
      <c r="E63" s="94">
        <v>50000</v>
      </c>
      <c r="G63" s="643"/>
      <c r="H63" s="643"/>
      <c r="I63" s="643"/>
      <c r="J63" s="643"/>
    </row>
    <row r="64" spans="2:10" ht="15.75">
      <c r="B64" s="311"/>
      <c r="C64" s="469"/>
      <c r="D64" s="469"/>
      <c r="E64" s="94"/>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Nhood!E14</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50995</v>
      </c>
      <c r="D73" s="443">
        <f>SUM(D63:D71)</f>
        <v>50000</v>
      </c>
      <c r="E73" s="348">
        <f>SUM(E63:E71)</f>
        <v>50000</v>
      </c>
      <c r="G73" s="645">
        <f>D74</f>
        <v>0</v>
      </c>
      <c r="H73" s="646" t="str">
        <f>CONCATENATE("",E1-1," Ending Cash Balance (est.)")</f>
        <v>2012 Ending Cash Balance (est.)</v>
      </c>
      <c r="I73" s="647"/>
      <c r="J73" s="664"/>
    </row>
    <row r="74" spans="2:10" ht="15.75">
      <c r="B74" s="153" t="s">
        <v>852</v>
      </c>
      <c r="C74" s="438">
        <f>C61-C73</f>
        <v>0</v>
      </c>
      <c r="D74" s="438">
        <f>D61-D73</f>
        <v>0</v>
      </c>
      <c r="E74" s="321" t="s">
        <v>711</v>
      </c>
      <c r="G74" s="645">
        <f>E60</f>
        <v>3551</v>
      </c>
      <c r="H74" s="631" t="str">
        <f>CONCATENATE("",E1," Non-AV Receipts (est.)")</f>
        <v>2013 Non-AV Receipts (est.)</v>
      </c>
      <c r="I74" s="647"/>
      <c r="J74" s="664"/>
    </row>
    <row r="75" spans="2:11" ht="15.75">
      <c r="B75" s="281" t="str">
        <f>CONCATENATE("",$E$1-2,"/",$E$1-1," Budget Authority Amount:")</f>
        <v>2011/2012 Budget Authority Amount:</v>
      </c>
      <c r="C75" s="273">
        <f>inputOth!B37</f>
        <v>50000</v>
      </c>
      <c r="D75" s="273">
        <f>inputPrYr!D24</f>
        <v>50000</v>
      </c>
      <c r="E75" s="321" t="s">
        <v>711</v>
      </c>
      <c r="F75" s="314"/>
      <c r="G75" s="648">
        <f>IF(E79&gt;0,E78,E80)</f>
        <v>46449</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50000</v>
      </c>
      <c r="H76" s="631" t="str">
        <f>CONCATENATE("Total ",E1," Resources Available")</f>
        <v>Total 2013 Resources Available</v>
      </c>
      <c r="I76" s="666"/>
      <c r="J76" s="664"/>
    </row>
    <row r="77" spans="2:10" ht="15.75">
      <c r="B77" s="476" t="str">
        <f>CONCATENATE(C90,"      ",D90)</f>
        <v>See Tab A      </v>
      </c>
      <c r="C77" s="755" t="s">
        <v>70</v>
      </c>
      <c r="D77" s="756"/>
      <c r="E77" s="259">
        <f>E73+E76</f>
        <v>50000</v>
      </c>
      <c r="G77" s="667"/>
      <c r="H77" s="668"/>
      <c r="I77" s="630"/>
      <c r="J77" s="664"/>
    </row>
    <row r="78" spans="2:10" ht="15.75">
      <c r="B78" s="476" t="str">
        <f>CONCATENATE(C91,"      ",D91)</f>
        <v>      </v>
      </c>
      <c r="C78" s="315"/>
      <c r="D78" s="107" t="s">
        <v>738</v>
      </c>
      <c r="E78" s="98">
        <f>IF(E77-E61&gt;0,E77-E61,0)</f>
        <v>46449</v>
      </c>
      <c r="G78" s="669">
        <f>ROUND(C73*0.05+C73,0)</f>
        <v>53545</v>
      </c>
      <c r="H78" s="631" t="str">
        <f>CONCATENATE("Less ",E1-2," Expenditures + 5%")</f>
        <v>Less 2011 Expenditures + 5%</v>
      </c>
      <c r="I78" s="666"/>
      <c r="J78" s="664"/>
    </row>
    <row r="79" spans="2:10" ht="15.75">
      <c r="B79" s="107"/>
      <c r="C79" s="458" t="s">
        <v>71</v>
      </c>
      <c r="D79" s="687">
        <f>inputOth!$E$22</f>
        <v>0</v>
      </c>
      <c r="E79" s="259">
        <f>ROUND(IF(D79&gt;0,(E78*D79),0),0)</f>
        <v>0</v>
      </c>
      <c r="G79" s="670">
        <f>G76-G78</f>
        <v>-3545</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46449</v>
      </c>
      <c r="G80" s="643"/>
      <c r="H80" s="643"/>
      <c r="I80" s="643"/>
      <c r="J80" s="643"/>
    </row>
    <row r="81" spans="2:10" ht="15.75">
      <c r="B81" s="316" t="s">
        <v>762</v>
      </c>
      <c r="C81" s="334">
        <v>12</v>
      </c>
      <c r="D81" s="67"/>
      <c r="E81" s="67"/>
      <c r="G81" s="757" t="s">
        <v>201</v>
      </c>
      <c r="H81" s="758"/>
      <c r="I81" s="758"/>
      <c r="J81" s="759"/>
    </row>
    <row r="82" spans="7:10" ht="15.75">
      <c r="G82" s="654"/>
      <c r="H82" s="646"/>
      <c r="I82" s="655"/>
      <c r="J82" s="656"/>
    </row>
    <row r="83" spans="7:10" ht="15.75">
      <c r="G83" s="657">
        <f>summ!H24</f>
        <v>0.414</v>
      </c>
      <c r="H83" s="646" t="str">
        <f>CONCATENATE("",E1," Fund Mill Rate")</f>
        <v>2013 Fund Mill Rate</v>
      </c>
      <c r="I83" s="655"/>
      <c r="J83" s="656"/>
    </row>
    <row r="84" spans="7:10" ht="15.75">
      <c r="G84" s="658">
        <f>summ!E24</f>
        <v>0.426</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f>IF(C33&gt;C35,"See Tab A","")</f>
      </c>
      <c r="D88" s="52">
        <f>IF(D33&gt;D35,"See Tab C","")</f>
      </c>
    </row>
    <row r="89" spans="3:4" ht="15.75" hidden="1">
      <c r="C89" s="52">
        <f>IF(C34&lt;0,"See Tab B","")</f>
      </c>
      <c r="D89" s="52">
        <f>IF(D34&lt;0,"See Tab D","")</f>
      </c>
    </row>
    <row r="90" spans="3:4" ht="15.75" hidden="1">
      <c r="C90" s="52" t="str">
        <f>IF(C73&gt;C75,"See Tab A","")</f>
        <v>See Tab A</v>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24" sqref="E24"/>
    </sheetView>
  </sheetViews>
  <sheetFormatPr defaultColWidth="8.796875" defaultRowHeight="15"/>
  <cols>
    <col min="1" max="1" width="2.3984375" style="52" customWidth="1"/>
    <col min="2" max="2" width="31.09765625" style="52" customWidth="1"/>
    <col min="3" max="4" width="15.796875" style="52" customWidth="1"/>
    <col min="5" max="5" width="16.296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t="str">
        <f>inputPrYr!$B$25</f>
        <v>Ag Extension Council</v>
      </c>
      <c r="C5" s="441" t="str">
        <f>CONCATENATE("Actual for ",E1-2,"")</f>
        <v>Actual for 2011</v>
      </c>
      <c r="D5" s="441" t="str">
        <f>CONCATENATE("Estimate for ",E1-1,"")</f>
        <v>Estimate for 2012</v>
      </c>
      <c r="E5" s="294" t="str">
        <f>CONCATENATE("Year for ",E1,"")</f>
        <v>Year for 2013</v>
      </c>
    </row>
    <row r="6" spans="2:5" ht="15.75">
      <c r="B6" s="153" t="s">
        <v>851</v>
      </c>
      <c r="C6" s="469"/>
      <c r="D6" s="440">
        <f>C34</f>
        <v>0</v>
      </c>
      <c r="E6" s="259">
        <f>D34</f>
        <v>0</v>
      </c>
    </row>
    <row r="7" spans="2:5" ht="15.75">
      <c r="B7" s="284" t="s">
        <v>853</v>
      </c>
      <c r="C7" s="167"/>
      <c r="D7" s="167"/>
      <c r="E7" s="110"/>
    </row>
    <row r="8" spans="2:5" ht="15.75">
      <c r="B8" s="153" t="s">
        <v>724</v>
      </c>
      <c r="C8" s="469">
        <v>132923</v>
      </c>
      <c r="D8" s="440">
        <f>IF(inputPrYr!H25&gt;0,inputPrYr!H25,inputPrYr!E25)</f>
        <v>148101</v>
      </c>
      <c r="E8" s="321" t="s">
        <v>711</v>
      </c>
    </row>
    <row r="9" spans="2:5" ht="15.75">
      <c r="B9" s="153" t="s">
        <v>725</v>
      </c>
      <c r="C9" s="469">
        <v>2534</v>
      </c>
      <c r="D9" s="469"/>
      <c r="E9" s="94"/>
    </row>
    <row r="10" spans="2:5" ht="15.75">
      <c r="B10" s="153" t="s">
        <v>726</v>
      </c>
      <c r="C10" s="469">
        <v>12943</v>
      </c>
      <c r="D10" s="469">
        <v>11011</v>
      </c>
      <c r="E10" s="259">
        <f>mvalloc!E19</f>
        <v>10553</v>
      </c>
    </row>
    <row r="11" spans="2:5" ht="15.75">
      <c r="B11" s="153" t="s">
        <v>727</v>
      </c>
      <c r="C11" s="469">
        <v>213</v>
      </c>
      <c r="D11" s="469">
        <v>200</v>
      </c>
      <c r="E11" s="259">
        <f>mvalloc!F19</f>
        <v>170</v>
      </c>
    </row>
    <row r="12" spans="2:5" ht="15.75">
      <c r="B12" s="167" t="s">
        <v>802</v>
      </c>
      <c r="C12" s="469">
        <v>602</v>
      </c>
      <c r="D12" s="469">
        <v>688</v>
      </c>
      <c r="E12" s="259">
        <f>mvalloc!G19</f>
        <v>718</v>
      </c>
    </row>
    <row r="13" spans="2:5" ht="15.75">
      <c r="B13" s="311"/>
      <c r="C13" s="469"/>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149215</v>
      </c>
      <c r="D20" s="443">
        <f>SUM(D8:D18)</f>
        <v>160000</v>
      </c>
      <c r="E20" s="348">
        <f>SUM(E8:E18)</f>
        <v>11441</v>
      </c>
    </row>
    <row r="21" spans="2:5" ht="15.75">
      <c r="B21" s="302" t="s">
        <v>733</v>
      </c>
      <c r="C21" s="443">
        <f>C6+C20</f>
        <v>149215</v>
      </c>
      <c r="D21" s="443">
        <f>D6+D20</f>
        <v>160000</v>
      </c>
      <c r="E21" s="348">
        <f>E6+E20</f>
        <v>11441</v>
      </c>
    </row>
    <row r="22" spans="2:5" ht="15.75">
      <c r="B22" s="153" t="s">
        <v>736</v>
      </c>
      <c r="C22" s="300"/>
      <c r="D22" s="300"/>
      <c r="E22" s="163"/>
    </row>
    <row r="23" spans="2:5" ht="15.75">
      <c r="B23" s="311" t="s">
        <v>451</v>
      </c>
      <c r="C23" s="469">
        <v>149215</v>
      </c>
      <c r="D23" s="469">
        <v>160000</v>
      </c>
      <c r="E23" s="94">
        <v>180000</v>
      </c>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Nhood!E15</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149215</v>
      </c>
      <c r="D33" s="443">
        <f>SUM(D23:D31)</f>
        <v>160000</v>
      </c>
      <c r="E33" s="348">
        <f>SUM(E23:E31)</f>
        <v>180000</v>
      </c>
      <c r="G33" s="645">
        <f>D34</f>
        <v>0</v>
      </c>
      <c r="H33" s="646" t="str">
        <f>CONCATENATE("",E1-1," Ending Cash Balance (est.)")</f>
        <v>2012 Ending Cash Balance (est.)</v>
      </c>
      <c r="I33" s="647"/>
      <c r="J33" s="644"/>
    </row>
    <row r="34" spans="2:10" ht="15.75">
      <c r="B34" s="153" t="s">
        <v>852</v>
      </c>
      <c r="C34" s="438">
        <f>C21-C33</f>
        <v>0</v>
      </c>
      <c r="D34" s="438">
        <f>D21-D33</f>
        <v>0</v>
      </c>
      <c r="E34" s="321" t="s">
        <v>711</v>
      </c>
      <c r="G34" s="645">
        <f>E20</f>
        <v>11441</v>
      </c>
      <c r="H34" s="631" t="str">
        <f>CONCATENATE("",E1," Non-AV Receipts (est.)")</f>
        <v>2013 Non-AV Receipts (est.)</v>
      </c>
      <c r="I34" s="647"/>
      <c r="J34" s="644"/>
    </row>
    <row r="35" spans="2:11" ht="15.75">
      <c r="B35" s="281" t="str">
        <f>CONCATENATE("",$E$1-2,"/",$E$1-1," Budget Authority Amount:")</f>
        <v>2011/2012 Budget Authority Amount:</v>
      </c>
      <c r="C35" s="273">
        <f>inputOth!B38</f>
        <v>147700</v>
      </c>
      <c r="D35" s="273">
        <f>inputPrYr!D25</f>
        <v>160000</v>
      </c>
      <c r="E35" s="321" t="s">
        <v>711</v>
      </c>
      <c r="F35" s="314"/>
      <c r="G35" s="648">
        <f>IF(E39&gt;0,E38,E40)</f>
        <v>168559</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180000</v>
      </c>
      <c r="H36" s="631" t="str">
        <f>CONCATENATE("Total ",E1," Resources Available")</f>
        <v>Total 2013 Resources Available</v>
      </c>
      <c r="I36" s="647"/>
      <c r="J36" s="644"/>
    </row>
    <row r="37" spans="2:10" ht="15.75">
      <c r="B37" s="476" t="str">
        <f>CONCATENATE(C88,"     ",D88)</f>
        <v>See Tab A     </v>
      </c>
      <c r="C37" s="755" t="s">
        <v>70</v>
      </c>
      <c r="D37" s="756"/>
      <c r="E37" s="259">
        <f>E33+E36</f>
        <v>180000</v>
      </c>
      <c r="G37" s="649"/>
      <c r="H37" s="631"/>
      <c r="I37" s="631"/>
      <c r="J37" s="644"/>
    </row>
    <row r="38" spans="2:10" ht="15.75">
      <c r="B38" s="476" t="str">
        <f>CONCATENATE(C89,"      ",D89)</f>
        <v>      </v>
      </c>
      <c r="C38" s="315"/>
      <c r="D38" s="107" t="s">
        <v>738</v>
      </c>
      <c r="E38" s="98">
        <f>IF(E37-E21&gt;0,E37-E21,0)</f>
        <v>168559</v>
      </c>
      <c r="G38" s="648">
        <f>ROUND(C33*0.05+C33,0)</f>
        <v>156676</v>
      </c>
      <c r="H38" s="631" t="str">
        <f>CONCATENATE("Less ",E1-2," Expenditures + 5%")</f>
        <v>Less 2011 Expenditures + 5%</v>
      </c>
      <c r="I38" s="647"/>
      <c r="J38" s="664"/>
    </row>
    <row r="39" spans="2:10" ht="15.75">
      <c r="B39" s="107"/>
      <c r="C39" s="458" t="s">
        <v>71</v>
      </c>
      <c r="D39" s="687">
        <f>inputOth!$E$22</f>
        <v>0</v>
      </c>
      <c r="E39" s="259">
        <f>ROUND(IF(D39&gt;0,(E38*D39),0),0)</f>
        <v>0</v>
      </c>
      <c r="G39" s="650">
        <f>G36-G38</f>
        <v>23324</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168559</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f>summ!H25</f>
        <v>1.503</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f>summ!E25</f>
        <v>1.375</v>
      </c>
      <c r="H44" s="646" t="str">
        <f>CONCATENATE("",E1-1," Fund Mill Rate")</f>
        <v>2012 Fund Mill Rate</v>
      </c>
      <c r="I44" s="655"/>
      <c r="J44" s="656"/>
    </row>
    <row r="45" spans="2:10" ht="15.75">
      <c r="B45" s="461" t="str">
        <f>inputPrYr!$B$26</f>
        <v>Mental Health</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c r="D46" s="440">
        <f>C74</f>
        <v>0</v>
      </c>
      <c r="E46" s="259">
        <f>D74</f>
        <v>0</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v>44086</v>
      </c>
      <c r="D48" s="440">
        <f>IF(inputPrYr!H26&gt;0,inputPrYr!H26,inputPrYr!E26)</f>
        <v>44776</v>
      </c>
      <c r="E48" s="321" t="s">
        <v>711</v>
      </c>
      <c r="G48" s="643"/>
      <c r="H48" s="643"/>
      <c r="I48" s="643"/>
      <c r="J48" s="643"/>
    </row>
    <row r="49" spans="2:10" ht="15.75">
      <c r="B49" s="153" t="s">
        <v>725</v>
      </c>
      <c r="C49" s="469">
        <v>865</v>
      </c>
      <c r="D49" s="469"/>
      <c r="E49" s="94"/>
      <c r="G49" s="643"/>
      <c r="H49" s="643"/>
      <c r="I49" s="643"/>
      <c r="J49" s="643"/>
    </row>
    <row r="50" spans="2:10" ht="15.75">
      <c r="B50" s="153" t="s">
        <v>726</v>
      </c>
      <c r="C50" s="469">
        <v>4008</v>
      </c>
      <c r="D50" s="469">
        <v>3655</v>
      </c>
      <c r="E50" s="259">
        <f>mvalloc!E20</f>
        <v>3190</v>
      </c>
      <c r="G50" s="643"/>
      <c r="H50" s="643"/>
      <c r="I50" s="643"/>
      <c r="J50" s="643"/>
    </row>
    <row r="51" spans="2:10" ht="15.75">
      <c r="B51" s="153" t="s">
        <v>727</v>
      </c>
      <c r="C51" s="469">
        <v>68</v>
      </c>
      <c r="D51" s="469">
        <v>66</v>
      </c>
      <c r="E51" s="259">
        <f>mvalloc!F20</f>
        <v>51</v>
      </c>
      <c r="G51" s="643"/>
      <c r="H51" s="643"/>
      <c r="I51" s="643"/>
      <c r="J51" s="643"/>
    </row>
    <row r="52" spans="2:10" ht="15.75">
      <c r="B52" s="167" t="s">
        <v>802</v>
      </c>
      <c r="C52" s="469">
        <v>204</v>
      </c>
      <c r="D52" s="469">
        <v>229</v>
      </c>
      <c r="E52" s="259">
        <f>mvalloc!G20</f>
        <v>217</v>
      </c>
      <c r="G52" s="643"/>
      <c r="H52" s="643"/>
      <c r="I52" s="643"/>
      <c r="J52" s="643"/>
    </row>
    <row r="53" spans="2:10" ht="15.75">
      <c r="B53" s="311" t="s">
        <v>441</v>
      </c>
      <c r="C53" s="469">
        <v>10500</v>
      </c>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59731</v>
      </c>
      <c r="D60" s="443">
        <f>SUM(D48:D58)</f>
        <v>48726</v>
      </c>
      <c r="E60" s="348">
        <f>SUM(E48:E58)</f>
        <v>3458</v>
      </c>
      <c r="G60" s="643"/>
      <c r="H60" s="643"/>
      <c r="I60" s="643"/>
      <c r="J60" s="643"/>
    </row>
    <row r="61" spans="2:10" ht="15.75">
      <c r="B61" s="302" t="s">
        <v>733</v>
      </c>
      <c r="C61" s="443">
        <f>C46+C60</f>
        <v>59731</v>
      </c>
      <c r="D61" s="443">
        <f>D46+D60</f>
        <v>48726</v>
      </c>
      <c r="E61" s="348">
        <f>E46+E60</f>
        <v>3458</v>
      </c>
      <c r="G61" s="643"/>
      <c r="H61" s="643"/>
      <c r="I61" s="643"/>
      <c r="J61" s="643"/>
    </row>
    <row r="62" spans="2:10" ht="15.75">
      <c r="B62" s="153" t="s">
        <v>736</v>
      </c>
      <c r="C62" s="300"/>
      <c r="D62" s="300"/>
      <c r="E62" s="163"/>
      <c r="G62" s="643"/>
      <c r="H62" s="643"/>
      <c r="I62" s="643"/>
      <c r="J62" s="643"/>
    </row>
    <row r="63" spans="2:10" ht="15.75">
      <c r="B63" s="311" t="s">
        <v>451</v>
      </c>
      <c r="C63" s="469">
        <v>49231</v>
      </c>
      <c r="D63" s="469">
        <v>38726</v>
      </c>
      <c r="E63" s="94">
        <v>38234</v>
      </c>
      <c r="G63" s="643"/>
      <c r="H63" s="643"/>
      <c r="I63" s="643"/>
      <c r="J63" s="643"/>
    </row>
    <row r="64" spans="2:10" ht="15.75">
      <c r="B64" s="311" t="s">
        <v>458</v>
      </c>
      <c r="C64" s="469">
        <v>10500</v>
      </c>
      <c r="D64" s="469">
        <v>10000</v>
      </c>
      <c r="E64" s="94">
        <v>10000</v>
      </c>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v>0</v>
      </c>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Nhood!E16</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59731</v>
      </c>
      <c r="D73" s="443">
        <f>SUM(D63:D71)</f>
        <v>48726</v>
      </c>
      <c r="E73" s="348">
        <f>SUM(E63:E71)</f>
        <v>48234</v>
      </c>
      <c r="G73" s="645">
        <f>D74</f>
        <v>0</v>
      </c>
      <c r="H73" s="646" t="str">
        <f>CONCATENATE("",E1-1," Ending Cash Balance (est.)")</f>
        <v>2012 Ending Cash Balance (est.)</v>
      </c>
      <c r="I73" s="647"/>
      <c r="J73" s="664"/>
    </row>
    <row r="74" spans="2:10" ht="15.75">
      <c r="B74" s="153" t="s">
        <v>852</v>
      </c>
      <c r="C74" s="438">
        <f>C61-C73</f>
        <v>0</v>
      </c>
      <c r="D74" s="438">
        <f>D61-D73</f>
        <v>0</v>
      </c>
      <c r="E74" s="321" t="s">
        <v>711</v>
      </c>
      <c r="G74" s="645">
        <f>E60</f>
        <v>3458</v>
      </c>
      <c r="H74" s="631" t="str">
        <f>CONCATENATE("",E1," Non-AV Receipts (est.)")</f>
        <v>2013 Non-AV Receipts (est.)</v>
      </c>
      <c r="I74" s="647"/>
      <c r="J74" s="664"/>
    </row>
    <row r="75" spans="2:11" ht="15.75">
      <c r="B75" s="281" t="str">
        <f>CONCATENATE("",$E$1-2,"/",$E$1-1," Budget Authority Amount:")</f>
        <v>2011/2012 Budget Authority Amount:</v>
      </c>
      <c r="C75" s="273">
        <f>inputOth!B39</f>
        <v>49226</v>
      </c>
      <c r="D75" s="273">
        <f>inputPrYr!D26</f>
        <v>48726</v>
      </c>
      <c r="E75" s="321" t="s">
        <v>711</v>
      </c>
      <c r="F75" s="314"/>
      <c r="G75" s="648">
        <f>IF(E79&gt;0,E78,E80)</f>
        <v>44776</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48234</v>
      </c>
      <c r="H76" s="631" t="str">
        <f>CONCATENATE("Total ",E1," Resources Available")</f>
        <v>Total 2013 Resources Available</v>
      </c>
      <c r="I76" s="666"/>
      <c r="J76" s="664"/>
    </row>
    <row r="77" spans="2:10" ht="15.75">
      <c r="B77" s="476" t="str">
        <f>CONCATENATE(C90,"      ",D90)</f>
        <v>See Tab A      </v>
      </c>
      <c r="C77" s="755" t="s">
        <v>70</v>
      </c>
      <c r="D77" s="756"/>
      <c r="E77" s="259">
        <f>E73+E76</f>
        <v>48234</v>
      </c>
      <c r="G77" s="667"/>
      <c r="H77" s="668"/>
      <c r="I77" s="630"/>
      <c r="J77" s="664"/>
    </row>
    <row r="78" spans="2:10" ht="15.75">
      <c r="B78" s="476" t="str">
        <f>CONCATENATE(C91,"      ",D91)</f>
        <v>      </v>
      </c>
      <c r="C78" s="315"/>
      <c r="D78" s="107" t="s">
        <v>738</v>
      </c>
      <c r="E78" s="98">
        <f>IF(E77-E61&gt;0,E77-E61,0)</f>
        <v>44776</v>
      </c>
      <c r="G78" s="669">
        <f>ROUND(C73*0.05+C73,0)</f>
        <v>62718</v>
      </c>
      <c r="H78" s="631" t="str">
        <f>CONCATENATE("Less ",E1-2," Expenditures + 5%")</f>
        <v>Less 2011 Expenditures + 5%</v>
      </c>
      <c r="I78" s="666"/>
      <c r="J78" s="664"/>
    </row>
    <row r="79" spans="2:10" ht="15.75">
      <c r="B79" s="107"/>
      <c r="C79" s="458" t="s">
        <v>71</v>
      </c>
      <c r="D79" s="687">
        <f>inputOth!$E$22</f>
        <v>0</v>
      </c>
      <c r="E79" s="259">
        <f>ROUND(IF(D79&gt;0,(E78*D79),0),0)</f>
        <v>0</v>
      </c>
      <c r="G79" s="670">
        <f>G76-G78</f>
        <v>-14484</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44776</v>
      </c>
      <c r="G80" s="643"/>
      <c r="H80" s="643"/>
      <c r="I80" s="643"/>
      <c r="J80" s="643"/>
    </row>
    <row r="81" spans="2:10" ht="15.75">
      <c r="B81" s="316" t="s">
        <v>762</v>
      </c>
      <c r="C81" s="334">
        <v>13</v>
      </c>
      <c r="D81" s="67"/>
      <c r="E81" s="67"/>
      <c r="G81" s="757" t="s">
        <v>201</v>
      </c>
      <c r="H81" s="758"/>
      <c r="I81" s="758"/>
      <c r="J81" s="759"/>
    </row>
    <row r="82" spans="7:10" ht="15.75">
      <c r="G82" s="654"/>
      <c r="H82" s="646"/>
      <c r="I82" s="655"/>
      <c r="J82" s="656"/>
    </row>
    <row r="83" spans="7:10" ht="15.75">
      <c r="G83" s="657">
        <f>summ!H26</f>
        <v>0.399</v>
      </c>
      <c r="H83" s="646" t="str">
        <f>CONCATENATE("",E1," Fund Mill Rate")</f>
        <v>2013 Fund Mill Rate</v>
      </c>
      <c r="I83" s="655"/>
      <c r="J83" s="656"/>
    </row>
    <row r="84" spans="7:10" ht="15.75">
      <c r="G84" s="658">
        <f>summ!E26</f>
        <v>0.416</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t="str">
        <f>IF(C33&gt;C35,"See Tab A","")</f>
        <v>See Tab A</v>
      </c>
      <c r="D88" s="52">
        <f>IF(D33&gt;D35,"See Tab C","")</f>
      </c>
    </row>
    <row r="89" spans="3:4" ht="15.75" hidden="1">
      <c r="C89" s="52">
        <f>IF(C34&lt;0,"See Tab B","")</f>
      </c>
      <c r="D89" s="52">
        <f>IF(D34&lt;0,"See Tab D","")</f>
      </c>
    </row>
    <row r="90" spans="3:4" ht="15.75" hidden="1">
      <c r="C90" s="52" t="str">
        <f>IF(C73&gt;C75,"See Tab A","")</f>
        <v>See Tab A</v>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24" sqref="E24"/>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t="str">
        <f>inputPrYr!$B$27</f>
        <v>Service for the Elderly</v>
      </c>
      <c r="C5" s="441" t="str">
        <f>CONCATENATE("Actual for ",E1-2,"")</f>
        <v>Actual for 2011</v>
      </c>
      <c r="D5" s="441" t="str">
        <f>CONCATENATE("Estimate for ",E1-1,"")</f>
        <v>Estimate for 2012</v>
      </c>
      <c r="E5" s="294" t="str">
        <f>CONCATENATE("Year for ",E1,"")</f>
        <v>Year for 2013</v>
      </c>
    </row>
    <row r="6" spans="2:5" ht="15.75">
      <c r="B6" s="153" t="s">
        <v>851</v>
      </c>
      <c r="C6" s="469">
        <v>16009</v>
      </c>
      <c r="D6" s="440">
        <f>C34</f>
        <v>17148</v>
      </c>
      <c r="E6" s="259">
        <f>D34</f>
        <v>1004</v>
      </c>
    </row>
    <row r="7" spans="2:5" ht="15.75">
      <c r="B7" s="284" t="s">
        <v>853</v>
      </c>
      <c r="C7" s="167"/>
      <c r="D7" s="167"/>
      <c r="E7" s="110"/>
    </row>
    <row r="8" spans="2:5" ht="15.75">
      <c r="B8" s="153" t="s">
        <v>724</v>
      </c>
      <c r="C8" s="469">
        <v>91935</v>
      </c>
      <c r="D8" s="440">
        <f>IF(inputPrYr!H27&gt;0,inputPrYr!H27,inputPrYr!E27)</f>
        <v>107020</v>
      </c>
      <c r="E8" s="321" t="s">
        <v>711</v>
      </c>
    </row>
    <row r="9" spans="2:5" ht="15.75">
      <c r="B9" s="153" t="s">
        <v>725</v>
      </c>
      <c r="C9" s="469">
        <v>1733</v>
      </c>
      <c r="D9" s="469"/>
      <c r="E9" s="94"/>
    </row>
    <row r="10" spans="2:5" ht="15.75">
      <c r="B10" s="153" t="s">
        <v>726</v>
      </c>
      <c r="C10" s="469">
        <v>7749</v>
      </c>
      <c r="D10" s="469">
        <v>7578</v>
      </c>
      <c r="E10" s="259">
        <f>mvalloc!E21</f>
        <v>7626</v>
      </c>
    </row>
    <row r="11" spans="2:5" ht="15.75">
      <c r="B11" s="153" t="s">
        <v>727</v>
      </c>
      <c r="C11" s="469">
        <v>133</v>
      </c>
      <c r="D11" s="469">
        <v>138</v>
      </c>
      <c r="E11" s="259">
        <f>mvalloc!F21</f>
        <v>123</v>
      </c>
    </row>
    <row r="12" spans="2:5" ht="15.75">
      <c r="B12" s="167" t="s">
        <v>802</v>
      </c>
      <c r="C12" s="469">
        <v>448</v>
      </c>
      <c r="D12" s="469">
        <v>474</v>
      </c>
      <c r="E12" s="259">
        <f>mvalloc!G21</f>
        <v>519</v>
      </c>
    </row>
    <row r="13" spans="2:5" ht="15.75">
      <c r="B13" s="311"/>
      <c r="C13" s="469"/>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v>160</v>
      </c>
      <c r="D17" s="469">
        <v>350</v>
      </c>
      <c r="E17" s="94">
        <v>350</v>
      </c>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102158</v>
      </c>
      <c r="D20" s="443">
        <f>SUM(D8:D18)</f>
        <v>115560</v>
      </c>
      <c r="E20" s="348">
        <f>SUM(E8:E18)</f>
        <v>8618</v>
      </c>
    </row>
    <row r="21" spans="2:5" ht="15.75">
      <c r="B21" s="302" t="s">
        <v>733</v>
      </c>
      <c r="C21" s="443">
        <f>C6+C20</f>
        <v>118167</v>
      </c>
      <c r="D21" s="443">
        <f>D6+D20</f>
        <v>132708</v>
      </c>
      <c r="E21" s="348">
        <f>E6+E20</f>
        <v>9622</v>
      </c>
    </row>
    <row r="22" spans="2:5" ht="15.75">
      <c r="B22" s="153" t="s">
        <v>736</v>
      </c>
      <c r="C22" s="300"/>
      <c r="D22" s="300"/>
      <c r="E22" s="163"/>
    </row>
    <row r="23" spans="2:5" ht="15.75">
      <c r="B23" s="311" t="s">
        <v>451</v>
      </c>
      <c r="C23" s="469">
        <v>101019</v>
      </c>
      <c r="D23" s="469">
        <v>131704</v>
      </c>
      <c r="E23" s="94">
        <v>121766</v>
      </c>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Nhood!E17</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101019</v>
      </c>
      <c r="D33" s="443">
        <f>SUM(D23:D31)</f>
        <v>131704</v>
      </c>
      <c r="E33" s="348">
        <f>SUM(E23:E31)</f>
        <v>121766</v>
      </c>
      <c r="G33" s="645">
        <f>D34</f>
        <v>1004</v>
      </c>
      <c r="H33" s="646" t="str">
        <f>CONCATENATE("",E1-1," Ending Cash Balance (est.)")</f>
        <v>2012 Ending Cash Balance (est.)</v>
      </c>
      <c r="I33" s="647"/>
      <c r="J33" s="644"/>
    </row>
    <row r="34" spans="2:10" ht="15.75">
      <c r="B34" s="153" t="s">
        <v>852</v>
      </c>
      <c r="C34" s="438">
        <f>C21-C33</f>
        <v>17148</v>
      </c>
      <c r="D34" s="438">
        <f>D21-D33</f>
        <v>1004</v>
      </c>
      <c r="E34" s="321" t="s">
        <v>711</v>
      </c>
      <c r="G34" s="645">
        <f>E20</f>
        <v>8618</v>
      </c>
      <c r="H34" s="631" t="str">
        <f>CONCATENATE("",E1," Non-AV Receipts (est.)")</f>
        <v>2013 Non-AV Receipts (est.)</v>
      </c>
      <c r="I34" s="647"/>
      <c r="J34" s="644"/>
    </row>
    <row r="35" spans="2:11" ht="15.75">
      <c r="B35" s="281" t="str">
        <f>CONCATENATE("",$E$1-2,"/",$E$1-1," Budget Authority Amount:")</f>
        <v>2011/2012 Budget Authority Amount:</v>
      </c>
      <c r="C35" s="273">
        <f>inputOth!B40</f>
        <v>102159</v>
      </c>
      <c r="D35" s="273">
        <f>inputPrYr!D27</f>
        <v>131704</v>
      </c>
      <c r="E35" s="321" t="s">
        <v>711</v>
      </c>
      <c r="F35" s="314"/>
      <c r="G35" s="648">
        <f>IF(E39&gt;0,E38,E40)</f>
        <v>112144</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121766</v>
      </c>
      <c r="H36" s="631" t="str">
        <f>CONCATENATE("Total ",E1," Resources Available")</f>
        <v>Total 2013 Resources Available</v>
      </c>
      <c r="I36" s="647"/>
      <c r="J36" s="644"/>
    </row>
    <row r="37" spans="2:10" ht="15.75">
      <c r="B37" s="476" t="str">
        <f>CONCATENATE(C88,"     ",D88)</f>
        <v>     </v>
      </c>
      <c r="C37" s="755" t="s">
        <v>70</v>
      </c>
      <c r="D37" s="756"/>
      <c r="E37" s="259">
        <f>E33+E36</f>
        <v>121766</v>
      </c>
      <c r="G37" s="649"/>
      <c r="H37" s="631"/>
      <c r="I37" s="631"/>
      <c r="J37" s="644"/>
    </row>
    <row r="38" spans="2:10" ht="15.75">
      <c r="B38" s="476" t="str">
        <f>CONCATENATE(C89,"      ",D89)</f>
        <v>      </v>
      </c>
      <c r="C38" s="315"/>
      <c r="D38" s="107" t="s">
        <v>738</v>
      </c>
      <c r="E38" s="98">
        <f>IF(E37-E21&gt;0,E37-E21,0)</f>
        <v>112144</v>
      </c>
      <c r="G38" s="648">
        <f>ROUND(C33*0.05+C33,0)</f>
        <v>106070</v>
      </c>
      <c r="H38" s="631" t="str">
        <f>CONCATENATE("Less ",E1-2," Expenditures + 5%")</f>
        <v>Less 2011 Expenditures + 5%</v>
      </c>
      <c r="I38" s="647"/>
      <c r="J38" s="664"/>
    </row>
    <row r="39" spans="2:10" ht="15.75">
      <c r="B39" s="107"/>
      <c r="C39" s="458" t="s">
        <v>71</v>
      </c>
      <c r="D39" s="687">
        <f>inputOth!$E$22</f>
        <v>0</v>
      </c>
      <c r="E39" s="259">
        <f>ROUND(IF(D39&gt;0,(E38*D39),0),0)</f>
        <v>0</v>
      </c>
      <c r="G39" s="650">
        <f>G36-G38</f>
        <v>15696</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112144</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f>summ!H27</f>
        <v>1</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f>summ!E27</f>
        <v>1</v>
      </c>
      <c r="H44" s="646" t="str">
        <f>CONCATENATE("",E1-1," Fund Mill Rate")</f>
        <v>2012 Fund Mill Rate</v>
      </c>
      <c r="I44" s="655"/>
      <c r="J44" s="656"/>
    </row>
    <row r="45" spans="2:10" ht="15.75">
      <c r="B45" s="461" t="str">
        <f>inputPrYr!$B$28</f>
        <v>County Health</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v>42942</v>
      </c>
      <c r="D46" s="440">
        <f>C74</f>
        <v>52232</v>
      </c>
      <c r="E46" s="259">
        <f>D74</f>
        <v>6232</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v>95975</v>
      </c>
      <c r="D48" s="440">
        <f>IF(inputPrYr!H28&gt;0,inputPrYr!H28,inputPrYr!E28)</f>
        <v>115273</v>
      </c>
      <c r="E48" s="321" t="s">
        <v>711</v>
      </c>
      <c r="G48" s="643"/>
      <c r="H48" s="643"/>
      <c r="I48" s="643"/>
      <c r="J48" s="643"/>
    </row>
    <row r="49" spans="2:10" ht="15.75">
      <c r="B49" s="153" t="s">
        <v>725</v>
      </c>
      <c r="C49" s="469">
        <v>1863</v>
      </c>
      <c r="D49" s="469"/>
      <c r="E49" s="94"/>
      <c r="G49" s="643"/>
      <c r="H49" s="643"/>
      <c r="I49" s="643"/>
      <c r="J49" s="643"/>
    </row>
    <row r="50" spans="2:10" ht="15.75">
      <c r="B50" s="153" t="s">
        <v>726</v>
      </c>
      <c r="C50" s="469">
        <v>8582</v>
      </c>
      <c r="D50" s="469">
        <v>8075</v>
      </c>
      <c r="E50" s="259">
        <f>mvalloc!E22</f>
        <v>8214</v>
      </c>
      <c r="G50" s="643"/>
      <c r="H50" s="643"/>
      <c r="I50" s="643"/>
      <c r="J50" s="643"/>
    </row>
    <row r="51" spans="2:10" ht="15.75">
      <c r="B51" s="153" t="s">
        <v>727</v>
      </c>
      <c r="C51" s="469">
        <v>146</v>
      </c>
      <c r="D51" s="469">
        <v>147</v>
      </c>
      <c r="E51" s="259">
        <f>mvalloc!F22</f>
        <v>132</v>
      </c>
      <c r="G51" s="643"/>
      <c r="H51" s="643"/>
      <c r="I51" s="643"/>
      <c r="J51" s="643"/>
    </row>
    <row r="52" spans="2:10" ht="15.75">
      <c r="B52" s="167" t="s">
        <v>802</v>
      </c>
      <c r="C52" s="469">
        <v>411</v>
      </c>
      <c r="D52" s="469">
        <v>505</v>
      </c>
      <c r="E52" s="259">
        <f>mvalloc!G22</f>
        <v>559</v>
      </c>
      <c r="G52" s="643"/>
      <c r="H52" s="643"/>
      <c r="I52" s="643"/>
      <c r="J52" s="643"/>
    </row>
    <row r="53" spans="2:10" ht="15.75">
      <c r="B53" s="311" t="s">
        <v>441</v>
      </c>
      <c r="C53" s="469">
        <v>167303</v>
      </c>
      <c r="D53" s="469">
        <v>130000</v>
      </c>
      <c r="E53" s="94">
        <v>176000</v>
      </c>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274280</v>
      </c>
      <c r="D60" s="443">
        <f>SUM(D48:D58)</f>
        <v>254000</v>
      </c>
      <c r="E60" s="348">
        <f>SUM(E48:E58)</f>
        <v>184905</v>
      </c>
      <c r="G60" s="643"/>
      <c r="H60" s="643"/>
      <c r="I60" s="643"/>
      <c r="J60" s="643"/>
    </row>
    <row r="61" spans="2:10" ht="15.75">
      <c r="B61" s="302" t="s">
        <v>733</v>
      </c>
      <c r="C61" s="443">
        <f>C46+C60</f>
        <v>317222</v>
      </c>
      <c r="D61" s="443">
        <f>D46+D60</f>
        <v>306232</v>
      </c>
      <c r="E61" s="348">
        <f>E46+E60</f>
        <v>191137</v>
      </c>
      <c r="G61" s="643"/>
      <c r="H61" s="643"/>
      <c r="I61" s="643"/>
      <c r="J61" s="643"/>
    </row>
    <row r="62" spans="2:10" ht="15.75">
      <c r="B62" s="153" t="s">
        <v>736</v>
      </c>
      <c r="C62" s="300"/>
      <c r="D62" s="300"/>
      <c r="E62" s="163"/>
      <c r="G62" s="643"/>
      <c r="H62" s="643"/>
      <c r="I62" s="643"/>
      <c r="J62" s="643"/>
    </row>
    <row r="63" spans="2:10" ht="15.75">
      <c r="B63" s="311" t="s">
        <v>452</v>
      </c>
      <c r="C63" s="469">
        <v>264990</v>
      </c>
      <c r="D63" s="469">
        <v>300000</v>
      </c>
      <c r="E63" s="94">
        <v>306410</v>
      </c>
      <c r="G63" s="643"/>
      <c r="H63" s="643"/>
      <c r="I63" s="643"/>
      <c r="J63" s="643"/>
    </row>
    <row r="64" spans="2:10" ht="15.75">
      <c r="B64" s="311"/>
      <c r="C64" s="469"/>
      <c r="D64" s="469"/>
      <c r="E64" s="94"/>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v>0</v>
      </c>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Nhood!E18</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264990</v>
      </c>
      <c r="D73" s="443">
        <f>SUM(D63:D71)</f>
        <v>300000</v>
      </c>
      <c r="E73" s="348">
        <f>SUM(E63:E71)</f>
        <v>306410</v>
      </c>
      <c r="G73" s="645">
        <f>D74</f>
        <v>6232</v>
      </c>
      <c r="H73" s="646" t="str">
        <f>CONCATENATE("",E1-1," Ending Cash Balance (est.)")</f>
        <v>2012 Ending Cash Balance (est.)</v>
      </c>
      <c r="I73" s="647"/>
      <c r="J73" s="664"/>
    </row>
    <row r="74" spans="2:10" ht="15.75">
      <c r="B74" s="153" t="s">
        <v>852</v>
      </c>
      <c r="C74" s="438">
        <f>C61-C73</f>
        <v>52232</v>
      </c>
      <c r="D74" s="438">
        <f>D61-D73</f>
        <v>6232</v>
      </c>
      <c r="E74" s="321" t="s">
        <v>711</v>
      </c>
      <c r="G74" s="645">
        <f>E60</f>
        <v>184905</v>
      </c>
      <c r="H74" s="631" t="str">
        <f>CONCATENATE("",E1," Non-AV Receipts (est.)")</f>
        <v>2013 Non-AV Receipts (est.)</v>
      </c>
      <c r="I74" s="647"/>
      <c r="J74" s="664"/>
    </row>
    <row r="75" spans="2:11" ht="15.75">
      <c r="B75" s="281" t="str">
        <f>CONCATENATE("",$E$1-2,"/",$E$1-1," Budget Authority Amount:")</f>
        <v>2011/2012 Budget Authority Amount:</v>
      </c>
      <c r="C75" s="273">
        <f>inputOth!B41</f>
        <v>281550</v>
      </c>
      <c r="D75" s="273">
        <f>inputPrYr!D28</f>
        <v>300000</v>
      </c>
      <c r="E75" s="321" t="s">
        <v>711</v>
      </c>
      <c r="F75" s="314"/>
      <c r="G75" s="648">
        <f>IF(E79&gt;0,E78,E80)</f>
        <v>115273</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306410</v>
      </c>
      <c r="H76" s="631" t="str">
        <f>CONCATENATE("Total ",E1," Resources Available")</f>
        <v>Total 2013 Resources Available</v>
      </c>
      <c r="I76" s="666"/>
      <c r="J76" s="664"/>
    </row>
    <row r="77" spans="2:10" ht="15.75">
      <c r="B77" s="476" t="str">
        <f>CONCATENATE(C90,"      ",D90)</f>
        <v>      </v>
      </c>
      <c r="C77" s="755" t="s">
        <v>70</v>
      </c>
      <c r="D77" s="756"/>
      <c r="E77" s="259">
        <f>E73+E76</f>
        <v>306410</v>
      </c>
      <c r="G77" s="667"/>
      <c r="H77" s="668"/>
      <c r="I77" s="630"/>
      <c r="J77" s="664"/>
    </row>
    <row r="78" spans="2:10" ht="15.75">
      <c r="B78" s="476" t="str">
        <f>CONCATENATE(C91,"      ",D91)</f>
        <v>      </v>
      </c>
      <c r="C78" s="315"/>
      <c r="D78" s="107" t="s">
        <v>738</v>
      </c>
      <c r="E78" s="98">
        <f>IF(E77-E61&gt;0,E77-E61,0)</f>
        <v>115273</v>
      </c>
      <c r="G78" s="669">
        <f>ROUND(C73*0.05+C73,0)</f>
        <v>278240</v>
      </c>
      <c r="H78" s="631" t="str">
        <f>CONCATENATE("Less ",E1-2," Expenditures + 5%")</f>
        <v>Less 2011 Expenditures + 5%</v>
      </c>
      <c r="I78" s="666"/>
      <c r="J78" s="664"/>
    </row>
    <row r="79" spans="2:10" ht="15.75">
      <c r="B79" s="107"/>
      <c r="C79" s="458" t="s">
        <v>71</v>
      </c>
      <c r="D79" s="687">
        <f>inputOth!$E$22</f>
        <v>0</v>
      </c>
      <c r="E79" s="259">
        <f>ROUND(IF(D79&gt;0,(E78*D79),0),0)</f>
        <v>0</v>
      </c>
      <c r="G79" s="670">
        <f>G76-G78</f>
        <v>28170</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115273</v>
      </c>
      <c r="G80" s="643"/>
      <c r="H80" s="643"/>
      <c r="I80" s="643"/>
      <c r="J80" s="643"/>
    </row>
    <row r="81" spans="2:10" ht="15.75">
      <c r="B81" s="316" t="s">
        <v>762</v>
      </c>
      <c r="C81" s="334">
        <v>14</v>
      </c>
      <c r="D81" s="67"/>
      <c r="E81" s="67"/>
      <c r="G81" s="757" t="s">
        <v>201</v>
      </c>
      <c r="H81" s="758"/>
      <c r="I81" s="758"/>
      <c r="J81" s="759"/>
    </row>
    <row r="82" spans="7:10" ht="15.75">
      <c r="G82" s="654"/>
      <c r="H82" s="646"/>
      <c r="I82" s="655"/>
      <c r="J82" s="656"/>
    </row>
    <row r="83" spans="7:10" ht="15.75">
      <c r="G83" s="657">
        <f>summ!H28</f>
        <v>1.028</v>
      </c>
      <c r="H83" s="646" t="str">
        <f>CONCATENATE("",E1," Fund Mill Rate")</f>
        <v>2013 Fund Mill Rate</v>
      </c>
      <c r="I83" s="655"/>
      <c r="J83" s="656"/>
    </row>
    <row r="84" spans="7:10" ht="15.75">
      <c r="G84" s="658">
        <f>summ!E28</f>
        <v>1.07</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64" sqref="E64"/>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t="str">
        <f>inputPrYr!$B$29</f>
        <v>Developmental Service</v>
      </c>
      <c r="C5" s="441" t="str">
        <f>CONCATENATE("Actual for ",E1-2,"")</f>
        <v>Actual for 2011</v>
      </c>
      <c r="D5" s="441" t="str">
        <f>CONCATENATE("Estimate for ",E1-1,"")</f>
        <v>Estimate for 2012</v>
      </c>
      <c r="E5" s="294" t="str">
        <f>CONCATENATE("Year for ",E1,"")</f>
        <v>Year for 2013</v>
      </c>
    </row>
    <row r="6" spans="2:5" ht="15.75">
      <c r="B6" s="153" t="s">
        <v>851</v>
      </c>
      <c r="C6" s="469"/>
      <c r="D6" s="440">
        <f>C34</f>
        <v>0</v>
      </c>
      <c r="E6" s="259">
        <f>D34</f>
        <v>0</v>
      </c>
    </row>
    <row r="7" spans="2:5" ht="15.75">
      <c r="B7" s="284" t="s">
        <v>853</v>
      </c>
      <c r="C7" s="167"/>
      <c r="D7" s="167"/>
      <c r="E7" s="110"/>
    </row>
    <row r="8" spans="2:5" ht="15.75">
      <c r="B8" s="153" t="s">
        <v>724</v>
      </c>
      <c r="C8" s="469">
        <v>69211</v>
      </c>
      <c r="D8" s="440">
        <f>IF(inputPrYr!H29&gt;0,inputPrYr!H29,inputPrYr!E29)</f>
        <v>71038</v>
      </c>
      <c r="E8" s="321" t="s">
        <v>711</v>
      </c>
    </row>
    <row r="9" spans="2:5" ht="15.75">
      <c r="B9" s="153" t="s">
        <v>725</v>
      </c>
      <c r="C9" s="469">
        <v>1359</v>
      </c>
      <c r="D9" s="469"/>
      <c r="E9" s="94"/>
    </row>
    <row r="10" spans="2:5" ht="15.75">
      <c r="B10" s="153" t="s">
        <v>726</v>
      </c>
      <c r="C10" s="469">
        <v>6292</v>
      </c>
      <c r="D10" s="469">
        <v>5734</v>
      </c>
      <c r="E10" s="259">
        <f>mvalloc!E23</f>
        <v>5062</v>
      </c>
    </row>
    <row r="11" spans="2:5" ht="15.75">
      <c r="B11" s="153" t="s">
        <v>727</v>
      </c>
      <c r="C11" s="469">
        <v>107</v>
      </c>
      <c r="D11" s="469">
        <v>104</v>
      </c>
      <c r="E11" s="259">
        <f>mvalloc!F23</f>
        <v>81</v>
      </c>
    </row>
    <row r="12" spans="2:5" ht="15.75">
      <c r="B12" s="167" t="s">
        <v>802</v>
      </c>
      <c r="C12" s="469">
        <v>320</v>
      </c>
      <c r="D12" s="469">
        <v>359</v>
      </c>
      <c r="E12" s="259">
        <f>mvalloc!G23</f>
        <v>344</v>
      </c>
    </row>
    <row r="13" spans="2:5" ht="15.75">
      <c r="B13" s="311"/>
      <c r="C13" s="469"/>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77289</v>
      </c>
      <c r="D20" s="443">
        <f>SUM(D8:D18)</f>
        <v>77235</v>
      </c>
      <c r="E20" s="348">
        <f>SUM(E8:E18)</f>
        <v>5487</v>
      </c>
    </row>
    <row r="21" spans="2:5" ht="15.75">
      <c r="B21" s="302" t="s">
        <v>733</v>
      </c>
      <c r="C21" s="443">
        <f>C6+C20</f>
        <v>77289</v>
      </c>
      <c r="D21" s="443">
        <f>D6+D20</f>
        <v>77235</v>
      </c>
      <c r="E21" s="348">
        <f>E6+E20</f>
        <v>5487</v>
      </c>
    </row>
    <row r="22" spans="2:5" ht="15.75">
      <c r="B22" s="153" t="s">
        <v>736</v>
      </c>
      <c r="C22" s="300"/>
      <c r="D22" s="300"/>
      <c r="E22" s="163"/>
    </row>
    <row r="23" spans="2:5" ht="15.75">
      <c r="B23" s="311" t="s">
        <v>451</v>
      </c>
      <c r="C23" s="469">
        <v>77289</v>
      </c>
      <c r="D23" s="469">
        <v>77235</v>
      </c>
      <c r="E23" s="94">
        <v>77235</v>
      </c>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Nhood!E19</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77289</v>
      </c>
      <c r="D33" s="443">
        <f>SUM(D23:D31)</f>
        <v>77235</v>
      </c>
      <c r="E33" s="348">
        <f>SUM(E23:E31)</f>
        <v>77235</v>
      </c>
      <c r="G33" s="645">
        <f>D34</f>
        <v>0</v>
      </c>
      <c r="H33" s="646" t="str">
        <f>CONCATENATE("",E1-1," Ending Cash Balance (est.)")</f>
        <v>2012 Ending Cash Balance (est.)</v>
      </c>
      <c r="I33" s="647"/>
      <c r="J33" s="644"/>
    </row>
    <row r="34" spans="2:10" ht="15.75">
      <c r="B34" s="153" t="s">
        <v>852</v>
      </c>
      <c r="C34" s="438">
        <f>C21-C33</f>
        <v>0</v>
      </c>
      <c r="D34" s="438">
        <f>D21-D33</f>
        <v>0</v>
      </c>
      <c r="E34" s="321" t="s">
        <v>711</v>
      </c>
      <c r="G34" s="645">
        <f>E20</f>
        <v>5487</v>
      </c>
      <c r="H34" s="631" t="str">
        <f>CONCATENATE("",E1," Non-AV Receipts (est.)")</f>
        <v>2013 Non-AV Receipts (est.)</v>
      </c>
      <c r="I34" s="647"/>
      <c r="J34" s="644"/>
    </row>
    <row r="35" spans="2:11" ht="15.75">
      <c r="B35" s="281" t="str">
        <f>CONCATENATE("",$E$1-2,"/",$E$1-1," Budget Authority Amount:")</f>
        <v>2011/2012 Budget Authority Amount:</v>
      </c>
      <c r="C35" s="273">
        <f>inputOth!B42</f>
        <v>77235</v>
      </c>
      <c r="D35" s="273">
        <f>inputPrYr!D29</f>
        <v>77235</v>
      </c>
      <c r="E35" s="321" t="s">
        <v>711</v>
      </c>
      <c r="F35" s="314"/>
      <c r="G35" s="648">
        <f>IF(E39&gt;0,E38,E40)</f>
        <v>71748</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77235</v>
      </c>
      <c r="H36" s="631" t="str">
        <f>CONCATENATE("Total ",E1," Resources Available")</f>
        <v>Total 2013 Resources Available</v>
      </c>
      <c r="I36" s="647"/>
      <c r="J36" s="644"/>
    </row>
    <row r="37" spans="2:10" ht="15.75">
      <c r="B37" s="476" t="str">
        <f>CONCATENATE(C88,"     ",D88)</f>
        <v>See Tab A     </v>
      </c>
      <c r="C37" s="755" t="s">
        <v>70</v>
      </c>
      <c r="D37" s="756"/>
      <c r="E37" s="259">
        <f>E33+E36</f>
        <v>77235</v>
      </c>
      <c r="G37" s="649"/>
      <c r="H37" s="631"/>
      <c r="I37" s="631"/>
      <c r="J37" s="644"/>
    </row>
    <row r="38" spans="2:10" ht="15.75">
      <c r="B38" s="476" t="str">
        <f>CONCATENATE(C89,"      ",D89)</f>
        <v>      </v>
      </c>
      <c r="C38" s="315"/>
      <c r="D38" s="107" t="s">
        <v>738</v>
      </c>
      <c r="E38" s="98">
        <f>IF(E37-E21&gt;0,E37-E21,0)</f>
        <v>71748</v>
      </c>
      <c r="G38" s="648">
        <f>ROUND(C33*0.05+C33,0)</f>
        <v>81153</v>
      </c>
      <c r="H38" s="631" t="str">
        <f>CONCATENATE("Less ",E1-2," Expenditures + 5%")</f>
        <v>Less 2011 Expenditures + 5%</v>
      </c>
      <c r="I38" s="647"/>
      <c r="J38" s="664"/>
    </row>
    <row r="39" spans="2:10" ht="15.75">
      <c r="B39" s="107"/>
      <c r="C39" s="458" t="s">
        <v>71</v>
      </c>
      <c r="D39" s="687">
        <f>inputOth!$E$22</f>
        <v>0</v>
      </c>
      <c r="E39" s="259">
        <f>ROUND(IF(D39&gt;0,(E38*D39),0),0)</f>
        <v>0</v>
      </c>
      <c r="G39" s="650">
        <f>G36-G38</f>
        <v>-3918</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71748</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f>summ!H29</f>
        <v>0.64</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f>summ!E29</f>
        <v>0.659</v>
      </c>
      <c r="H44" s="646" t="str">
        <f>CONCATENATE("",E1-1," Fund Mill Rate")</f>
        <v>2012 Fund Mill Rate</v>
      </c>
      <c r="I44" s="655"/>
      <c r="J44" s="656"/>
    </row>
    <row r="45" spans="2:10" ht="15.75">
      <c r="B45" s="461" t="str">
        <f>inputPrYr!$B$30</f>
        <v>Appraiser</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v>57802</v>
      </c>
      <c r="D46" s="440">
        <f>C74</f>
        <v>47720</v>
      </c>
      <c r="E46" s="259">
        <f>D74</f>
        <v>39385</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v>140282</v>
      </c>
      <c r="D48" s="440">
        <f>IF(inputPrYr!H30&gt;0,inputPrYr!H30,inputPrYr!E30)</f>
        <v>168257</v>
      </c>
      <c r="E48" s="321" t="s">
        <v>711</v>
      </c>
      <c r="G48" s="643"/>
      <c r="H48" s="643"/>
      <c r="I48" s="643"/>
      <c r="J48" s="643"/>
    </row>
    <row r="49" spans="2:10" ht="15.75">
      <c r="B49" s="153" t="s">
        <v>725</v>
      </c>
      <c r="C49" s="469">
        <v>2716</v>
      </c>
      <c r="D49" s="469"/>
      <c r="E49" s="94"/>
      <c r="G49" s="643"/>
      <c r="H49" s="643"/>
      <c r="I49" s="643"/>
      <c r="J49" s="643"/>
    </row>
    <row r="50" spans="2:10" ht="15.75">
      <c r="B50" s="153" t="s">
        <v>726</v>
      </c>
      <c r="C50" s="469">
        <v>12407</v>
      </c>
      <c r="D50" s="469">
        <v>11805</v>
      </c>
      <c r="E50" s="259">
        <f>mvalloc!E24</f>
        <v>11989</v>
      </c>
      <c r="G50" s="643"/>
      <c r="H50" s="643"/>
      <c r="I50" s="643"/>
      <c r="J50" s="643"/>
    </row>
    <row r="51" spans="2:10" ht="15.75">
      <c r="B51" s="153" t="s">
        <v>727</v>
      </c>
      <c r="C51" s="469">
        <v>213</v>
      </c>
      <c r="D51" s="469">
        <v>215</v>
      </c>
      <c r="E51" s="259">
        <f>mvalloc!F24</f>
        <v>193</v>
      </c>
      <c r="G51" s="643"/>
      <c r="H51" s="643"/>
      <c r="I51" s="643"/>
      <c r="J51" s="643"/>
    </row>
    <row r="52" spans="2:10" ht="15.75">
      <c r="B52" s="167" t="s">
        <v>802</v>
      </c>
      <c r="C52" s="469">
        <v>680</v>
      </c>
      <c r="D52" s="469">
        <v>738</v>
      </c>
      <c r="E52" s="259">
        <f>mvalloc!G24</f>
        <v>815</v>
      </c>
      <c r="G52" s="643"/>
      <c r="H52" s="643"/>
      <c r="I52" s="643"/>
      <c r="J52" s="643"/>
    </row>
    <row r="53" spans="2:10" ht="15.75">
      <c r="B53" s="311" t="s">
        <v>441</v>
      </c>
      <c r="C53" s="469">
        <v>590</v>
      </c>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156888</v>
      </c>
      <c r="D60" s="443">
        <f>SUM(D48:D58)</f>
        <v>181015</v>
      </c>
      <c r="E60" s="348">
        <f>SUM(E48:E58)</f>
        <v>12997</v>
      </c>
      <c r="G60" s="643"/>
      <c r="H60" s="643"/>
      <c r="I60" s="643"/>
      <c r="J60" s="643"/>
    </row>
    <row r="61" spans="2:10" ht="15.75">
      <c r="B61" s="302" t="s">
        <v>733</v>
      </c>
      <c r="C61" s="443">
        <f>C46+C60</f>
        <v>214690</v>
      </c>
      <c r="D61" s="443">
        <f>D46+D60</f>
        <v>228735</v>
      </c>
      <c r="E61" s="348">
        <f>E46+E60</f>
        <v>52382</v>
      </c>
      <c r="G61" s="643"/>
      <c r="H61" s="643"/>
      <c r="I61" s="643"/>
      <c r="J61" s="643"/>
    </row>
    <row r="62" spans="2:10" ht="15.75">
      <c r="B62" s="153" t="s">
        <v>736</v>
      </c>
      <c r="C62" s="300"/>
      <c r="D62" s="300"/>
      <c r="E62" s="163"/>
      <c r="G62" s="643"/>
      <c r="H62" s="643"/>
      <c r="I62" s="643"/>
      <c r="J62" s="643"/>
    </row>
    <row r="63" spans="2:10" ht="15.75">
      <c r="B63" s="311" t="s">
        <v>457</v>
      </c>
      <c r="C63" s="469">
        <v>166970</v>
      </c>
      <c r="D63" s="469">
        <v>189350</v>
      </c>
      <c r="E63" s="94">
        <v>199250</v>
      </c>
      <c r="G63" s="643"/>
      <c r="H63" s="643"/>
      <c r="I63" s="643"/>
      <c r="J63" s="643"/>
    </row>
    <row r="64" spans="2:10" ht="15.75">
      <c r="B64" s="311" t="s">
        <v>453</v>
      </c>
      <c r="C64" s="469"/>
      <c r="D64" s="469"/>
      <c r="E64" s="94">
        <v>35000</v>
      </c>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v>0</v>
      </c>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Nhood!E20</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166970</v>
      </c>
      <c r="D73" s="443">
        <f>SUM(D63:D71)</f>
        <v>189350</v>
      </c>
      <c r="E73" s="348">
        <f>SUM(E63:E71)</f>
        <v>234250</v>
      </c>
      <c r="G73" s="645">
        <f>D74</f>
        <v>39385</v>
      </c>
      <c r="H73" s="646" t="str">
        <f>CONCATENATE("",E1-1," Ending Cash Balance (est.)")</f>
        <v>2012 Ending Cash Balance (est.)</v>
      </c>
      <c r="I73" s="647"/>
      <c r="J73" s="664"/>
    </row>
    <row r="74" spans="2:10" ht="15.75">
      <c r="B74" s="153" t="s">
        <v>852</v>
      </c>
      <c r="C74" s="438">
        <f>C61-C73</f>
        <v>47720</v>
      </c>
      <c r="D74" s="438">
        <f>D61-D73</f>
        <v>39385</v>
      </c>
      <c r="E74" s="321" t="s">
        <v>711</v>
      </c>
      <c r="G74" s="645">
        <f>E60</f>
        <v>12997</v>
      </c>
      <c r="H74" s="631" t="str">
        <f>CONCATENATE("",E1," Non-AV Receipts (est.)")</f>
        <v>2013 Non-AV Receipts (est.)</v>
      </c>
      <c r="I74" s="647"/>
      <c r="J74" s="664"/>
    </row>
    <row r="75" spans="2:11" ht="15.75">
      <c r="B75" s="281" t="str">
        <f>CONCATENATE("",$E$1-2,"/",$E$1-1," Budget Authority Amount:")</f>
        <v>2011/2012 Budget Authority Amount:</v>
      </c>
      <c r="C75" s="273">
        <f>inputOth!B43</f>
        <v>192600</v>
      </c>
      <c r="D75" s="273">
        <f>inputPrYr!D30</f>
        <v>219350</v>
      </c>
      <c r="E75" s="321" t="s">
        <v>711</v>
      </c>
      <c r="F75" s="314"/>
      <c r="G75" s="648">
        <f>IF(E79&gt;0,E78,E80)</f>
        <v>181868</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234250</v>
      </c>
      <c r="H76" s="631" t="str">
        <f>CONCATENATE("Total ",E1," Resources Available")</f>
        <v>Total 2013 Resources Available</v>
      </c>
      <c r="I76" s="666"/>
      <c r="J76" s="664"/>
    </row>
    <row r="77" spans="2:10" ht="15.75">
      <c r="B77" s="476" t="str">
        <f>CONCATENATE(C90,"      ",D90)</f>
        <v>      </v>
      </c>
      <c r="C77" s="755" t="s">
        <v>70</v>
      </c>
      <c r="D77" s="756"/>
      <c r="E77" s="259">
        <f>E73+E76</f>
        <v>234250</v>
      </c>
      <c r="G77" s="667"/>
      <c r="H77" s="668"/>
      <c r="I77" s="630"/>
      <c r="J77" s="664"/>
    </row>
    <row r="78" spans="2:10" ht="15.75">
      <c r="B78" s="476" t="str">
        <f>CONCATENATE(C91,"      ",D91)</f>
        <v>      </v>
      </c>
      <c r="C78" s="315"/>
      <c r="D78" s="107" t="s">
        <v>738</v>
      </c>
      <c r="E78" s="98">
        <f>IF(E77-E61&gt;0,E77-E61,0)</f>
        <v>181868</v>
      </c>
      <c r="G78" s="669">
        <f>ROUND(C73*0.05+C73,0)</f>
        <v>175319</v>
      </c>
      <c r="H78" s="631" t="str">
        <f>CONCATENATE("Less ",E1-2," Expenditures + 5%")</f>
        <v>Less 2011 Expenditures + 5%</v>
      </c>
      <c r="I78" s="666"/>
      <c r="J78" s="664"/>
    </row>
    <row r="79" spans="2:10" ht="15.75">
      <c r="B79" s="107"/>
      <c r="C79" s="458" t="s">
        <v>71</v>
      </c>
      <c r="D79" s="687">
        <f>inputOth!$E$22</f>
        <v>0</v>
      </c>
      <c r="E79" s="259">
        <f>ROUND(IF(D79&gt;0,(E78*D79),0),0)</f>
        <v>0</v>
      </c>
      <c r="G79" s="670">
        <f>G76-G78</f>
        <v>58931</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181868</v>
      </c>
      <c r="G80" s="643"/>
      <c r="H80" s="643"/>
      <c r="I80" s="643"/>
      <c r="J80" s="643"/>
    </row>
    <row r="81" spans="2:10" ht="15.75">
      <c r="B81" s="316" t="s">
        <v>762</v>
      </c>
      <c r="C81" s="334">
        <v>15</v>
      </c>
      <c r="D81" s="67"/>
      <c r="E81" s="67"/>
      <c r="G81" s="757" t="s">
        <v>201</v>
      </c>
      <c r="H81" s="758"/>
      <c r="I81" s="758"/>
      <c r="J81" s="759"/>
    </row>
    <row r="82" spans="7:10" ht="15.75">
      <c r="G82" s="654"/>
      <c r="H82" s="646"/>
      <c r="I82" s="655"/>
      <c r="J82" s="656"/>
    </row>
    <row r="83" spans="7:10" ht="15.75">
      <c r="G83" s="657">
        <f>summ!H30</f>
        <v>1.622</v>
      </c>
      <c r="H83" s="646" t="str">
        <f>CONCATENATE("",E1," Fund Mill Rate")</f>
        <v>2013 Fund Mill Rate</v>
      </c>
      <c r="I83" s="655"/>
      <c r="J83" s="656"/>
    </row>
    <row r="84" spans="7:10" ht="15.75">
      <c r="G84" s="658">
        <f>summ!E30</f>
        <v>1.561</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t="str">
        <f>IF(C33&gt;C35,"See Tab A","")</f>
        <v>See Tab A</v>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C74 C34">
    <cfRule type="cellIs" priority="13" dxfId="2" operator="lessThan" stopIfTrue="1">
      <formula>0</formula>
    </cfRule>
  </conditionalFormatting>
  <conditionalFormatting sqref="C73">
    <cfRule type="cellIs" priority="14" dxfId="2" operator="greaterThan" stopIfTrue="1">
      <formula>$C$75</formula>
    </cfRule>
  </conditionalFormatting>
  <conditionalFormatting sqref="D73">
    <cfRule type="cellIs" priority="15" dxfId="2" operator="greaterThan" stopIfTrue="1">
      <formula>$D$75</formula>
    </cfRule>
  </conditionalFormatting>
  <conditionalFormatting sqref="C33">
    <cfRule type="cellIs" priority="16" dxfId="2" operator="greaterThan" stopIfTrue="1">
      <formula>$C$35</formula>
    </cfRule>
  </conditionalFormatting>
  <conditionalFormatting sqref="D33">
    <cfRule type="cellIs" priority="17" dxfId="2" operator="greaterThan" stopIfTrue="1">
      <formula>$D$35</formula>
    </cfRule>
  </conditionalFormatting>
  <conditionalFormatting sqref="D58">
    <cfRule type="cellIs" priority="18" dxfId="2" operator="greaterThan" stopIfTrue="1">
      <formula>$D$60*0.1</formula>
    </cfRule>
  </conditionalFormatting>
  <conditionalFormatting sqref="C58">
    <cfRule type="cellIs" priority="19" dxfId="2" operator="greaterThan" stopIfTrue="1">
      <formula>$C$60*0.1</formula>
    </cfRule>
  </conditionalFormatting>
  <conditionalFormatting sqref="C31">
    <cfRule type="cellIs" priority="20" dxfId="2" operator="greaterThan" stopIfTrue="1">
      <formula>$C$33*0.1</formula>
    </cfRule>
  </conditionalFormatting>
  <conditionalFormatting sqref="D31">
    <cfRule type="cellIs" priority="21" dxfId="2" operator="greaterThan" stopIfTrue="1">
      <formula>$D$33*0.1</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24" sqref="E24"/>
    </sheetView>
  </sheetViews>
  <sheetFormatPr defaultColWidth="8.796875" defaultRowHeight="15"/>
  <cols>
    <col min="1" max="1" width="2.3984375" style="52" customWidth="1"/>
    <col min="2" max="2" width="31.09765625" style="52" customWidth="1"/>
    <col min="3" max="4" width="15.796875" style="52" customWidth="1"/>
    <col min="5" max="5" width="16.296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t="str">
        <f>inputPrYr!$B$31</f>
        <v>Special Road and Bridge</v>
      </c>
      <c r="C5" s="441" t="str">
        <f>CONCATENATE("Actual for ",E1-2,"")</f>
        <v>Actual for 2011</v>
      </c>
      <c r="D5" s="441" t="str">
        <f>CONCATENATE("Estimate for ",E1-1,"")</f>
        <v>Estimate for 2012</v>
      </c>
      <c r="E5" s="294" t="str">
        <f>CONCATENATE("Year for ",E1,"")</f>
        <v>Year for 2013</v>
      </c>
    </row>
    <row r="6" spans="2:5" ht="15.75">
      <c r="B6" s="153" t="s">
        <v>851</v>
      </c>
      <c r="C6" s="469">
        <v>46731</v>
      </c>
      <c r="D6" s="440">
        <f>C34</f>
        <v>58966</v>
      </c>
      <c r="E6" s="259">
        <f>D34</f>
        <v>50000</v>
      </c>
    </row>
    <row r="7" spans="2:5" ht="15.75">
      <c r="B7" s="284" t="s">
        <v>853</v>
      </c>
      <c r="C7" s="167"/>
      <c r="D7" s="167"/>
      <c r="E7" s="110"/>
    </row>
    <row r="8" spans="2:5" ht="15.75">
      <c r="B8" s="153" t="s">
        <v>724</v>
      </c>
      <c r="C8" s="469">
        <v>183733</v>
      </c>
      <c r="D8" s="440">
        <f>inputPrYr!E31</f>
        <v>214038</v>
      </c>
      <c r="E8" s="321" t="s">
        <v>711</v>
      </c>
    </row>
    <row r="9" spans="2:5" ht="15.75">
      <c r="B9" s="153" t="s">
        <v>725</v>
      </c>
      <c r="C9" s="469">
        <v>4079</v>
      </c>
      <c r="D9" s="469"/>
      <c r="E9" s="94"/>
    </row>
    <row r="10" spans="2:5" ht="15.75">
      <c r="B10" s="153" t="s">
        <v>726</v>
      </c>
      <c r="C10" s="469">
        <v>18783</v>
      </c>
      <c r="D10" s="469">
        <v>15155</v>
      </c>
      <c r="E10" s="259">
        <f>mvalloc!E25</f>
        <v>15251</v>
      </c>
    </row>
    <row r="11" spans="2:5" ht="15.75">
      <c r="B11" s="153" t="s">
        <v>727</v>
      </c>
      <c r="C11" s="469">
        <v>333</v>
      </c>
      <c r="D11" s="469">
        <v>275</v>
      </c>
      <c r="E11" s="259">
        <f>mvalloc!F25</f>
        <v>245</v>
      </c>
    </row>
    <row r="12" spans="2:5" ht="15.75">
      <c r="B12" s="167" t="s">
        <v>802</v>
      </c>
      <c r="C12" s="469">
        <v>1748</v>
      </c>
      <c r="D12" s="469">
        <v>948</v>
      </c>
      <c r="E12" s="259">
        <f>mvalloc!G25</f>
        <v>1037</v>
      </c>
    </row>
    <row r="13" spans="2:5" ht="15.75">
      <c r="B13" s="311"/>
      <c r="C13" s="469"/>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70">
        <f>SUM(C8:C18)</f>
        <v>208676</v>
      </c>
      <c r="D20" s="470">
        <f>SUM(D8:D18)</f>
        <v>230416</v>
      </c>
      <c r="E20" s="350">
        <f>SUM(E8:E18)</f>
        <v>16533</v>
      </c>
    </row>
    <row r="21" spans="2:5" ht="15.75">
      <c r="B21" s="302" t="s">
        <v>733</v>
      </c>
      <c r="C21" s="470">
        <f>C6+C20</f>
        <v>255407</v>
      </c>
      <c r="D21" s="470">
        <f>D6+D20</f>
        <v>289382</v>
      </c>
      <c r="E21" s="350">
        <f>E6+E20</f>
        <v>66533</v>
      </c>
    </row>
    <row r="22" spans="2:5" ht="15.75">
      <c r="B22" s="153" t="s">
        <v>736</v>
      </c>
      <c r="C22" s="300"/>
      <c r="D22" s="300"/>
      <c r="E22" s="163"/>
    </row>
    <row r="23" spans="2:5" ht="15.75">
      <c r="B23" s="311" t="s">
        <v>456</v>
      </c>
      <c r="C23" s="469">
        <v>196441</v>
      </c>
      <c r="D23" s="469">
        <v>239382</v>
      </c>
      <c r="E23" s="94">
        <v>290820</v>
      </c>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Nhood!E21</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196441</v>
      </c>
      <c r="D33" s="443">
        <f>SUM(D23:D31)</f>
        <v>239382</v>
      </c>
      <c r="E33" s="348">
        <f>SUM(E23:E31)</f>
        <v>290820</v>
      </c>
      <c r="G33" s="645">
        <f>D34</f>
        <v>50000</v>
      </c>
      <c r="H33" s="646" t="str">
        <f>CONCATENATE("",E1-1," Ending Cash Balance (est.)")</f>
        <v>2012 Ending Cash Balance (est.)</v>
      </c>
      <c r="I33" s="647"/>
      <c r="J33" s="644"/>
    </row>
    <row r="34" spans="2:10" ht="15.75">
      <c r="B34" s="153" t="s">
        <v>852</v>
      </c>
      <c r="C34" s="438">
        <f>C21-C33</f>
        <v>58966</v>
      </c>
      <c r="D34" s="438">
        <f>D21-D33</f>
        <v>50000</v>
      </c>
      <c r="E34" s="321" t="s">
        <v>711</v>
      </c>
      <c r="G34" s="645">
        <f>E20</f>
        <v>16533</v>
      </c>
      <c r="H34" s="631" t="str">
        <f>CONCATENATE("",E1," Non-AV Receipts (est.)")</f>
        <v>2013 Non-AV Receipts (est.)</v>
      </c>
      <c r="I34" s="647"/>
      <c r="J34" s="644"/>
    </row>
    <row r="35" spans="2:11" ht="15.75">
      <c r="B35" s="281" t="str">
        <f>CONCATENATE("",$E$1-2,"/",$E$1-1," Budget Authority Amount:")</f>
        <v>2011/2012 Budget Authority Amount:</v>
      </c>
      <c r="C35" s="273">
        <f>inputOth!B44</f>
        <v>252320</v>
      </c>
      <c r="D35" s="273">
        <f>inputPrYr!D31</f>
        <v>280416</v>
      </c>
      <c r="E35" s="321" t="s">
        <v>711</v>
      </c>
      <c r="F35" s="314"/>
      <c r="G35" s="648">
        <f>IF(E39&gt;0,E38,E40)</f>
        <v>224287</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290820</v>
      </c>
      <c r="H36" s="631" t="str">
        <f>CONCATENATE("Total ",E1," Resources Available")</f>
        <v>Total 2013 Resources Available</v>
      </c>
      <c r="I36" s="647"/>
      <c r="J36" s="644"/>
    </row>
    <row r="37" spans="2:10" ht="15.75">
      <c r="B37" s="476" t="str">
        <f>CONCATENATE(C88,"     ",D88)</f>
        <v>     </v>
      </c>
      <c r="C37" s="755" t="s">
        <v>70</v>
      </c>
      <c r="D37" s="756"/>
      <c r="E37" s="259">
        <f>E33+E36</f>
        <v>290820</v>
      </c>
      <c r="G37" s="649"/>
      <c r="H37" s="631"/>
      <c r="I37" s="631"/>
      <c r="J37" s="644"/>
    </row>
    <row r="38" spans="2:10" ht="15.75">
      <c r="B38" s="476" t="str">
        <f>CONCATENATE(C89,"      ",D89)</f>
        <v>      </v>
      </c>
      <c r="C38" s="315"/>
      <c r="D38" s="107" t="s">
        <v>738</v>
      </c>
      <c r="E38" s="98">
        <f>IF(E37-E21&gt;0,E37-E21,0)</f>
        <v>224287</v>
      </c>
      <c r="G38" s="648">
        <f>ROUND(C33*0.05+C33,0)</f>
        <v>206263</v>
      </c>
      <c r="H38" s="631" t="str">
        <f>CONCATENATE("Less ",E1-2," Expenditures + 5%")</f>
        <v>Less 2011 Expenditures + 5%</v>
      </c>
      <c r="I38" s="647"/>
      <c r="J38" s="664"/>
    </row>
    <row r="39" spans="2:10" ht="15.75">
      <c r="B39" s="107"/>
      <c r="C39" s="458" t="s">
        <v>71</v>
      </c>
      <c r="D39" s="687">
        <f>inputOth!$E$22</f>
        <v>0</v>
      </c>
      <c r="E39" s="259">
        <f>ROUND(IF(D39&gt;0,(E38*D39),0),0)</f>
        <v>0</v>
      </c>
      <c r="G39" s="650">
        <f>G36-G38</f>
        <v>84557</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224287</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f>summ!H31</f>
        <v>2</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f>summ!E31</f>
        <v>2</v>
      </c>
      <c r="H44" s="646" t="str">
        <f>CONCATENATE("",E1-1," Fund Mill Rate")</f>
        <v>2012 Fund Mill Rate</v>
      </c>
      <c r="I44" s="655"/>
      <c r="J44" s="656"/>
    </row>
    <row r="45" spans="2:10" ht="15.75">
      <c r="B45" s="461" t="str">
        <f>inputPrYr!$B$32</f>
        <v>Employee Benefit</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v>1316229</v>
      </c>
      <c r="D46" s="440">
        <f>C74</f>
        <v>1707757</v>
      </c>
      <c r="E46" s="259">
        <f>D74</f>
        <v>1321457</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v>1748751</v>
      </c>
      <c r="D48" s="440">
        <f>inputPrYr!E32</f>
        <v>1954751</v>
      </c>
      <c r="E48" s="321" t="s">
        <v>711</v>
      </c>
      <c r="G48" s="643"/>
      <c r="H48" s="643"/>
      <c r="I48" s="643"/>
      <c r="J48" s="643"/>
    </row>
    <row r="49" spans="2:10" ht="15.75">
      <c r="B49" s="153" t="s">
        <v>725</v>
      </c>
      <c r="C49" s="469">
        <v>27837</v>
      </c>
      <c r="D49" s="469"/>
      <c r="E49" s="94"/>
      <c r="G49" s="643"/>
      <c r="H49" s="643"/>
      <c r="I49" s="643"/>
      <c r="J49" s="643"/>
    </row>
    <row r="50" spans="2:10" ht="15.75">
      <c r="B50" s="153" t="s">
        <v>726</v>
      </c>
      <c r="C50" s="469">
        <v>109876</v>
      </c>
      <c r="D50" s="469">
        <v>147080</v>
      </c>
      <c r="E50" s="259">
        <f>mvalloc!E26</f>
        <v>139283</v>
      </c>
      <c r="G50" s="643"/>
      <c r="H50" s="643"/>
      <c r="I50" s="643"/>
      <c r="J50" s="643"/>
    </row>
    <row r="51" spans="2:10" ht="15.75">
      <c r="B51" s="153" t="s">
        <v>727</v>
      </c>
      <c r="C51" s="469">
        <v>1884</v>
      </c>
      <c r="D51" s="469">
        <v>2673</v>
      </c>
      <c r="E51" s="259">
        <f>mvalloc!F26</f>
        <v>2242</v>
      </c>
      <c r="G51" s="643"/>
      <c r="H51" s="643"/>
      <c r="I51" s="643"/>
      <c r="J51" s="643"/>
    </row>
    <row r="52" spans="2:10" ht="15.75">
      <c r="B52" s="167" t="s">
        <v>802</v>
      </c>
      <c r="C52" s="469">
        <v>6069</v>
      </c>
      <c r="D52" s="469">
        <v>9196</v>
      </c>
      <c r="E52" s="259">
        <f>mvalloc!G26</f>
        <v>9473</v>
      </c>
      <c r="G52" s="643"/>
      <c r="H52" s="643"/>
      <c r="I52" s="643"/>
      <c r="J52" s="643"/>
    </row>
    <row r="53" spans="2:10" ht="15.75">
      <c r="B53" s="311" t="s">
        <v>441</v>
      </c>
      <c r="C53" s="469">
        <v>11992</v>
      </c>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1906409</v>
      </c>
      <c r="D60" s="443">
        <f>SUM(D48:D58)</f>
        <v>2113700</v>
      </c>
      <c r="E60" s="348">
        <f>SUM(E48:E58)</f>
        <v>150998</v>
      </c>
      <c r="G60" s="643"/>
      <c r="H60" s="643"/>
      <c r="I60" s="643"/>
      <c r="J60" s="643"/>
    </row>
    <row r="61" spans="2:10" ht="15.75">
      <c r="B61" s="302" t="s">
        <v>733</v>
      </c>
      <c r="C61" s="443">
        <f>C46+C60</f>
        <v>3222638</v>
      </c>
      <c r="D61" s="443">
        <f>D46+D60</f>
        <v>3821457</v>
      </c>
      <c r="E61" s="348">
        <f>E46+E60</f>
        <v>1472455</v>
      </c>
      <c r="G61" s="643"/>
      <c r="H61" s="643"/>
      <c r="I61" s="643"/>
      <c r="J61" s="643"/>
    </row>
    <row r="62" spans="2:10" ht="15.75">
      <c r="B62" s="153" t="s">
        <v>736</v>
      </c>
      <c r="C62" s="300"/>
      <c r="D62" s="300"/>
      <c r="E62" s="163"/>
      <c r="G62" s="643"/>
      <c r="H62" s="643"/>
      <c r="I62" s="643"/>
      <c r="J62" s="643"/>
    </row>
    <row r="63" spans="2:10" ht="15.75">
      <c r="B63" s="311" t="s">
        <v>455</v>
      </c>
      <c r="C63" s="469">
        <v>1514881</v>
      </c>
      <c r="D63" s="469">
        <v>2500000</v>
      </c>
      <c r="E63" s="94">
        <v>2900000</v>
      </c>
      <c r="G63" s="643"/>
      <c r="H63" s="643"/>
      <c r="I63" s="643"/>
      <c r="J63" s="643"/>
    </row>
    <row r="64" spans="2:10" ht="15.75">
      <c r="B64" s="311"/>
      <c r="C64" s="469"/>
      <c r="D64" s="469"/>
      <c r="E64" s="94"/>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v>0</v>
      </c>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Nhood!E22</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1514881</v>
      </c>
      <c r="D73" s="443">
        <f>SUM(D63:D71)</f>
        <v>2500000</v>
      </c>
      <c r="E73" s="348">
        <f>SUM(E63:E71)</f>
        <v>2900000</v>
      </c>
      <c r="G73" s="645">
        <f>D74</f>
        <v>1321457</v>
      </c>
      <c r="H73" s="646" t="str">
        <f>CONCATENATE("",E1-1," Ending Cash Balance (est.)")</f>
        <v>2012 Ending Cash Balance (est.)</v>
      </c>
      <c r="I73" s="647"/>
      <c r="J73" s="664"/>
    </row>
    <row r="74" spans="2:10" ht="15.75">
      <c r="B74" s="153" t="s">
        <v>852</v>
      </c>
      <c r="C74" s="438">
        <f>C61-C73</f>
        <v>1707757</v>
      </c>
      <c r="D74" s="438">
        <f>D61-D73</f>
        <v>1321457</v>
      </c>
      <c r="E74" s="321" t="s">
        <v>711</v>
      </c>
      <c r="G74" s="645">
        <f>E60</f>
        <v>150998</v>
      </c>
      <c r="H74" s="631" t="str">
        <f>CONCATENATE("",E1," Non-AV Receipts (est.)")</f>
        <v>2013 Non-AV Receipts (est.)</v>
      </c>
      <c r="I74" s="647"/>
      <c r="J74" s="664"/>
    </row>
    <row r="75" spans="2:11" ht="15.75">
      <c r="B75" s="281" t="str">
        <f>CONCATENATE("",$E$1-2,"/",$E$1-1," Budget Authority Amount:")</f>
        <v>2011/2012 Budget Authority Amount:</v>
      </c>
      <c r="C75" s="273">
        <f>inputOth!B45</f>
        <v>2500000</v>
      </c>
      <c r="D75" s="273">
        <f>inputPrYr!D32</f>
        <v>2850000</v>
      </c>
      <c r="E75" s="321" t="s">
        <v>711</v>
      </c>
      <c r="F75" s="314"/>
      <c r="G75" s="648">
        <f>IF(E79&gt;0,E78,E80)</f>
        <v>1427545</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2900000</v>
      </c>
      <c r="H76" s="631" t="str">
        <f>CONCATENATE("Total ",E1," Resources Available")</f>
        <v>Total 2013 Resources Available</v>
      </c>
      <c r="I76" s="666"/>
      <c r="J76" s="664"/>
    </row>
    <row r="77" spans="2:10" ht="15.75">
      <c r="B77" s="476" t="str">
        <f>CONCATENATE(C90,"      ",D90)</f>
        <v>      </v>
      </c>
      <c r="C77" s="755" t="s">
        <v>70</v>
      </c>
      <c r="D77" s="756"/>
      <c r="E77" s="259">
        <f>E73+E76</f>
        <v>2900000</v>
      </c>
      <c r="G77" s="667"/>
      <c r="H77" s="668"/>
      <c r="I77" s="630"/>
      <c r="J77" s="664"/>
    </row>
    <row r="78" spans="2:10" ht="15.75">
      <c r="B78" s="476" t="str">
        <f>CONCATENATE(C91,"      ",D91)</f>
        <v>      </v>
      </c>
      <c r="C78" s="315"/>
      <c r="D78" s="107" t="s">
        <v>738</v>
      </c>
      <c r="E78" s="98">
        <f>IF(E77-E61&gt;0,E77-E61,0)</f>
        <v>1427545</v>
      </c>
      <c r="G78" s="669">
        <f>ROUND(C73*0.05+C73,0)</f>
        <v>1590625</v>
      </c>
      <c r="H78" s="631" t="str">
        <f>CONCATENATE("Less ",E1-2," Expenditures + 5%")</f>
        <v>Less 2011 Expenditures + 5%</v>
      </c>
      <c r="I78" s="666"/>
      <c r="J78" s="664"/>
    </row>
    <row r="79" spans="2:10" ht="15.75">
      <c r="B79" s="107"/>
      <c r="C79" s="458" t="s">
        <v>71</v>
      </c>
      <c r="D79" s="687">
        <f>inputOth!$E$22</f>
        <v>0</v>
      </c>
      <c r="E79" s="259">
        <f>ROUND(IF(D79&gt;0,(E78*D79),0),0)</f>
        <v>0</v>
      </c>
      <c r="G79" s="670">
        <f>G76-G78</f>
        <v>1309375</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1427545</v>
      </c>
      <c r="G80" s="643"/>
      <c r="H80" s="643"/>
      <c r="I80" s="643"/>
      <c r="J80" s="643"/>
    </row>
    <row r="81" spans="2:10" ht="15.75">
      <c r="B81" s="316" t="s">
        <v>762</v>
      </c>
      <c r="C81" s="334">
        <v>16</v>
      </c>
      <c r="D81" s="67"/>
      <c r="E81" s="67"/>
      <c r="G81" s="757" t="s">
        <v>201</v>
      </c>
      <c r="H81" s="758"/>
      <c r="I81" s="758"/>
      <c r="J81" s="759"/>
    </row>
    <row r="82" spans="7:10" ht="15.75">
      <c r="G82" s="654"/>
      <c r="H82" s="646"/>
      <c r="I82" s="655"/>
      <c r="J82" s="656"/>
    </row>
    <row r="83" spans="7:10" ht="15.75">
      <c r="G83" s="657">
        <f>summ!H32</f>
        <v>12.73</v>
      </c>
      <c r="H83" s="646" t="str">
        <f>CONCATENATE("",E1," Fund Mill Rate")</f>
        <v>2013 Fund Mill Rate</v>
      </c>
      <c r="I83" s="655"/>
      <c r="J83" s="656"/>
    </row>
    <row r="84" spans="7:10" ht="15.75">
      <c r="G84" s="658">
        <f>summ!E32</f>
        <v>18.143</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10" dxfId="351" operator="greaterThan" stopIfTrue="1">
      <formula>$E$20*0.1+E40</formula>
    </cfRule>
  </conditionalFormatting>
  <conditionalFormatting sqref="E58">
    <cfRule type="cellIs" priority="11" dxfId="351" operator="greaterThan" stopIfTrue="1">
      <formula>$E$60*0.1+E80</formula>
    </cfRule>
  </conditionalFormatting>
  <conditionalFormatting sqref="C71">
    <cfRule type="cellIs" priority="12" dxfId="2" operator="greaterThan" stopIfTrue="1">
      <formula>$C$73*0.1</formula>
    </cfRule>
  </conditionalFormatting>
  <conditionalFormatting sqref="D71">
    <cfRule type="cellIs" priority="13" dxfId="2" operator="greaterThan" stopIfTrue="1">
      <formula>$D$73*0.1</formula>
    </cfRule>
  </conditionalFormatting>
  <conditionalFormatting sqref="D58">
    <cfRule type="cellIs" priority="14" dxfId="2" operator="greaterThan" stopIfTrue="1">
      <formula>$D$60*0.1</formula>
    </cfRule>
  </conditionalFormatting>
  <conditionalFormatting sqref="C58">
    <cfRule type="cellIs" priority="15" dxfId="2" operator="greaterThan" stopIfTrue="1">
      <formula>$C$60*0.1</formula>
    </cfRule>
  </conditionalFormatting>
  <conditionalFormatting sqref="C31">
    <cfRule type="cellIs" priority="16" dxfId="2" operator="greaterThan" stopIfTrue="1">
      <formula>$C$33*0.1</formula>
    </cfRule>
  </conditionalFormatting>
  <conditionalFormatting sqref="D31">
    <cfRule type="cellIs" priority="17" dxfId="2" operator="greaterThan" stopIfTrue="1">
      <formula>$D$33*0.1</formula>
    </cfRule>
  </conditionalFormatting>
  <conditionalFormatting sqref="C33">
    <cfRule type="cellIs" priority="18" dxfId="2" operator="greaterThan" stopIfTrue="1">
      <formula>$C$35</formula>
    </cfRule>
  </conditionalFormatting>
  <conditionalFormatting sqref="D33">
    <cfRule type="cellIs" priority="19" dxfId="2" operator="greaterThan" stopIfTrue="1">
      <formula>$D$35</formula>
    </cfRule>
  </conditionalFormatting>
  <conditionalFormatting sqref="C34 C74">
    <cfRule type="cellIs" priority="20" dxfId="2" operator="lessThan" stopIfTrue="1">
      <formula>0</formula>
    </cfRule>
  </conditionalFormatting>
  <conditionalFormatting sqref="C73">
    <cfRule type="cellIs" priority="21" dxfId="2" operator="greaterThan" stopIfTrue="1">
      <formula>$C$75</formula>
    </cfRule>
  </conditionalFormatting>
  <conditionalFormatting sqref="D73">
    <cfRule type="cellIs" priority="22" dxfId="2" operator="greaterThan" stopIfTrue="1">
      <formula>$D$75</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64" sqref="E64"/>
    </sheetView>
  </sheetViews>
  <sheetFormatPr defaultColWidth="8.796875" defaultRowHeight="15"/>
  <cols>
    <col min="1" max="1" width="2.3984375" style="52" customWidth="1"/>
    <col min="2" max="2" width="31.09765625" style="52" customWidth="1"/>
    <col min="3" max="4" width="15.796875" style="52" customWidth="1"/>
    <col min="5" max="5" width="16.296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t="str">
        <f>inputPrYr!$B$33</f>
        <v>Historical Society</v>
      </c>
      <c r="C5" s="441" t="str">
        <f>CONCATENATE("Actual for ",E1-2,"")</f>
        <v>Actual for 2011</v>
      </c>
      <c r="D5" s="441" t="str">
        <f>CONCATENATE("Estimate for ",E1-1,"")</f>
        <v>Estimate for 2012</v>
      </c>
      <c r="E5" s="294" t="str">
        <f>CONCATENATE("Year for ",E1,"")</f>
        <v>Year for 2013</v>
      </c>
    </row>
    <row r="6" spans="2:5" ht="15.75">
      <c r="B6" s="153" t="s">
        <v>851</v>
      </c>
      <c r="C6" s="469"/>
      <c r="D6" s="440">
        <f>C34</f>
        <v>0</v>
      </c>
      <c r="E6" s="259">
        <f>D34</f>
        <v>0</v>
      </c>
    </row>
    <row r="7" spans="2:5" ht="15.75">
      <c r="B7" s="284" t="s">
        <v>853</v>
      </c>
      <c r="C7" s="167"/>
      <c r="D7" s="167"/>
      <c r="E7" s="110"/>
    </row>
    <row r="8" spans="2:5" ht="15.75">
      <c r="B8" s="153" t="s">
        <v>724</v>
      </c>
      <c r="C8" s="469">
        <v>46708</v>
      </c>
      <c r="D8" s="440">
        <f>inputPrYr!E33</f>
        <v>53510</v>
      </c>
      <c r="E8" s="321" t="s">
        <v>711</v>
      </c>
    </row>
    <row r="9" spans="2:5" ht="15.75">
      <c r="B9" s="153" t="s">
        <v>725</v>
      </c>
      <c r="C9" s="469">
        <v>866</v>
      </c>
      <c r="D9" s="469"/>
      <c r="E9" s="94"/>
    </row>
    <row r="10" spans="2:5" ht="15.75">
      <c r="B10" s="153" t="s">
        <v>726</v>
      </c>
      <c r="C10" s="469">
        <v>4316</v>
      </c>
      <c r="D10" s="469">
        <v>3789</v>
      </c>
      <c r="E10" s="259">
        <f>mvalloc!E27</f>
        <v>3813</v>
      </c>
    </row>
    <row r="11" spans="2:5" ht="15.75">
      <c r="B11" s="153" t="s">
        <v>727</v>
      </c>
      <c r="C11" s="469">
        <v>71</v>
      </c>
      <c r="D11" s="469">
        <v>69</v>
      </c>
      <c r="E11" s="259">
        <f>mvalloc!F27</f>
        <v>61</v>
      </c>
    </row>
    <row r="12" spans="2:5" ht="15.75">
      <c r="B12" s="167" t="s">
        <v>802</v>
      </c>
      <c r="C12" s="469">
        <v>224</v>
      </c>
      <c r="D12" s="469">
        <v>237</v>
      </c>
      <c r="E12" s="259">
        <f>mvalloc!G27</f>
        <v>259</v>
      </c>
    </row>
    <row r="13" spans="2:5" ht="15.75">
      <c r="B13" s="311"/>
      <c r="C13" s="469"/>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52185</v>
      </c>
      <c r="D20" s="443">
        <f>SUM(D8:D18)</f>
        <v>57605</v>
      </c>
      <c r="E20" s="348">
        <f>SUM(E8:E18)</f>
        <v>4133</v>
      </c>
    </row>
    <row r="21" spans="2:5" ht="15.75">
      <c r="B21" s="302" t="s">
        <v>733</v>
      </c>
      <c r="C21" s="443">
        <f>C6+C20</f>
        <v>52185</v>
      </c>
      <c r="D21" s="443">
        <f>D6+D20</f>
        <v>57605</v>
      </c>
      <c r="E21" s="348">
        <f>E6+E20</f>
        <v>4133</v>
      </c>
    </row>
    <row r="22" spans="2:5" ht="15.75">
      <c r="B22" s="153" t="s">
        <v>736</v>
      </c>
      <c r="C22" s="300"/>
      <c r="D22" s="300"/>
      <c r="E22" s="163"/>
    </row>
    <row r="23" spans="2:5" ht="15.75">
      <c r="B23" s="311" t="s">
        <v>447</v>
      </c>
      <c r="C23" s="469">
        <v>52185</v>
      </c>
      <c r="D23" s="469">
        <v>57605</v>
      </c>
      <c r="E23" s="94">
        <v>60205</v>
      </c>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Nhood!E23</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52185</v>
      </c>
      <c r="D33" s="443">
        <f>SUM(D23:D31)</f>
        <v>57605</v>
      </c>
      <c r="E33" s="348">
        <f>SUM(E23:E31)</f>
        <v>60205</v>
      </c>
      <c r="G33" s="645">
        <f>D34</f>
        <v>0</v>
      </c>
      <c r="H33" s="646" t="str">
        <f>CONCATENATE("",E1-1," Ending Cash Balance (est.)")</f>
        <v>2012 Ending Cash Balance (est.)</v>
      </c>
      <c r="I33" s="647"/>
      <c r="J33" s="644"/>
    </row>
    <row r="34" spans="2:10" ht="15.75">
      <c r="B34" s="153" t="s">
        <v>852</v>
      </c>
      <c r="C34" s="438">
        <f>C21-C33</f>
        <v>0</v>
      </c>
      <c r="D34" s="438">
        <f>D21-D33</f>
        <v>0</v>
      </c>
      <c r="E34" s="321" t="s">
        <v>711</v>
      </c>
      <c r="G34" s="645">
        <f>E20</f>
        <v>4133</v>
      </c>
      <c r="H34" s="631" t="str">
        <f>CONCATENATE("",E1," Non-AV Receipts (est.)")</f>
        <v>2013 Non-AV Receipts (est.)</v>
      </c>
      <c r="I34" s="647"/>
      <c r="J34" s="644"/>
    </row>
    <row r="35" spans="2:11" ht="15.75">
      <c r="B35" s="281" t="str">
        <f>CONCATENATE("",$E$1-2,"/",$E$1-1," Budget Authority Amount:")</f>
        <v>2011/2012 Budget Authority Amount:</v>
      </c>
      <c r="C35" s="273">
        <f>inputOth!B46</f>
        <v>50580</v>
      </c>
      <c r="D35" s="273">
        <f>inputPrYr!D33</f>
        <v>57605</v>
      </c>
      <c r="E35" s="321" t="s">
        <v>711</v>
      </c>
      <c r="F35" s="314"/>
      <c r="G35" s="648">
        <f>IF(E39&gt;0,E38,E40)</f>
        <v>56072</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60205</v>
      </c>
      <c r="H36" s="631" t="str">
        <f>CONCATENATE("Total ",E1," Resources Available")</f>
        <v>Total 2013 Resources Available</v>
      </c>
      <c r="I36" s="647"/>
      <c r="J36" s="644"/>
    </row>
    <row r="37" spans="2:10" ht="15.75">
      <c r="B37" s="476" t="str">
        <f>CONCATENATE(C88,"     ",D88)</f>
        <v>See Tab A     </v>
      </c>
      <c r="C37" s="755" t="s">
        <v>70</v>
      </c>
      <c r="D37" s="756"/>
      <c r="E37" s="259">
        <f>E33+E36</f>
        <v>60205</v>
      </c>
      <c r="G37" s="649"/>
      <c r="H37" s="631"/>
      <c r="I37" s="631"/>
      <c r="J37" s="644"/>
    </row>
    <row r="38" spans="2:10" ht="15.75">
      <c r="B38" s="476" t="str">
        <f>CONCATENATE(C89,"      ",D89)</f>
        <v>      </v>
      </c>
      <c r="C38" s="315"/>
      <c r="D38" s="107" t="s">
        <v>738</v>
      </c>
      <c r="E38" s="98">
        <f>IF(E37-E21&gt;0,E37-E21,0)</f>
        <v>56072</v>
      </c>
      <c r="G38" s="648">
        <f>ROUND(C33*0.05+C33,0)</f>
        <v>54794</v>
      </c>
      <c r="H38" s="631" t="str">
        <f>CONCATENATE("Less ",E1-2," Expenditures + 5%")</f>
        <v>Less 2011 Expenditures + 5%</v>
      </c>
      <c r="I38" s="647"/>
      <c r="J38" s="664"/>
    </row>
    <row r="39" spans="2:10" ht="15.75">
      <c r="B39" s="107"/>
      <c r="C39" s="458" t="s">
        <v>71</v>
      </c>
      <c r="D39" s="687">
        <f>inputOth!$E$22</f>
        <v>0</v>
      </c>
      <c r="E39" s="259">
        <f>ROUND(IF(D39&gt;0,(E38*D39),0),0)</f>
        <v>0</v>
      </c>
      <c r="G39" s="650">
        <f>G36-G38</f>
        <v>5411</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56072</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6"/>
      <c r="C43" s="145"/>
      <c r="D43" s="145"/>
      <c r="E43" s="145"/>
      <c r="G43" s="657">
        <f>summ!H33</f>
        <v>0.5</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f>summ!E33</f>
        <v>0.5</v>
      </c>
      <c r="H44" s="646" t="str">
        <f>CONCATENATE("",E1-1," Fund Mill Rate")</f>
        <v>2012 Fund Mill Rate</v>
      </c>
      <c r="I44" s="655"/>
      <c r="J44" s="656"/>
    </row>
    <row r="45" spans="2:10" ht="15.75">
      <c r="B45" s="461" t="str">
        <f>inputPrYr!$B$34</f>
        <v>Hospital Board</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c r="D46" s="440">
        <f>C74</f>
        <v>0</v>
      </c>
      <c r="E46" s="259">
        <f>D74</f>
        <v>0</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v>551158</v>
      </c>
      <c r="D48" s="440">
        <f>inputPrYr!E34</f>
        <v>631418</v>
      </c>
      <c r="E48" s="321" t="s">
        <v>711</v>
      </c>
      <c r="G48" s="643"/>
      <c r="H48" s="643"/>
      <c r="I48" s="643"/>
      <c r="J48" s="643"/>
    </row>
    <row r="49" spans="2:10" ht="15.75">
      <c r="B49" s="153" t="s">
        <v>725</v>
      </c>
      <c r="C49" s="469">
        <v>10210</v>
      </c>
      <c r="D49" s="469"/>
      <c r="E49" s="94"/>
      <c r="G49" s="643"/>
      <c r="H49" s="643"/>
      <c r="I49" s="643"/>
      <c r="J49" s="643"/>
    </row>
    <row r="50" spans="2:10" ht="15.75">
      <c r="B50" s="153" t="s">
        <v>726</v>
      </c>
      <c r="C50" s="469">
        <v>50925</v>
      </c>
      <c r="D50" s="469">
        <v>44707</v>
      </c>
      <c r="E50" s="259">
        <f>mvalloc!E28</f>
        <v>44991</v>
      </c>
      <c r="G50" s="643"/>
      <c r="H50" s="643"/>
      <c r="I50" s="643"/>
      <c r="J50" s="643"/>
    </row>
    <row r="51" spans="2:10" ht="15.75">
      <c r="B51" s="153" t="s">
        <v>727</v>
      </c>
      <c r="C51" s="469">
        <v>842</v>
      </c>
      <c r="D51" s="469">
        <v>812</v>
      </c>
      <c r="E51" s="259">
        <f>mvalloc!F28</f>
        <v>724</v>
      </c>
      <c r="G51" s="643"/>
      <c r="H51" s="643"/>
      <c r="I51" s="643"/>
      <c r="J51" s="643"/>
    </row>
    <row r="52" spans="2:10" ht="15.75">
      <c r="B52" s="167" t="s">
        <v>802</v>
      </c>
      <c r="C52" s="469">
        <v>2641</v>
      </c>
      <c r="D52" s="469">
        <v>2795</v>
      </c>
      <c r="E52" s="259">
        <f>mvalloc!G28</f>
        <v>3060</v>
      </c>
      <c r="G52" s="643"/>
      <c r="H52" s="643"/>
      <c r="I52" s="643"/>
      <c r="J52" s="643"/>
    </row>
    <row r="53" spans="2:10" ht="15.75">
      <c r="B53" s="311"/>
      <c r="C53" s="469"/>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615776</v>
      </c>
      <c r="D60" s="443">
        <f>SUM(D48:D58)</f>
        <v>679732</v>
      </c>
      <c r="E60" s="348">
        <f>SUM(E48:E58)</f>
        <v>48775</v>
      </c>
      <c r="G60" s="643"/>
      <c r="H60" s="643"/>
      <c r="I60" s="643"/>
      <c r="J60" s="643"/>
    </row>
    <row r="61" spans="2:10" ht="15.75">
      <c r="B61" s="302" t="s">
        <v>733</v>
      </c>
      <c r="C61" s="443">
        <f>C46+C60</f>
        <v>615776</v>
      </c>
      <c r="D61" s="443">
        <f>D46+D60</f>
        <v>679732</v>
      </c>
      <c r="E61" s="348">
        <f>E46+E60</f>
        <v>48775</v>
      </c>
      <c r="G61" s="643"/>
      <c r="H61" s="643"/>
      <c r="I61" s="643"/>
      <c r="J61" s="643"/>
    </row>
    <row r="62" spans="2:10" ht="15.75">
      <c r="B62" s="153" t="s">
        <v>736</v>
      </c>
      <c r="C62" s="300"/>
      <c r="D62" s="300"/>
      <c r="E62" s="163"/>
      <c r="G62" s="643"/>
      <c r="H62" s="643"/>
      <c r="I62" s="643"/>
      <c r="J62" s="643"/>
    </row>
    <row r="63" spans="2:10" ht="15.75">
      <c r="B63" s="311" t="s">
        <v>451</v>
      </c>
      <c r="C63" s="469">
        <v>615776</v>
      </c>
      <c r="D63" s="469">
        <v>679732</v>
      </c>
      <c r="E63" s="94">
        <v>710422</v>
      </c>
      <c r="G63" s="643"/>
      <c r="H63" s="643"/>
      <c r="I63" s="643"/>
      <c r="J63" s="643"/>
    </row>
    <row r="64" spans="2:10" ht="15.75">
      <c r="B64" s="311"/>
      <c r="C64" s="469"/>
      <c r="D64" s="469"/>
      <c r="E64" s="94"/>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v>0</v>
      </c>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Nhood!E24</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615776</v>
      </c>
      <c r="D73" s="443">
        <f>SUM(D63:D71)</f>
        <v>679732</v>
      </c>
      <c r="E73" s="348">
        <f>SUM(E63:E71)</f>
        <v>710422</v>
      </c>
      <c r="G73" s="645">
        <f>D74</f>
        <v>0</v>
      </c>
      <c r="H73" s="646" t="str">
        <f>CONCATENATE("",E1-1," Ending Cash Balance (est.)")</f>
        <v>2012 Ending Cash Balance (est.)</v>
      </c>
      <c r="I73" s="647"/>
      <c r="J73" s="664"/>
    </row>
    <row r="74" spans="2:10" ht="15.75">
      <c r="B74" s="153" t="s">
        <v>852</v>
      </c>
      <c r="C74" s="438">
        <f>C61-C73</f>
        <v>0</v>
      </c>
      <c r="D74" s="438">
        <f>D61-D73</f>
        <v>0</v>
      </c>
      <c r="E74" s="321" t="s">
        <v>711</v>
      </c>
      <c r="G74" s="645">
        <f>E60</f>
        <v>48775</v>
      </c>
      <c r="H74" s="631" t="str">
        <f>CONCATENATE("",E1," Non-AV Receipts (est.)")</f>
        <v>2013 Non-AV Receipts (est.)</v>
      </c>
      <c r="I74" s="647"/>
      <c r="J74" s="664"/>
    </row>
    <row r="75" spans="2:11" ht="15.75">
      <c r="B75" s="281" t="str">
        <f>CONCATENATE("",$E$1-2,"/",$E$1-1," Budget Authority Amount:")</f>
        <v>2011/2012 Budget Authority Amount:</v>
      </c>
      <c r="C75" s="273">
        <f>inputOth!B47</f>
        <v>596841</v>
      </c>
      <c r="D75" s="273">
        <f>inputPrYr!D34</f>
        <v>679732</v>
      </c>
      <c r="E75" s="321" t="s">
        <v>711</v>
      </c>
      <c r="F75" s="314"/>
      <c r="G75" s="648">
        <f>IF(E79&gt;0,E78,E80)</f>
        <v>661647</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710422</v>
      </c>
      <c r="H76" s="631" t="str">
        <f>CONCATENATE("Total ",E1," Resources Available")</f>
        <v>Total 2013 Resources Available</v>
      </c>
      <c r="I76" s="666"/>
      <c r="J76" s="664"/>
    </row>
    <row r="77" spans="2:10" ht="15.75">
      <c r="B77" s="476" t="str">
        <f>CONCATENATE(C90,"      ",D90)</f>
        <v>See Tab A      </v>
      </c>
      <c r="C77" s="755" t="s">
        <v>70</v>
      </c>
      <c r="D77" s="756"/>
      <c r="E77" s="259">
        <f>E73+E76</f>
        <v>710422</v>
      </c>
      <c r="G77" s="667"/>
      <c r="H77" s="668"/>
      <c r="I77" s="630"/>
      <c r="J77" s="664"/>
    </row>
    <row r="78" spans="2:10" ht="15.75">
      <c r="B78" s="476" t="str">
        <f>CONCATENATE(C91,"      ",D91)</f>
        <v>      </v>
      </c>
      <c r="C78" s="315"/>
      <c r="D78" s="107" t="s">
        <v>738</v>
      </c>
      <c r="E78" s="98">
        <f>IF(E77-E61&gt;0,E77-E61,0)</f>
        <v>661647</v>
      </c>
      <c r="G78" s="669">
        <f>ROUND(C73*0.05+C73,0)</f>
        <v>646565</v>
      </c>
      <c r="H78" s="631" t="str">
        <f>CONCATENATE("Less ",E1-2," Expenditures + 5%")</f>
        <v>Less 2011 Expenditures + 5%</v>
      </c>
      <c r="I78" s="666"/>
      <c r="J78" s="664"/>
    </row>
    <row r="79" spans="2:10" ht="15.75">
      <c r="B79" s="107"/>
      <c r="C79" s="458" t="s">
        <v>71</v>
      </c>
      <c r="D79" s="687">
        <f>inputOth!$E$22</f>
        <v>0</v>
      </c>
      <c r="E79" s="259">
        <f>ROUND(IF(D79&gt;0,(E78*D79),0),0)</f>
        <v>0</v>
      </c>
      <c r="G79" s="670">
        <f>G76-G78</f>
        <v>63857</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661647</v>
      </c>
      <c r="G80" s="643"/>
      <c r="H80" s="643"/>
      <c r="I80" s="643"/>
      <c r="J80" s="643"/>
    </row>
    <row r="81" spans="2:10" ht="15.75">
      <c r="B81" s="316" t="s">
        <v>762</v>
      </c>
      <c r="C81" s="334">
        <v>17</v>
      </c>
      <c r="D81" s="67"/>
      <c r="E81" s="67"/>
      <c r="G81" s="757" t="s">
        <v>201</v>
      </c>
      <c r="H81" s="758"/>
      <c r="I81" s="758"/>
      <c r="J81" s="759"/>
    </row>
    <row r="82" spans="7:10" ht="15.75">
      <c r="G82" s="654"/>
      <c r="H82" s="646"/>
      <c r="I82" s="655"/>
      <c r="J82" s="656"/>
    </row>
    <row r="83" spans="7:10" ht="15.75">
      <c r="G83" s="657">
        <f>summ!H34</f>
        <v>5.9</v>
      </c>
      <c r="H83" s="646" t="str">
        <f>CONCATENATE("",E1," Fund Mill Rate")</f>
        <v>2013 Fund Mill Rate</v>
      </c>
      <c r="I83" s="655"/>
      <c r="J83" s="656"/>
    </row>
    <row r="84" spans="7:10" ht="15.75">
      <c r="G84" s="658">
        <f>summ!E34</f>
        <v>5.9</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t="str">
        <f>IF(C33&gt;C35,"See Tab A","")</f>
        <v>See Tab A</v>
      </c>
      <c r="D88" s="52">
        <f>IF(D33&gt;D35,"See Tab C","")</f>
      </c>
    </row>
    <row r="89" spans="3:4" ht="15.75" hidden="1">
      <c r="C89" s="52">
        <f>IF(C34&lt;0,"See Tab B","")</f>
      </c>
      <c r="D89" s="52">
        <f>IF(D34&lt;0,"See Tab D","")</f>
      </c>
    </row>
    <row r="90" spans="3:4" ht="15.75" hidden="1">
      <c r="C90" s="52" t="str">
        <f>IF(C73&gt;C75,"See Tab A","")</f>
        <v>See Tab A</v>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34 C7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34 D7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C36" sqref="C36:D36"/>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t="str">
        <f>inputPrYr!$B$35</f>
        <v>Economic Development</v>
      </c>
      <c r="C5" s="441" t="str">
        <f>CONCATENATE("Actual for ",E1-2,"")</f>
        <v>Actual for 2011</v>
      </c>
      <c r="D5" s="441" t="str">
        <f>CONCATENATE("Estimate for ",E1-1,"")</f>
        <v>Estimate for 2012</v>
      </c>
      <c r="E5" s="294" t="str">
        <f>CONCATENATE("Year for ",E1,"")</f>
        <v>Year for 2013</v>
      </c>
    </row>
    <row r="6" spans="2:5" ht="15.75">
      <c r="B6" s="153" t="s">
        <v>851</v>
      </c>
      <c r="C6" s="469">
        <v>174949</v>
      </c>
      <c r="D6" s="440">
        <f>C34</f>
        <v>193145</v>
      </c>
      <c r="E6" s="259">
        <f>D34</f>
        <v>193145</v>
      </c>
    </row>
    <row r="7" spans="2:5" ht="15.75">
      <c r="B7" s="284" t="s">
        <v>853</v>
      </c>
      <c r="C7" s="167"/>
      <c r="D7" s="167"/>
      <c r="E7" s="110"/>
    </row>
    <row r="8" spans="2:5" ht="15.75">
      <c r="B8" s="153" t="s">
        <v>724</v>
      </c>
      <c r="C8" s="469"/>
      <c r="D8" s="440">
        <f>inputPrYr!E35</f>
        <v>0</v>
      </c>
      <c r="E8" s="321" t="s">
        <v>711</v>
      </c>
    </row>
    <row r="9" spans="2:5" ht="15.75">
      <c r="B9" s="153" t="s">
        <v>725</v>
      </c>
      <c r="C9" s="469"/>
      <c r="D9" s="469"/>
      <c r="E9" s="94"/>
    </row>
    <row r="10" spans="2:5" ht="15.75">
      <c r="B10" s="153" t="s">
        <v>726</v>
      </c>
      <c r="C10" s="469"/>
      <c r="D10" s="469"/>
      <c r="E10" s="259" t="str">
        <f>mvalloc!E29</f>
        <v>  </v>
      </c>
    </row>
    <row r="11" spans="2:5" ht="15.75">
      <c r="B11" s="153" t="s">
        <v>727</v>
      </c>
      <c r="C11" s="469"/>
      <c r="D11" s="469"/>
      <c r="E11" s="259" t="str">
        <f>mvalloc!F29</f>
        <v>  </v>
      </c>
    </row>
    <row r="12" spans="2:5" ht="15.75">
      <c r="B12" s="167" t="s">
        <v>802</v>
      </c>
      <c r="C12" s="469"/>
      <c r="D12" s="469"/>
      <c r="E12" s="259" t="str">
        <f>mvalloc!G29</f>
        <v>  </v>
      </c>
    </row>
    <row r="13" spans="2:5" ht="15.75">
      <c r="B13" s="311" t="s">
        <v>441</v>
      </c>
      <c r="C13" s="469">
        <v>133111</v>
      </c>
      <c r="D13" s="469">
        <v>100000</v>
      </c>
      <c r="E13" s="94">
        <v>100000</v>
      </c>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133111</v>
      </c>
      <c r="D20" s="443">
        <f>SUM(D8:D18)</f>
        <v>100000</v>
      </c>
      <c r="E20" s="348">
        <f>SUM(E8:E18)</f>
        <v>100000</v>
      </c>
    </row>
    <row r="21" spans="2:5" ht="15.75">
      <c r="B21" s="302" t="s">
        <v>733</v>
      </c>
      <c r="C21" s="443">
        <f>C6+C20</f>
        <v>308060</v>
      </c>
      <c r="D21" s="443">
        <f>D6+D20</f>
        <v>293145</v>
      </c>
      <c r="E21" s="348">
        <f>E6+E20</f>
        <v>293145</v>
      </c>
    </row>
    <row r="22" spans="2:5" ht="15.75">
      <c r="B22" s="153" t="s">
        <v>736</v>
      </c>
      <c r="C22" s="300"/>
      <c r="D22" s="300"/>
      <c r="E22" s="163"/>
    </row>
    <row r="23" spans="2:5" ht="15.75">
      <c r="B23" s="311" t="s">
        <v>454</v>
      </c>
      <c r="C23" s="469">
        <v>91147</v>
      </c>
      <c r="D23" s="469">
        <v>80000</v>
      </c>
      <c r="E23" s="94">
        <v>80000</v>
      </c>
    </row>
    <row r="24" spans="2:10" ht="15.75">
      <c r="B24" s="311" t="s">
        <v>445</v>
      </c>
      <c r="C24" s="469">
        <v>23768</v>
      </c>
      <c r="D24" s="469">
        <v>20000</v>
      </c>
      <c r="E24" s="94">
        <v>20000</v>
      </c>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Nhood!E25</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114915</v>
      </c>
      <c r="D33" s="443">
        <f>SUM(D23:D31)</f>
        <v>100000</v>
      </c>
      <c r="E33" s="348">
        <f>SUM(E23:E31)</f>
        <v>100000</v>
      </c>
      <c r="G33" s="645">
        <f>D34</f>
        <v>193145</v>
      </c>
      <c r="H33" s="646" t="str">
        <f>CONCATENATE("",E1-1," Ending Cash Balance (est.)")</f>
        <v>2012 Ending Cash Balance (est.)</v>
      </c>
      <c r="I33" s="647"/>
      <c r="J33" s="644"/>
    </row>
    <row r="34" spans="2:10" ht="15.75">
      <c r="B34" s="153" t="s">
        <v>852</v>
      </c>
      <c r="C34" s="438">
        <f>C21-C33</f>
        <v>193145</v>
      </c>
      <c r="D34" s="438">
        <f>D21-D33</f>
        <v>193145</v>
      </c>
      <c r="E34" s="321" t="s">
        <v>711</v>
      </c>
      <c r="G34" s="645">
        <f>E20</f>
        <v>100000</v>
      </c>
      <c r="H34" s="631" t="str">
        <f>CONCATENATE("",E1," Non-AV Receipts (est.)")</f>
        <v>2013 Non-AV Receipts (est.)</v>
      </c>
      <c r="I34" s="647"/>
      <c r="J34" s="644"/>
    </row>
    <row r="35" spans="2:11" ht="15.75">
      <c r="B35" s="281" t="str">
        <f>CONCATENATE("",$E$1-2,"/",$E$1-1," Budget Authority Amount:")</f>
        <v>2011/2012 Budget Authority Amount:</v>
      </c>
      <c r="C35" s="273">
        <f>inputOth!B48</f>
        <v>100000</v>
      </c>
      <c r="D35" s="273">
        <f>inputPrYr!D35</f>
        <v>100000</v>
      </c>
      <c r="E35" s="321" t="s">
        <v>711</v>
      </c>
      <c r="F35" s="314"/>
      <c r="G35" s="648">
        <f>IF(E39&gt;0,E38,E40)</f>
        <v>0</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293145</v>
      </c>
      <c r="H36" s="631" t="str">
        <f>CONCATENATE("Total ",E1," Resources Available")</f>
        <v>Total 2013 Resources Available</v>
      </c>
      <c r="I36" s="647"/>
      <c r="J36" s="644"/>
    </row>
    <row r="37" spans="2:10" ht="15.75">
      <c r="B37" s="476" t="str">
        <f>CONCATENATE(C88,"     ",D88)</f>
        <v>See Tab A     </v>
      </c>
      <c r="C37" s="755" t="s">
        <v>70</v>
      </c>
      <c r="D37" s="756"/>
      <c r="E37" s="98">
        <f>E33+E36</f>
        <v>100000</v>
      </c>
      <c r="G37" s="649"/>
      <c r="H37" s="631"/>
      <c r="I37" s="631"/>
      <c r="J37" s="644"/>
    </row>
    <row r="38" spans="2:10" ht="15.75">
      <c r="B38" s="476" t="str">
        <f>CONCATENATE(C89,"      ",D89)</f>
        <v>      </v>
      </c>
      <c r="C38" s="315"/>
      <c r="D38" s="107" t="s">
        <v>738</v>
      </c>
      <c r="E38" s="98">
        <f>IF(E37-E21&gt;0,E37-E21,0)</f>
        <v>0</v>
      </c>
      <c r="G38" s="648">
        <f>ROUND(C33*0.05+C33,0)</f>
        <v>120661</v>
      </c>
      <c r="H38" s="631" t="str">
        <f>CONCATENATE("Less ",E1-2," Expenditures + 5%")</f>
        <v>Less 2011 Expenditures + 5%</v>
      </c>
      <c r="I38" s="647"/>
      <c r="J38" s="664"/>
    </row>
    <row r="39" spans="2:10" ht="15.75">
      <c r="B39" s="107"/>
      <c r="C39" s="458" t="s">
        <v>71</v>
      </c>
      <c r="D39" s="687">
        <f>inputOth!$E$22</f>
        <v>0</v>
      </c>
      <c r="E39" s="259">
        <f>ROUND(IF(D39&gt;0,(E38*D39),0),0)</f>
        <v>0</v>
      </c>
      <c r="G39" s="650">
        <f>G36-G38</f>
        <v>172484</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0</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t="str">
        <f>summ!H35</f>
        <v>  </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t="str">
        <f>summ!E35</f>
        <v>  </v>
      </c>
      <c r="H44" s="646" t="str">
        <f>CONCATENATE("",E1-1," Fund Mill Rate")</f>
        <v>2012 Fund Mill Rate</v>
      </c>
      <c r="I44" s="655"/>
      <c r="J44" s="656"/>
    </row>
    <row r="45" spans="2:10" ht="15.75">
      <c r="B45" s="461">
        <f>inputPrYr!$B$36</f>
        <v>0</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c r="D46" s="440">
        <f>C74</f>
        <v>0</v>
      </c>
      <c r="E46" s="259">
        <f>D74</f>
        <v>0</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c r="D48" s="440">
        <f>inputPrYr!E36</f>
        <v>0</v>
      </c>
      <c r="E48" s="321" t="s">
        <v>711</v>
      </c>
      <c r="G48" s="643"/>
      <c r="H48" s="643"/>
      <c r="I48" s="643"/>
      <c r="J48" s="643"/>
    </row>
    <row r="49" spans="2:10" ht="15.75">
      <c r="B49" s="153" t="s">
        <v>725</v>
      </c>
      <c r="C49" s="469"/>
      <c r="D49" s="469"/>
      <c r="E49" s="94"/>
      <c r="G49" s="643"/>
      <c r="H49" s="643"/>
      <c r="I49" s="643"/>
      <c r="J49" s="643"/>
    </row>
    <row r="50" spans="2:10" ht="15.75">
      <c r="B50" s="153" t="s">
        <v>726</v>
      </c>
      <c r="C50" s="469"/>
      <c r="D50" s="469"/>
      <c r="E50" s="259" t="str">
        <f>mvalloc!E30</f>
        <v>  </v>
      </c>
      <c r="G50" s="643"/>
      <c r="H50" s="643"/>
      <c r="I50" s="643"/>
      <c r="J50" s="643"/>
    </row>
    <row r="51" spans="2:10" ht="15.75">
      <c r="B51" s="153" t="s">
        <v>727</v>
      </c>
      <c r="C51" s="469"/>
      <c r="D51" s="469"/>
      <c r="E51" s="259" t="str">
        <f>mvalloc!F30</f>
        <v>  </v>
      </c>
      <c r="G51" s="643"/>
      <c r="H51" s="643"/>
      <c r="I51" s="643"/>
      <c r="J51" s="643"/>
    </row>
    <row r="52" spans="2:10" ht="15.75">
      <c r="B52" s="167" t="s">
        <v>802</v>
      </c>
      <c r="C52" s="469"/>
      <c r="D52" s="469"/>
      <c r="E52" s="259" t="str">
        <f>mvalloc!G30</f>
        <v>  </v>
      </c>
      <c r="G52" s="643"/>
      <c r="H52" s="643"/>
      <c r="I52" s="643"/>
      <c r="J52" s="643"/>
    </row>
    <row r="53" spans="2:10" ht="15.75">
      <c r="B53" s="311"/>
      <c r="C53" s="469"/>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299"/>
      <c r="C56" s="469"/>
      <c r="D56" s="469"/>
      <c r="E56" s="94"/>
      <c r="G56" s="643"/>
      <c r="H56" s="643"/>
      <c r="I56" s="643"/>
      <c r="J56" s="643"/>
    </row>
    <row r="57" spans="2:10" ht="15.75">
      <c r="B57" s="299" t="s">
        <v>731</v>
      </c>
      <c r="C57" s="469"/>
      <c r="D57" s="469"/>
      <c r="E57" s="88"/>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0</v>
      </c>
      <c r="D60" s="443">
        <f>SUM(D48:D58)</f>
        <v>0</v>
      </c>
      <c r="E60" s="348">
        <f>SUM(E48:E58)</f>
        <v>0</v>
      </c>
      <c r="G60" s="643"/>
      <c r="H60" s="643"/>
      <c r="I60" s="643"/>
      <c r="J60" s="643"/>
    </row>
    <row r="61" spans="2:10" ht="15.75">
      <c r="B61" s="302" t="s">
        <v>733</v>
      </c>
      <c r="C61" s="443">
        <f>C46+C60</f>
        <v>0</v>
      </c>
      <c r="D61" s="443">
        <f>D46+D60</f>
        <v>0</v>
      </c>
      <c r="E61" s="348">
        <f>E46+E60</f>
        <v>0</v>
      </c>
      <c r="G61" s="643"/>
      <c r="H61" s="643"/>
      <c r="I61" s="643"/>
      <c r="J61" s="643"/>
    </row>
    <row r="62" spans="2:10" ht="15.75">
      <c r="B62" s="153" t="s">
        <v>736</v>
      </c>
      <c r="C62" s="300"/>
      <c r="D62" s="300"/>
      <c r="E62" s="163"/>
      <c r="G62" s="643"/>
      <c r="H62" s="643"/>
      <c r="I62" s="643"/>
      <c r="J62" s="643"/>
    </row>
    <row r="63" spans="2:10" ht="15.75">
      <c r="B63" s="311"/>
      <c r="C63" s="469"/>
      <c r="D63" s="469"/>
      <c r="E63" s="94"/>
      <c r="G63" s="643"/>
      <c r="H63" s="643"/>
      <c r="I63" s="643"/>
      <c r="J63" s="643"/>
    </row>
    <row r="64" spans="2:10" ht="15.75">
      <c r="B64" s="311"/>
      <c r="C64" s="469"/>
      <c r="D64" s="469"/>
      <c r="E64" s="94"/>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v>0</v>
      </c>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Nhood!E26</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0</v>
      </c>
      <c r="D73" s="443">
        <f>SUM(D63:D71)</f>
        <v>0</v>
      </c>
      <c r="E73" s="348">
        <f>SUM(E63:E71)</f>
        <v>0</v>
      </c>
      <c r="G73" s="645">
        <f>D74</f>
        <v>0</v>
      </c>
      <c r="H73" s="646" t="str">
        <f>CONCATENATE("",E1-1," Ending Cash Balance (est.)")</f>
        <v>2012 Ending Cash Balance (est.)</v>
      </c>
      <c r="I73" s="647"/>
      <c r="J73" s="664"/>
    </row>
    <row r="74" spans="2:10" ht="15.75">
      <c r="B74" s="153" t="s">
        <v>852</v>
      </c>
      <c r="C74" s="438">
        <f>C61-C73</f>
        <v>0</v>
      </c>
      <c r="D74" s="438">
        <f>D61-D73</f>
        <v>0</v>
      </c>
      <c r="E74" s="321" t="s">
        <v>711</v>
      </c>
      <c r="G74" s="645">
        <f>E60</f>
        <v>0</v>
      </c>
      <c r="H74" s="631" t="str">
        <f>CONCATENATE("",E1," Non-AV Receipts (est.)")</f>
        <v>2013 Non-AV Receipts (est.)</v>
      </c>
      <c r="I74" s="647"/>
      <c r="J74" s="664"/>
    </row>
    <row r="75" spans="2:11" ht="15.75">
      <c r="B75" s="281" t="str">
        <f>CONCATENATE("",$E$1-2,"/",$E$1-1," Budget Authority Amount:")</f>
        <v>2011/2012 Budget Authority Amount:</v>
      </c>
      <c r="C75" s="273">
        <f>inputOth!B49</f>
        <v>0</v>
      </c>
      <c r="D75" s="273">
        <f>inputPrYr!D36</f>
        <v>0</v>
      </c>
      <c r="E75" s="321" t="s">
        <v>711</v>
      </c>
      <c r="F75" s="314"/>
      <c r="G75" s="648">
        <f>IF(E79&gt;0,E78,E80)</f>
        <v>0</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0</v>
      </c>
      <c r="H76" s="631" t="str">
        <f>CONCATENATE("Total ",E1," Resources Available")</f>
        <v>Total 2013 Resources Available</v>
      </c>
      <c r="I76" s="666"/>
      <c r="J76" s="664"/>
    </row>
    <row r="77" spans="2:10" ht="15.75">
      <c r="B77" s="476" t="str">
        <f>CONCATENATE(C90,"      ",D90)</f>
        <v>      </v>
      </c>
      <c r="C77" s="755" t="s">
        <v>70</v>
      </c>
      <c r="D77" s="756"/>
      <c r="E77" s="259">
        <f>E73+E76</f>
        <v>0</v>
      </c>
      <c r="G77" s="667"/>
      <c r="H77" s="668"/>
      <c r="I77" s="630"/>
      <c r="J77" s="664"/>
    </row>
    <row r="78" spans="2:10" ht="15.75">
      <c r="B78" s="476" t="str">
        <f>CONCATENATE(C91,"      ",D91)</f>
        <v>      </v>
      </c>
      <c r="C78" s="315"/>
      <c r="D78" s="107" t="s">
        <v>738</v>
      </c>
      <c r="E78" s="98">
        <f>IF(E77-E61&gt;0,E77-E61,0)</f>
        <v>0</v>
      </c>
      <c r="G78" s="669">
        <f>ROUND(C73*0.05+C73,0)</f>
        <v>0</v>
      </c>
      <c r="H78" s="631" t="str">
        <f>CONCATENATE("Less ",E1-2," Expenditures + 5%")</f>
        <v>Less 2011 Expenditures + 5%</v>
      </c>
      <c r="I78" s="666"/>
      <c r="J78" s="664"/>
    </row>
    <row r="79" spans="2:10" ht="15.75">
      <c r="B79" s="107"/>
      <c r="C79" s="458" t="s">
        <v>71</v>
      </c>
      <c r="D79" s="687">
        <f>inputOth!$E$22</f>
        <v>0</v>
      </c>
      <c r="E79" s="259">
        <f>ROUND(IF(D79&gt;0,(E78*D79),0),0)</f>
        <v>0</v>
      </c>
      <c r="G79" s="670">
        <f>G76-G78</f>
        <v>0</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0</v>
      </c>
      <c r="G80" s="643"/>
      <c r="H80" s="643"/>
      <c r="I80" s="643"/>
      <c r="J80" s="643"/>
    </row>
    <row r="81" spans="2:10" ht="15.75">
      <c r="B81" s="316" t="s">
        <v>762</v>
      </c>
      <c r="C81" s="334">
        <v>18</v>
      </c>
      <c r="D81" s="67"/>
      <c r="E81" s="67"/>
      <c r="G81" s="757" t="s">
        <v>201</v>
      </c>
      <c r="H81" s="758"/>
      <c r="I81" s="758"/>
      <c r="J81" s="759"/>
    </row>
    <row r="82" spans="7:10" ht="15.75">
      <c r="G82" s="654"/>
      <c r="H82" s="646"/>
      <c r="I82" s="655"/>
      <c r="J82" s="656"/>
    </row>
    <row r="83" spans="7:10" ht="15.75">
      <c r="G83" s="657" t="str">
        <f>summ!H36</f>
        <v>  </v>
      </c>
      <c r="H83" s="646" t="str">
        <f>CONCATENATE("",E1," Fund Mill Rate")</f>
        <v>2013 Fund Mill Rate</v>
      </c>
      <c r="I83" s="655"/>
      <c r="J83" s="656"/>
    </row>
    <row r="84" spans="7:10" ht="15.75">
      <c r="G84" s="658" t="str">
        <f>summ!E36</f>
        <v>  </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t="str">
        <f>IF(C33&gt;C35,"See Tab A","")</f>
        <v>See Tab A</v>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74 C3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74 D34">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3"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H78" sqref="H78:H79"/>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200">
        <f>inputPrYr!B37</f>
        <v>0</v>
      </c>
      <c r="C5" s="441" t="str">
        <f>CONCATENATE("Actual for ",E1-2,"")</f>
        <v>Actual for 2011</v>
      </c>
      <c r="D5" s="441" t="str">
        <f>CONCATENATE("Estimate for ",E1-1,"")</f>
        <v>Estimate for 2012</v>
      </c>
      <c r="E5" s="294" t="str">
        <f>CONCATENATE("Year for ",E1,"")</f>
        <v>Year for 2013</v>
      </c>
    </row>
    <row r="6" spans="2:5" ht="15.75">
      <c r="B6" s="153" t="s">
        <v>851</v>
      </c>
      <c r="C6" s="469"/>
      <c r="D6" s="440">
        <f>C34</f>
        <v>0</v>
      </c>
      <c r="E6" s="259">
        <f>D34</f>
        <v>0</v>
      </c>
    </row>
    <row r="7" spans="2:5" ht="15.75">
      <c r="B7" s="284" t="s">
        <v>853</v>
      </c>
      <c r="C7" s="167"/>
      <c r="D7" s="167"/>
      <c r="E7" s="110"/>
    </row>
    <row r="8" spans="2:5" ht="15.75">
      <c r="B8" s="153" t="s">
        <v>724</v>
      </c>
      <c r="C8" s="469"/>
      <c r="D8" s="440">
        <f>inputPrYr!E37</f>
        <v>0</v>
      </c>
      <c r="E8" s="321" t="s">
        <v>711</v>
      </c>
    </row>
    <row r="9" spans="2:5" ht="15.75">
      <c r="B9" s="153" t="s">
        <v>725</v>
      </c>
      <c r="C9" s="469"/>
      <c r="D9" s="469"/>
      <c r="E9" s="94"/>
    </row>
    <row r="10" spans="2:5" ht="15.75">
      <c r="B10" s="153" t="s">
        <v>726</v>
      </c>
      <c r="C10" s="469"/>
      <c r="D10" s="469"/>
      <c r="E10" s="259" t="str">
        <f>mvalloc!E31</f>
        <v>  </v>
      </c>
    </row>
    <row r="11" spans="2:5" ht="15.75">
      <c r="B11" s="153" t="s">
        <v>727</v>
      </c>
      <c r="C11" s="469"/>
      <c r="D11" s="469"/>
      <c r="E11" s="259" t="str">
        <f>mvalloc!F31</f>
        <v>  </v>
      </c>
    </row>
    <row r="12" spans="2:5" ht="15.75">
      <c r="B12" s="167" t="s">
        <v>802</v>
      </c>
      <c r="C12" s="469"/>
      <c r="D12" s="469"/>
      <c r="E12" s="259" t="str">
        <f>mvalloc!G31</f>
        <v>  </v>
      </c>
    </row>
    <row r="13" spans="2:5" ht="15.75">
      <c r="B13" s="311"/>
      <c r="C13" s="469"/>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0</v>
      </c>
      <c r="D20" s="443">
        <f>SUM(D8:D18)</f>
        <v>0</v>
      </c>
      <c r="E20" s="348">
        <f>SUM(E8:E18)</f>
        <v>0</v>
      </c>
    </row>
    <row r="21" spans="2:5" ht="15.75">
      <c r="B21" s="302" t="s">
        <v>733</v>
      </c>
      <c r="C21" s="443">
        <f>C6+C20</f>
        <v>0</v>
      </c>
      <c r="D21" s="443">
        <f>D6+D20</f>
        <v>0</v>
      </c>
      <c r="E21" s="348">
        <f>E6+E20</f>
        <v>0</v>
      </c>
    </row>
    <row r="22" spans="2:5" ht="15.75">
      <c r="B22" s="153" t="s">
        <v>736</v>
      </c>
      <c r="C22" s="300"/>
      <c r="D22" s="300"/>
      <c r="E22" s="163"/>
    </row>
    <row r="23" spans="2:5" ht="15.75">
      <c r="B23" s="311"/>
      <c r="C23" s="469"/>
      <c r="D23" s="469"/>
      <c r="E23" s="94"/>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Nhood!E27</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0</v>
      </c>
      <c r="D33" s="443">
        <f>SUM(D23:D31)</f>
        <v>0</v>
      </c>
      <c r="E33" s="348">
        <f>SUM(E23:E31)</f>
        <v>0</v>
      </c>
      <c r="G33" s="645">
        <f>D34</f>
        <v>0</v>
      </c>
      <c r="H33" s="646" t="str">
        <f>CONCATENATE("",E1-1," Ending Cash Balance (est.)")</f>
        <v>2012 Ending Cash Balance (est.)</v>
      </c>
      <c r="I33" s="647"/>
      <c r="J33" s="644"/>
    </row>
    <row r="34" spans="2:10" ht="15.75">
      <c r="B34" s="153" t="s">
        <v>852</v>
      </c>
      <c r="C34" s="438">
        <f>C21-C33</f>
        <v>0</v>
      </c>
      <c r="D34" s="438">
        <f>D21-D33</f>
        <v>0</v>
      </c>
      <c r="E34" s="321" t="s">
        <v>711</v>
      </c>
      <c r="G34" s="645">
        <f>E20</f>
        <v>0</v>
      </c>
      <c r="H34" s="631" t="str">
        <f>CONCATENATE("",E1," Non-AV Receipts (est.)")</f>
        <v>2013 Non-AV Receipts (est.)</v>
      </c>
      <c r="I34" s="647"/>
      <c r="J34" s="644"/>
    </row>
    <row r="35" spans="2:11" ht="15.75">
      <c r="B35" s="281" t="str">
        <f>CONCATENATE("",$E$1-2,"/",$E$1-1," Budget Authority Amount:")</f>
        <v>2011/2012 Budget Authority Amount:</v>
      </c>
      <c r="C35" s="273">
        <f>inputOth!B50</f>
        <v>0</v>
      </c>
      <c r="D35" s="273">
        <f>inputPrYr!D37</f>
        <v>0</v>
      </c>
      <c r="E35" s="321" t="s">
        <v>711</v>
      </c>
      <c r="F35" s="314"/>
      <c r="G35" s="648">
        <f>IF(E39&gt;0,E38,E40)</f>
        <v>0</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0</v>
      </c>
      <c r="H36" s="631" t="str">
        <f>CONCATENATE("Total ",E1," Resources Available")</f>
        <v>Total 2013 Resources Available</v>
      </c>
      <c r="I36" s="647"/>
      <c r="J36" s="644"/>
    </row>
    <row r="37" spans="2:10" ht="15.75">
      <c r="B37" s="476" t="str">
        <f>CONCATENATE(C88,"     ",D88)</f>
        <v>     </v>
      </c>
      <c r="C37" s="755" t="s">
        <v>70</v>
      </c>
      <c r="D37" s="756"/>
      <c r="E37" s="259">
        <f>E33+E36</f>
        <v>0</v>
      </c>
      <c r="G37" s="649"/>
      <c r="H37" s="631"/>
      <c r="I37" s="631"/>
      <c r="J37" s="644"/>
    </row>
    <row r="38" spans="2:10" ht="15.75">
      <c r="B38" s="476" t="str">
        <f>CONCATENATE(C89,"      ",D89)</f>
        <v>      </v>
      </c>
      <c r="C38" s="315"/>
      <c r="D38" s="107" t="s">
        <v>738</v>
      </c>
      <c r="E38" s="98">
        <f>IF(E37-E21&gt;0,E37-E21,0)</f>
        <v>0</v>
      </c>
      <c r="G38" s="648">
        <f>ROUND(C33*0.05+C33,0)</f>
        <v>0</v>
      </c>
      <c r="H38" s="631" t="str">
        <f>CONCATENATE("Less ",E1-2," Expenditures + 5%")</f>
        <v>Less 2011 Expenditures + 5%</v>
      </c>
      <c r="I38" s="647"/>
      <c r="J38" s="664"/>
    </row>
    <row r="39" spans="2:10" ht="15.75">
      <c r="B39" s="107"/>
      <c r="C39" s="458" t="s">
        <v>71</v>
      </c>
      <c r="D39" s="687">
        <f>inputOth!$E$22</f>
        <v>0</v>
      </c>
      <c r="E39" s="259">
        <f>ROUND(IF(D39&gt;0,(E38*D39),0),0)</f>
        <v>0</v>
      </c>
      <c r="G39" s="650">
        <f>G36-G38</f>
        <v>0</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0</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t="str">
        <f>summ!H37</f>
        <v>  </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t="str">
        <f>summ!E37</f>
        <v>  </v>
      </c>
      <c r="H44" s="646" t="str">
        <f>CONCATENATE("",E1-1," Fund Mill Rate")</f>
        <v>2012 Fund Mill Rate</v>
      </c>
      <c r="I44" s="655"/>
      <c r="J44" s="656"/>
    </row>
    <row r="45" spans="2:10" ht="15.75">
      <c r="B45" s="461">
        <f>inputPrYr!$B$38</f>
        <v>0</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c r="D46" s="440">
        <f>C74</f>
        <v>0</v>
      </c>
      <c r="E46" s="259">
        <f>D74</f>
        <v>0</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c r="D48" s="440">
        <f>inputPrYr!E38</f>
        <v>0</v>
      </c>
      <c r="E48" s="321" t="s">
        <v>711</v>
      </c>
      <c r="G48" s="643"/>
      <c r="H48" s="643"/>
      <c r="I48" s="643"/>
      <c r="J48" s="643"/>
    </row>
    <row r="49" spans="2:10" ht="15.75">
      <c r="B49" s="153" t="s">
        <v>725</v>
      </c>
      <c r="C49" s="469"/>
      <c r="D49" s="469"/>
      <c r="E49" s="94"/>
      <c r="G49" s="643"/>
      <c r="H49" s="643"/>
      <c r="I49" s="643"/>
      <c r="J49" s="643"/>
    </row>
    <row r="50" spans="2:10" ht="15.75">
      <c r="B50" s="153" t="s">
        <v>726</v>
      </c>
      <c r="C50" s="469"/>
      <c r="D50" s="469"/>
      <c r="E50" s="259" t="str">
        <f>mvalloc!E32</f>
        <v>  </v>
      </c>
      <c r="G50" s="643"/>
      <c r="H50" s="643"/>
      <c r="I50" s="643"/>
      <c r="J50" s="643"/>
    </row>
    <row r="51" spans="2:10" ht="15.75">
      <c r="B51" s="153" t="s">
        <v>727</v>
      </c>
      <c r="C51" s="469"/>
      <c r="D51" s="469"/>
      <c r="E51" s="259" t="str">
        <f>mvalloc!F32</f>
        <v>  </v>
      </c>
      <c r="G51" s="643"/>
      <c r="H51" s="643"/>
      <c r="I51" s="643"/>
      <c r="J51" s="643"/>
    </row>
    <row r="52" spans="2:10" ht="15.75">
      <c r="B52" s="167" t="s">
        <v>802</v>
      </c>
      <c r="C52" s="469"/>
      <c r="D52" s="469"/>
      <c r="E52" s="259" t="str">
        <f>mvalloc!G32</f>
        <v>  </v>
      </c>
      <c r="G52" s="643"/>
      <c r="H52" s="643"/>
      <c r="I52" s="643"/>
      <c r="J52" s="643"/>
    </row>
    <row r="53" spans="2:10" ht="15.75">
      <c r="B53" s="311"/>
      <c r="C53" s="469"/>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0</v>
      </c>
      <c r="D60" s="443">
        <f>SUM(D48:D58)</f>
        <v>0</v>
      </c>
      <c r="E60" s="348">
        <f>SUM(E48:E58)</f>
        <v>0</v>
      </c>
      <c r="G60" s="643"/>
      <c r="H60" s="643"/>
      <c r="I60" s="643"/>
      <c r="J60" s="643"/>
    </row>
    <row r="61" spans="2:10" ht="15.75">
      <c r="B61" s="302" t="s">
        <v>733</v>
      </c>
      <c r="C61" s="443">
        <f>C46+C60</f>
        <v>0</v>
      </c>
      <c r="D61" s="443">
        <f>D46+D60</f>
        <v>0</v>
      </c>
      <c r="E61" s="348">
        <f>E46+E60</f>
        <v>0</v>
      </c>
      <c r="G61" s="643"/>
      <c r="H61" s="643"/>
      <c r="I61" s="643"/>
      <c r="J61" s="643"/>
    </row>
    <row r="62" spans="2:10" ht="15.75">
      <c r="B62" s="153" t="s">
        <v>736</v>
      </c>
      <c r="C62" s="300"/>
      <c r="D62" s="300"/>
      <c r="E62" s="163"/>
      <c r="G62" s="643"/>
      <c r="H62" s="643"/>
      <c r="I62" s="643"/>
      <c r="J62" s="643"/>
    </row>
    <row r="63" spans="2:10" ht="15.75">
      <c r="B63" s="311"/>
      <c r="C63" s="469"/>
      <c r="D63" s="469"/>
      <c r="E63" s="94"/>
      <c r="G63" s="643"/>
      <c r="H63" s="643"/>
      <c r="I63" s="643"/>
      <c r="J63" s="643"/>
    </row>
    <row r="64" spans="2:10" ht="15.75">
      <c r="B64" s="311"/>
      <c r="C64" s="469"/>
      <c r="D64" s="469"/>
      <c r="E64" s="94"/>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v>0</v>
      </c>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Nhood!E28</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0</v>
      </c>
      <c r="D73" s="443">
        <f>SUM(D63:D71)</f>
        <v>0</v>
      </c>
      <c r="E73" s="348">
        <f>SUM(E63:E71)</f>
        <v>0</v>
      </c>
      <c r="G73" s="645">
        <f>D74</f>
        <v>0</v>
      </c>
      <c r="H73" s="646" t="str">
        <f>CONCATENATE("",E1-1," Ending Cash Balance (est.)")</f>
        <v>2012 Ending Cash Balance (est.)</v>
      </c>
      <c r="I73" s="647"/>
      <c r="J73" s="664"/>
    </row>
    <row r="74" spans="2:10" ht="15.75">
      <c r="B74" s="153" t="s">
        <v>852</v>
      </c>
      <c r="C74" s="438">
        <f>C61-C73</f>
        <v>0</v>
      </c>
      <c r="D74" s="438">
        <f>D61-D73</f>
        <v>0</v>
      </c>
      <c r="E74" s="321" t="s">
        <v>711</v>
      </c>
      <c r="G74" s="645">
        <f>E60</f>
        <v>0</v>
      </c>
      <c r="H74" s="631" t="str">
        <f>CONCATENATE("",E1," Non-AV Receipts (est.)")</f>
        <v>2013 Non-AV Receipts (est.)</v>
      </c>
      <c r="I74" s="647"/>
      <c r="J74" s="664"/>
    </row>
    <row r="75" spans="2:11" ht="15.75">
      <c r="B75" s="281" t="str">
        <f>CONCATENATE("",$E$1-2,"/",$E$1-1," Budget Authority Amount:")</f>
        <v>2011/2012 Budget Authority Amount:</v>
      </c>
      <c r="C75" s="273">
        <f>inputOth!B51</f>
        <v>0</v>
      </c>
      <c r="D75" s="273">
        <f>inputPrYr!D38</f>
        <v>0</v>
      </c>
      <c r="E75" s="321" t="s">
        <v>711</v>
      </c>
      <c r="F75" s="314"/>
      <c r="G75" s="648">
        <f>IF(E79&gt;0,E78,E80)</f>
        <v>0</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0</v>
      </c>
      <c r="H76" s="631" t="str">
        <f>CONCATENATE("Total ",E1," Resources Available")</f>
        <v>Total 2013 Resources Available</v>
      </c>
      <c r="I76" s="666"/>
      <c r="J76" s="664"/>
    </row>
    <row r="77" spans="2:10" ht="15.75">
      <c r="B77" s="476" t="str">
        <f>CONCATENATE(C90,"      ",D90)</f>
        <v>      </v>
      </c>
      <c r="C77" s="755" t="s">
        <v>70</v>
      </c>
      <c r="D77" s="756"/>
      <c r="E77" s="259">
        <f>E73+E76</f>
        <v>0</v>
      </c>
      <c r="G77" s="667"/>
      <c r="H77" s="668"/>
      <c r="I77" s="630"/>
      <c r="J77" s="664"/>
    </row>
    <row r="78" spans="2:10" ht="15.75">
      <c r="B78" s="476" t="str">
        <f>CONCATENATE(C91,"      ",D91)</f>
        <v>      </v>
      </c>
      <c r="C78" s="315"/>
      <c r="D78" s="107" t="s">
        <v>738</v>
      </c>
      <c r="E78" s="98">
        <f>IF(E77-E61&gt;0,E77-E61,0)</f>
        <v>0</v>
      </c>
      <c r="G78" s="669">
        <f>ROUND(C73*0.05+C73,0)</f>
        <v>0</v>
      </c>
      <c r="H78" s="631" t="str">
        <f>CONCATENATE("Less ",E1-2," Expenditures + 5%")</f>
        <v>Less 2011 Expenditures + 5%</v>
      </c>
      <c r="I78" s="666"/>
      <c r="J78" s="664"/>
    </row>
    <row r="79" spans="2:10" ht="15.75">
      <c r="B79" s="107"/>
      <c r="C79" s="458" t="s">
        <v>71</v>
      </c>
      <c r="D79" s="687">
        <f>inputOth!$E$22</f>
        <v>0</v>
      </c>
      <c r="E79" s="259">
        <f>ROUND(IF(D79&gt;0,(E78*D79),0),0)</f>
        <v>0</v>
      </c>
      <c r="G79" s="670">
        <f>G76-G78</f>
        <v>0</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0</v>
      </c>
      <c r="G80" s="643"/>
      <c r="H80" s="643"/>
      <c r="I80" s="643"/>
      <c r="J80" s="643"/>
    </row>
    <row r="81" spans="2:10" ht="15.75">
      <c r="B81" s="316" t="s">
        <v>762</v>
      </c>
      <c r="C81" s="334"/>
      <c r="D81" s="67"/>
      <c r="E81" s="67"/>
      <c r="G81" s="757" t="s">
        <v>201</v>
      </c>
      <c r="H81" s="758"/>
      <c r="I81" s="758"/>
      <c r="J81" s="759"/>
    </row>
    <row r="82" spans="7:10" ht="15.75">
      <c r="G82" s="654"/>
      <c r="H82" s="646"/>
      <c r="I82" s="655"/>
      <c r="J82" s="656"/>
    </row>
    <row r="83" spans="7:10" ht="15.75">
      <c r="G83" s="657" t="str">
        <f>summ!H38</f>
        <v>  </v>
      </c>
      <c r="H83" s="646" t="str">
        <f>CONCATENATE("",E1," Fund Mill Rate")</f>
        <v>2013 Fund Mill Rate</v>
      </c>
      <c r="I83" s="655"/>
      <c r="J83" s="656"/>
    </row>
    <row r="84" spans="7:10" ht="15.75">
      <c r="G84" s="658" t="str">
        <f>summ!E38</f>
        <v>  </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D58">
    <cfRule type="cellIs" priority="13" dxfId="2" operator="greaterThan" stopIfTrue="1">
      <formula>$D$60*0.1</formula>
    </cfRule>
  </conditionalFormatting>
  <conditionalFormatting sqref="C58">
    <cfRule type="cellIs" priority="14" dxfId="2" operator="greaterThan" stopIfTrue="1">
      <formula>$C$60*0.1</formula>
    </cfRule>
  </conditionalFormatting>
  <conditionalFormatting sqref="C31">
    <cfRule type="cellIs" priority="15" dxfId="2" operator="greaterThan" stopIfTrue="1">
      <formula>$C$33*0.1</formula>
    </cfRule>
  </conditionalFormatting>
  <conditionalFormatting sqref="D31">
    <cfRule type="cellIs" priority="16" dxfId="2" operator="greaterThan" stopIfTrue="1">
      <formula>$D$33*0.1</formula>
    </cfRule>
  </conditionalFormatting>
  <conditionalFormatting sqref="C33">
    <cfRule type="cellIs" priority="17" dxfId="2" operator="greaterThan" stopIfTrue="1">
      <formula>$C$35</formula>
    </cfRule>
  </conditionalFormatting>
  <conditionalFormatting sqref="D33">
    <cfRule type="cellIs" priority="18" dxfId="2" operator="greaterThan" stopIfTrue="1">
      <formula>$D$35</formula>
    </cfRule>
  </conditionalFormatting>
  <conditionalFormatting sqref="C74 C34">
    <cfRule type="cellIs" priority="19" dxfId="2" operator="lessThan" stopIfTrue="1">
      <formula>0</formula>
    </cfRule>
  </conditionalFormatting>
  <conditionalFormatting sqref="C73">
    <cfRule type="cellIs" priority="20" dxfId="2" operator="greaterThan" stopIfTrue="1">
      <formula>$C$75</formula>
    </cfRule>
  </conditionalFormatting>
  <conditionalFormatting sqref="D73">
    <cfRule type="cellIs" priority="21" dxfId="2" operator="greaterThan" stopIfTrue="1">
      <formula>$D$75</formula>
    </cfRule>
  </conditionalFormatting>
  <conditionalFormatting sqref="D74 D34">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7"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E10" sqref="E10"/>
    </sheetView>
  </sheetViews>
  <sheetFormatPr defaultColWidth="8.796875" defaultRowHeight="15"/>
  <cols>
    <col min="1" max="1" width="15.796875" style="47" customWidth="1"/>
    <col min="2" max="2" width="20.796875" style="47" customWidth="1"/>
    <col min="3" max="3" width="9.796875" style="47" customWidth="1"/>
    <col min="4" max="4" width="15.296875" style="47" customWidth="1"/>
    <col min="5" max="5" width="15.796875" style="47" customWidth="1"/>
    <col min="6" max="16384" width="8.8984375" style="47" customWidth="1"/>
  </cols>
  <sheetData>
    <row r="1" spans="1:5" ht="15.75">
      <c r="A1" s="125" t="str">
        <f>inputPrYr!C3</f>
        <v>Russell County</v>
      </c>
      <c r="B1" s="126"/>
      <c r="C1" s="126"/>
      <c r="D1" s="126"/>
      <c r="E1" s="108">
        <f>inputPrYr!C5</f>
        <v>2013</v>
      </c>
    </row>
    <row r="2" spans="1:5" ht="15">
      <c r="A2" s="126"/>
      <c r="B2" s="126"/>
      <c r="C2" s="126"/>
      <c r="D2" s="126"/>
      <c r="E2" s="126"/>
    </row>
    <row r="3" spans="1:5" ht="15.75">
      <c r="A3" s="67"/>
      <c r="B3" s="67"/>
      <c r="C3" s="67"/>
      <c r="D3" s="67"/>
      <c r="E3" s="127"/>
    </row>
    <row r="4" spans="1:5" ht="15.75">
      <c r="A4" s="80" t="str">
        <f>CONCATENATE("From the County Clerks ",E1," Budget Information:")</f>
        <v>From the County Clerks 2013 Budget Information:</v>
      </c>
      <c r="B4" s="79"/>
      <c r="C4" s="109"/>
      <c r="D4" s="67"/>
      <c r="E4" s="127"/>
    </row>
    <row r="5" spans="1:5" ht="15.75">
      <c r="A5" s="128" t="str">
        <f>CONCATENATE("Total Assessed Valuation for ",E1-1,"")</f>
        <v>Total Assessed Valuation for 2012</v>
      </c>
      <c r="B5" s="97"/>
      <c r="C5" s="97"/>
      <c r="D5" s="97"/>
      <c r="E5" s="94">
        <v>112143509</v>
      </c>
    </row>
    <row r="6" spans="1:5" ht="15.75">
      <c r="A6" s="128" t="str">
        <f>CONCATENATE("New Improvements for ",E1-1,"")</f>
        <v>New Improvements for 2012</v>
      </c>
      <c r="B6" s="97"/>
      <c r="C6" s="97"/>
      <c r="D6" s="97"/>
      <c r="E6" s="129">
        <v>739240</v>
      </c>
    </row>
    <row r="7" spans="1:5" ht="15.75">
      <c r="A7" s="128" t="str">
        <f>CONCATENATE("Personal Property excluding oil, gas, and mobile homes - ",E1-1,"")</f>
        <v>Personal Property excluding oil, gas, and mobile homes - 2012</v>
      </c>
      <c r="B7" s="97"/>
      <c r="C7" s="97"/>
      <c r="D7" s="97"/>
      <c r="E7" s="129">
        <v>2607686</v>
      </c>
    </row>
    <row r="8" spans="1:5" ht="15.75">
      <c r="A8" s="128" t="str">
        <f>CONCATENATE("Property that has changed in use for ",E1-1,"")</f>
        <v>Property that has changed in use for 2012</v>
      </c>
      <c r="B8" s="97"/>
      <c r="C8" s="97"/>
      <c r="D8" s="97"/>
      <c r="E8" s="129">
        <v>196117</v>
      </c>
    </row>
    <row r="9" spans="1:5" ht="15.75">
      <c r="A9" s="128" t="str">
        <f>CONCATENATE("Personal Property excluding oil, gas, and mobile homes - ",E1-2,"")</f>
        <v>Personal Property excluding oil, gas, and mobile homes - 2011</v>
      </c>
      <c r="B9" s="97"/>
      <c r="C9" s="97"/>
      <c r="D9" s="97"/>
      <c r="E9" s="129">
        <v>2878849</v>
      </c>
    </row>
    <row r="10" spans="1:5" ht="15.75">
      <c r="A10" s="128" t="str">
        <f>CONCATENATE("Gross earnings (intangible) tax estimate for ",E1,"")</f>
        <v>Gross earnings (intangible) tax estimate for 2013</v>
      </c>
      <c r="B10" s="97"/>
      <c r="C10" s="97"/>
      <c r="D10" s="97"/>
      <c r="E10" s="94"/>
    </row>
    <row r="11" spans="1:5" ht="15.75">
      <c r="A11" s="128" t="s">
        <v>905</v>
      </c>
      <c r="B11" s="97"/>
      <c r="C11" s="97"/>
      <c r="D11" s="97"/>
      <c r="E11" s="94"/>
    </row>
    <row r="12" spans="1:5" ht="15.75">
      <c r="A12" s="67"/>
      <c r="B12" s="67"/>
      <c r="C12" s="67"/>
      <c r="D12" s="84"/>
      <c r="E12" s="84"/>
    </row>
    <row r="13" spans="1:5" ht="15.75">
      <c r="A13" s="80" t="str">
        <f>CONCATENATE("From the County Treasurer's ",E1," Budget Information:")</f>
        <v>From the County Treasurer's 2013 Budget Information:</v>
      </c>
      <c r="B13" s="79"/>
      <c r="C13" s="79"/>
      <c r="D13" s="127"/>
      <c r="E13" s="127"/>
    </row>
    <row r="14" spans="1:5" ht="15.75">
      <c r="A14" s="95" t="s">
        <v>696</v>
      </c>
      <c r="B14" s="96"/>
      <c r="C14" s="96"/>
      <c r="D14" s="130"/>
      <c r="E14" s="94">
        <v>594447</v>
      </c>
    </row>
    <row r="15" spans="1:5" ht="15.75">
      <c r="A15" s="128" t="s">
        <v>697</v>
      </c>
      <c r="B15" s="97"/>
      <c r="C15" s="97"/>
      <c r="D15" s="131"/>
      <c r="E15" s="94">
        <v>9567</v>
      </c>
    </row>
    <row r="16" spans="1:5" ht="15.75">
      <c r="A16" s="128" t="s">
        <v>815</v>
      </c>
      <c r="B16" s="97"/>
      <c r="C16" s="97"/>
      <c r="D16" s="131"/>
      <c r="E16" s="94">
        <v>40432</v>
      </c>
    </row>
    <row r="17" spans="1:5" ht="15.75">
      <c r="A17" s="128" t="s">
        <v>906</v>
      </c>
      <c r="B17" s="97"/>
      <c r="C17" s="97"/>
      <c r="D17" s="132"/>
      <c r="E17" s="94"/>
    </row>
    <row r="18" spans="1:5" ht="15.75">
      <c r="A18" s="128" t="s">
        <v>907</v>
      </c>
      <c r="B18" s="97"/>
      <c r="C18" s="97"/>
      <c r="D18" s="132"/>
      <c r="E18" s="94"/>
    </row>
    <row r="19" spans="1:5" ht="15.75">
      <c r="A19" s="67"/>
      <c r="B19" s="67"/>
      <c r="C19" s="67"/>
      <c r="D19" s="67"/>
      <c r="E19" s="67"/>
    </row>
    <row r="20" spans="1:5" ht="15.75">
      <c r="A20" s="133" t="s">
        <v>908</v>
      </c>
      <c r="B20" s="75"/>
      <c r="C20" s="75"/>
      <c r="D20" s="67"/>
      <c r="E20" s="67"/>
    </row>
    <row r="21" spans="1:5" ht="15.75">
      <c r="A21" s="95" t="str">
        <f>CONCATENATE("Actual Delinquency for ",E1-3," Tax - (rate .01213 = 1.213%, key in 1.2)")</f>
        <v>Actual Delinquency for 2010 Tax - (rate .01213 = 1.213%, key in 1.2)</v>
      </c>
      <c r="B21" s="96"/>
      <c r="C21" s="96"/>
      <c r="D21" s="104"/>
      <c r="E21" s="685">
        <v>0</v>
      </c>
    </row>
    <row r="22" spans="1:5" ht="15.75">
      <c r="A22" s="95" t="s">
        <v>224</v>
      </c>
      <c r="B22" s="73"/>
      <c r="C22" s="69"/>
      <c r="D22" s="69"/>
      <c r="E22" s="686"/>
    </row>
    <row r="23" spans="1:5" ht="15.75">
      <c r="A23" s="134" t="s">
        <v>909</v>
      </c>
      <c r="B23" s="134"/>
      <c r="C23" s="135"/>
      <c r="D23" s="135"/>
      <c r="E23" s="136"/>
    </row>
    <row r="24" spans="1:5" ht="15">
      <c r="A24" s="126"/>
      <c r="B24" s="126"/>
      <c r="C24" s="126"/>
      <c r="D24" s="126"/>
      <c r="E24" s="126"/>
    </row>
    <row r="25" spans="1:5" ht="15.75">
      <c r="A25" s="710" t="str">
        <f>CONCATENATE("From the ",E1-2," Budget Certificate Page")</f>
        <v>From the 2011 Budget Certificate Page</v>
      </c>
      <c r="B25" s="711"/>
      <c r="C25" s="126"/>
      <c r="D25" s="126"/>
      <c r="E25" s="126"/>
    </row>
    <row r="26" spans="1:5" ht="15.75">
      <c r="A26" s="137"/>
      <c r="B26" s="712" t="str">
        <f>CONCATENATE("",E1-2,"                         Expenditure Amt Budget Authority")</f>
        <v>2011                         Expenditure Amt Budget Authority</v>
      </c>
      <c r="C26" s="715" t="str">
        <f>CONCATENATE("Note: If the ",E1-2," budget was amended, then the")</f>
        <v>Note: If the 2011 budget was amended, then the</v>
      </c>
      <c r="D26" s="716"/>
      <c r="E26" s="716"/>
    </row>
    <row r="27" spans="1:5" ht="15.75">
      <c r="A27" s="138" t="s">
        <v>966</v>
      </c>
      <c r="B27" s="713"/>
      <c r="C27" s="139" t="s">
        <v>967</v>
      </c>
      <c r="D27" s="140"/>
      <c r="E27" s="140"/>
    </row>
    <row r="28" spans="1:5" ht="15.75">
      <c r="A28" s="141"/>
      <c r="B28" s="714"/>
      <c r="C28" s="139" t="s">
        <v>968</v>
      </c>
      <c r="D28" s="140"/>
      <c r="E28" s="140"/>
    </row>
    <row r="29" spans="1:5" ht="15.75">
      <c r="A29" s="142" t="str">
        <f>inputPrYr!B16</f>
        <v>General</v>
      </c>
      <c r="B29" s="143">
        <v>5219846</v>
      </c>
      <c r="C29" s="139"/>
      <c r="D29" s="140"/>
      <c r="E29" s="140"/>
    </row>
    <row r="30" spans="1:5" ht="15.75">
      <c r="A30" s="142" t="str">
        <f>inputPrYr!B17</f>
        <v>Debt Service</v>
      </c>
      <c r="B30" s="88">
        <v>424465</v>
      </c>
      <c r="C30" s="139"/>
      <c r="D30" s="140"/>
      <c r="E30" s="140"/>
    </row>
    <row r="31" spans="1:5" ht="15.75">
      <c r="A31" s="142" t="str">
        <f>inputPrYr!B18</f>
        <v>Road &amp; Bridge</v>
      </c>
      <c r="B31" s="88">
        <v>2400000</v>
      </c>
      <c r="C31" s="126"/>
      <c r="D31" s="126"/>
      <c r="E31" s="126"/>
    </row>
    <row r="32" spans="1:5" ht="15.75">
      <c r="A32" s="142" t="str">
        <f>inputPrYr!B19</f>
        <v>Special Bridge</v>
      </c>
      <c r="B32" s="88">
        <v>635000</v>
      </c>
      <c r="C32" s="126"/>
      <c r="D32" s="126"/>
      <c r="E32" s="126"/>
    </row>
    <row r="33" spans="1:5" ht="15.75">
      <c r="A33" s="142" t="str">
        <f>inputPrYr!B20</f>
        <v>Noxious Weed</v>
      </c>
      <c r="B33" s="88">
        <v>361740</v>
      </c>
      <c r="C33" s="126"/>
      <c r="D33" s="126"/>
      <c r="E33" s="126"/>
    </row>
    <row r="34" spans="1:5" ht="15.75">
      <c r="A34" s="142" t="str">
        <f>inputPrYr!B21</f>
        <v>4-H Bldg Maintenance</v>
      </c>
      <c r="B34" s="88">
        <v>301542</v>
      </c>
      <c r="C34" s="126"/>
      <c r="D34" s="126"/>
      <c r="E34" s="126"/>
    </row>
    <row r="35" spans="1:5" ht="15.75">
      <c r="A35" s="142" t="str">
        <f>inputPrYr!B22</f>
        <v>Election Expense</v>
      </c>
      <c r="B35" s="88">
        <v>158500</v>
      </c>
      <c r="C35" s="126"/>
      <c r="D35" s="126"/>
      <c r="E35" s="126"/>
    </row>
    <row r="36" spans="1:5" ht="15.75">
      <c r="A36" s="142" t="str">
        <f>inputPrYr!B23</f>
        <v>Ambulance</v>
      </c>
      <c r="B36" s="88">
        <v>504450</v>
      </c>
      <c r="C36" s="126"/>
      <c r="D36" s="126"/>
      <c r="E36" s="126"/>
    </row>
    <row r="37" spans="1:5" ht="15.75">
      <c r="A37" s="142" t="str">
        <f>inputPrYr!B24</f>
        <v>Free Fair</v>
      </c>
      <c r="B37" s="88">
        <v>50000</v>
      </c>
      <c r="C37" s="126"/>
      <c r="D37" s="126"/>
      <c r="E37" s="126"/>
    </row>
    <row r="38" spans="1:5" ht="15.75">
      <c r="A38" s="142" t="str">
        <f>inputPrYr!B25</f>
        <v>Ag Extension Council</v>
      </c>
      <c r="B38" s="88">
        <v>147700</v>
      </c>
      <c r="C38" s="126"/>
      <c r="D38" s="126"/>
      <c r="E38" s="126"/>
    </row>
    <row r="39" spans="1:5" ht="15.75">
      <c r="A39" s="142" t="str">
        <f>inputPrYr!B26</f>
        <v>Mental Health</v>
      </c>
      <c r="B39" s="88">
        <v>49226</v>
      </c>
      <c r="C39" s="126"/>
      <c r="D39" s="126"/>
      <c r="E39" s="126"/>
    </row>
    <row r="40" spans="1:5" ht="15.75">
      <c r="A40" s="142" t="str">
        <f>inputPrYr!B27</f>
        <v>Service for the Elderly</v>
      </c>
      <c r="B40" s="88">
        <v>102159</v>
      </c>
      <c r="C40" s="126"/>
      <c r="D40" s="126"/>
      <c r="E40" s="126"/>
    </row>
    <row r="41" spans="1:5" ht="15.75">
      <c r="A41" s="142" t="str">
        <f>inputPrYr!B28</f>
        <v>County Health</v>
      </c>
      <c r="B41" s="88">
        <v>281550</v>
      </c>
      <c r="C41" s="126"/>
      <c r="D41" s="126"/>
      <c r="E41" s="126"/>
    </row>
    <row r="42" spans="1:5" ht="15.75">
      <c r="A42" s="142" t="str">
        <f>inputPrYr!B29</f>
        <v>Developmental Service</v>
      </c>
      <c r="B42" s="88">
        <v>77235</v>
      </c>
      <c r="C42" s="126"/>
      <c r="D42" s="126"/>
      <c r="E42" s="126"/>
    </row>
    <row r="43" spans="1:5" ht="15.75">
      <c r="A43" s="142" t="str">
        <f>inputPrYr!B30</f>
        <v>Appraiser</v>
      </c>
      <c r="B43" s="88">
        <v>192600</v>
      </c>
      <c r="C43" s="126"/>
      <c r="D43" s="126"/>
      <c r="E43" s="126"/>
    </row>
    <row r="44" spans="1:5" ht="15.75">
      <c r="A44" s="142" t="str">
        <f>inputPrYr!B31</f>
        <v>Special Road and Bridge</v>
      </c>
      <c r="B44" s="88">
        <v>252320</v>
      </c>
      <c r="C44" s="126"/>
      <c r="D44" s="126"/>
      <c r="E44" s="126"/>
    </row>
    <row r="45" spans="1:5" ht="15.75">
      <c r="A45" s="142" t="str">
        <f>inputPrYr!B32</f>
        <v>Employee Benefit</v>
      </c>
      <c r="B45" s="88">
        <v>2500000</v>
      </c>
      <c r="C45" s="126"/>
      <c r="D45" s="126"/>
      <c r="E45" s="126"/>
    </row>
    <row r="46" spans="1:5" ht="15.75">
      <c r="A46" s="142" t="str">
        <f>inputPrYr!B33</f>
        <v>Historical Society</v>
      </c>
      <c r="B46" s="88">
        <v>50580</v>
      </c>
      <c r="C46" s="126"/>
      <c r="D46" s="126"/>
      <c r="E46" s="126"/>
    </row>
    <row r="47" spans="1:5" ht="15.75">
      <c r="A47" s="142" t="str">
        <f>inputPrYr!B34</f>
        <v>Hospital Board</v>
      </c>
      <c r="B47" s="88">
        <v>596841</v>
      </c>
      <c r="C47" s="126"/>
      <c r="D47" s="126"/>
      <c r="E47" s="126"/>
    </row>
    <row r="48" spans="1:5" ht="15.75">
      <c r="A48" s="142" t="str">
        <f>inputPrYr!B35</f>
        <v>Economic Development</v>
      </c>
      <c r="B48" s="88">
        <v>100000</v>
      </c>
      <c r="C48" s="126"/>
      <c r="D48" s="126"/>
      <c r="E48" s="126"/>
    </row>
    <row r="49" spans="1:5" ht="15.75">
      <c r="A49" s="142">
        <f>inputPrYr!B36</f>
        <v>0</v>
      </c>
      <c r="B49" s="88"/>
      <c r="C49" s="126"/>
      <c r="D49" s="126"/>
      <c r="E49" s="126"/>
    </row>
    <row r="50" spans="1:5" ht="15.75">
      <c r="A50" s="142">
        <f>inputPrYr!B37</f>
        <v>0</v>
      </c>
      <c r="B50" s="88"/>
      <c r="C50" s="126"/>
      <c r="D50" s="126"/>
      <c r="E50" s="126"/>
    </row>
    <row r="51" spans="1:5" ht="15.75">
      <c r="A51" s="142">
        <f>inputPrYr!B38</f>
        <v>0</v>
      </c>
      <c r="B51" s="88"/>
      <c r="C51" s="126"/>
      <c r="D51" s="126"/>
      <c r="E51" s="126"/>
    </row>
    <row r="52" spans="1:5" ht="15.75">
      <c r="A52" s="142">
        <f>inputPrYr!B39</f>
        <v>0</v>
      </c>
      <c r="B52" s="88"/>
      <c r="C52" s="126"/>
      <c r="D52" s="126"/>
      <c r="E52" s="126"/>
    </row>
    <row r="53" spans="1:5" ht="15.75">
      <c r="A53" s="142">
        <f>inputPrYr!B40</f>
        <v>0</v>
      </c>
      <c r="B53" s="88"/>
      <c r="C53" s="126"/>
      <c r="D53" s="126"/>
      <c r="E53" s="126"/>
    </row>
    <row r="54" spans="1:5" ht="15.75">
      <c r="A54" s="142" t="str">
        <f>inputPrYr!B44</f>
        <v>Solid Waste</v>
      </c>
      <c r="B54" s="88">
        <v>535650</v>
      </c>
      <c r="C54" s="126"/>
      <c r="D54" s="126"/>
      <c r="E54" s="126"/>
    </row>
    <row r="55" spans="1:5" ht="15.75">
      <c r="A55" s="142" t="str">
        <f>inputPrYr!B45</f>
        <v>Emergency Tele Service</v>
      </c>
      <c r="B55" s="88">
        <v>108819</v>
      </c>
      <c r="C55" s="126"/>
      <c r="D55" s="126"/>
      <c r="E55" s="126"/>
    </row>
    <row r="56" spans="1:5" ht="15.75">
      <c r="A56" s="142" t="str">
        <f>inputPrYr!B46</f>
        <v>Special Alcohol</v>
      </c>
      <c r="B56" s="88">
        <v>41730</v>
      </c>
      <c r="C56" s="126"/>
      <c r="D56" s="126"/>
      <c r="E56" s="126"/>
    </row>
    <row r="57" spans="1:5" ht="15.75">
      <c r="A57" s="142" t="str">
        <f>inputPrYr!B47</f>
        <v>Sheriff Drug Fund</v>
      </c>
      <c r="B57" s="88">
        <v>276778</v>
      </c>
      <c r="C57" s="126"/>
      <c r="D57" s="126"/>
      <c r="E57" s="126"/>
    </row>
    <row r="58" spans="1:5" ht="15.75">
      <c r="A58" s="142" t="str">
        <f>inputPrYr!B48</f>
        <v>Parks and Recreation</v>
      </c>
      <c r="B58" s="88">
        <v>1381</v>
      </c>
      <c r="C58" s="126"/>
      <c r="D58" s="126"/>
      <c r="E58" s="126"/>
    </row>
    <row r="59" spans="1:5" ht="15.75">
      <c r="A59" s="142" t="str">
        <f>inputPrYr!B49</f>
        <v>Tourism &amp; Convention</v>
      </c>
      <c r="B59" s="88">
        <v>120000</v>
      </c>
      <c r="C59" s="126"/>
      <c r="D59" s="126"/>
      <c r="E59" s="126"/>
    </row>
    <row r="60" spans="1:5" ht="15.75">
      <c r="A60" s="142" t="str">
        <f>inputPrYr!B50</f>
        <v>E-911 Cell Phone Tax</v>
      </c>
      <c r="B60" s="88">
        <v>54094</v>
      </c>
      <c r="C60" s="126"/>
      <c r="D60" s="126"/>
      <c r="E60" s="126"/>
    </row>
    <row r="61" spans="1:5" ht="15.75">
      <c r="A61" s="142" t="str">
        <f>inputPrYr!B51</f>
        <v>Sheriff Concealed Carry</v>
      </c>
      <c r="B61" s="88">
        <v>5400</v>
      </c>
      <c r="C61" s="126"/>
      <c r="D61" s="126"/>
      <c r="E61" s="126"/>
    </row>
    <row r="62" spans="1:5" ht="15.75">
      <c r="A62" s="142" t="str">
        <f>inputPrYr!B52</f>
        <v>Sheriff Offender Reg</v>
      </c>
      <c r="B62" s="88">
        <v>2004</v>
      </c>
      <c r="C62" s="126"/>
      <c r="D62" s="126"/>
      <c r="E62" s="126"/>
    </row>
    <row r="63" spans="1:5" ht="15.75">
      <c r="A63" s="142" t="str">
        <f>inputPrYr!B53</f>
        <v>Oil and Gas Trust Fund</v>
      </c>
      <c r="B63" s="88"/>
      <c r="C63" s="126"/>
      <c r="D63" s="126"/>
      <c r="E63" s="126"/>
    </row>
  </sheetData>
  <sheetProtection sheet="1"/>
  <mergeCells count="3">
    <mergeCell ref="A25:B25"/>
    <mergeCell ref="B26:B28"/>
    <mergeCell ref="C26:E26"/>
  </mergeCells>
  <printOptions/>
  <pageMargins left="0.75" right="0.75" top="1" bottom="1" header="0.5" footer="0.5"/>
  <pageSetup blackAndWhite="1" fitToHeight="1" fitToWidth="1" horizontalDpi="600" verticalDpi="600" orientation="portrait" scale="70" r:id="rId1"/>
</worksheet>
</file>

<file path=xl/worksheets/sheet30.xml><?xml version="1.0" encoding="utf-8"?>
<worksheet xmlns="http://schemas.openxmlformats.org/spreadsheetml/2006/main" xmlns:r="http://schemas.openxmlformats.org/officeDocument/2006/relationships">
  <sheetPr>
    <pageSetUpPr fitToPage="1"/>
  </sheetPr>
  <dimension ref="B1:K94"/>
  <sheetViews>
    <sheetView zoomScalePageLayoutView="0" workbookViewId="0" topLeftCell="A1">
      <selection activeCell="F76" sqref="F76"/>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6" width="8.8984375" style="52" customWidth="1"/>
    <col min="7" max="7" width="10.19921875" style="52" customWidth="1"/>
    <col min="8" max="8" width="8.8984375" style="52" customWidth="1"/>
    <col min="9" max="9" width="5" style="52" customWidth="1"/>
    <col min="10" max="10" width="10" style="52" customWidth="1"/>
    <col min="11"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473" t="s">
        <v>810</v>
      </c>
      <c r="C3" s="145"/>
      <c r="D3" s="145"/>
      <c r="E3" s="145"/>
    </row>
    <row r="4" spans="2:5" ht="15.75">
      <c r="B4" s="66" t="s">
        <v>723</v>
      </c>
      <c r="C4" s="625" t="s">
        <v>197</v>
      </c>
      <c r="D4" s="626" t="s">
        <v>198</v>
      </c>
      <c r="E4" s="149" t="s">
        <v>199</v>
      </c>
    </row>
    <row r="5" spans="2:5" ht="15.75">
      <c r="B5" s="461">
        <f>inputPrYr!$B$39</f>
        <v>0</v>
      </c>
      <c r="C5" s="441" t="str">
        <f>CONCATENATE("Actual for ",E1-2,"")</f>
        <v>Actual for 2011</v>
      </c>
      <c r="D5" s="441" t="str">
        <f>CONCATENATE("Estimate for ",E1-1,"")</f>
        <v>Estimate for 2012</v>
      </c>
      <c r="E5" s="294" t="str">
        <f>CONCATENATE("Year for ",E1,"")</f>
        <v>Year for 2013</v>
      </c>
    </row>
    <row r="6" spans="2:5" ht="15.75">
      <c r="B6" s="153" t="s">
        <v>851</v>
      </c>
      <c r="C6" s="469"/>
      <c r="D6" s="440">
        <f>C34</f>
        <v>0</v>
      </c>
      <c r="E6" s="259">
        <f>D34</f>
        <v>0</v>
      </c>
    </row>
    <row r="7" spans="2:5" ht="15.75">
      <c r="B7" s="284" t="s">
        <v>853</v>
      </c>
      <c r="C7" s="167"/>
      <c r="D7" s="167"/>
      <c r="E7" s="110"/>
    </row>
    <row r="8" spans="2:5" ht="15.75">
      <c r="B8" s="153" t="s">
        <v>724</v>
      </c>
      <c r="C8" s="469"/>
      <c r="D8" s="440">
        <f>inputPrYr!E39</f>
        <v>0</v>
      </c>
      <c r="E8" s="321" t="s">
        <v>711</v>
      </c>
    </row>
    <row r="9" spans="2:5" ht="15.75">
      <c r="B9" s="153" t="s">
        <v>725</v>
      </c>
      <c r="C9" s="469"/>
      <c r="D9" s="469"/>
      <c r="E9" s="94"/>
    </row>
    <row r="10" spans="2:5" ht="15.75">
      <c r="B10" s="153" t="s">
        <v>726</v>
      </c>
      <c r="C10" s="469"/>
      <c r="D10" s="469"/>
      <c r="E10" s="259" t="str">
        <f>mvalloc!E33</f>
        <v>  </v>
      </c>
    </row>
    <row r="11" spans="2:5" ht="15.75">
      <c r="B11" s="153" t="s">
        <v>727</v>
      </c>
      <c r="C11" s="469"/>
      <c r="D11" s="469"/>
      <c r="E11" s="259" t="str">
        <f>mvalloc!F33</f>
        <v>  </v>
      </c>
    </row>
    <row r="12" spans="2:5" ht="15.75">
      <c r="B12" s="167" t="s">
        <v>802</v>
      </c>
      <c r="C12" s="469"/>
      <c r="D12" s="469"/>
      <c r="E12" s="259" t="str">
        <f>mvalloc!G33</f>
        <v>  </v>
      </c>
    </row>
    <row r="13" spans="2:5" ht="15.75">
      <c r="B13" s="311"/>
      <c r="C13" s="469"/>
      <c r="D13" s="469"/>
      <c r="E13" s="94"/>
    </row>
    <row r="14" spans="2:5" ht="15.75">
      <c r="B14" s="311"/>
      <c r="C14" s="469"/>
      <c r="D14" s="469"/>
      <c r="E14" s="94"/>
    </row>
    <row r="15" spans="2:5" ht="15.75">
      <c r="B15" s="311"/>
      <c r="C15" s="469"/>
      <c r="D15" s="469"/>
      <c r="E15" s="94"/>
    </row>
    <row r="16" spans="2:5" ht="15.75">
      <c r="B16" s="311"/>
      <c r="C16" s="469"/>
      <c r="D16" s="469"/>
      <c r="E16" s="94"/>
    </row>
    <row r="17" spans="2:5" ht="15.75">
      <c r="B17" s="299" t="s">
        <v>731</v>
      </c>
      <c r="C17" s="469"/>
      <c r="D17" s="469"/>
      <c r="E17" s="94"/>
    </row>
    <row r="18" spans="2:5" ht="15.75">
      <c r="B18" s="300" t="s">
        <v>973</v>
      </c>
      <c r="C18" s="469"/>
      <c r="D18" s="469"/>
      <c r="E18" s="94"/>
    </row>
    <row r="19" spans="2:5" ht="15.75">
      <c r="B19" s="300" t="s">
        <v>975</v>
      </c>
      <c r="C19" s="439">
        <f>IF(C20*0.1&lt;C18,"Exceed 10% Rule","")</f>
      </c>
      <c r="D19" s="439">
        <f>IF(D20*0.1&lt;D18,"Exceed 10% Rule","")</f>
      </c>
      <c r="E19" s="328">
        <f>IF(E20*0.1+E40&lt;E18,"Exceed 10% Rule","")</f>
      </c>
    </row>
    <row r="20" spans="2:5" ht="15.75">
      <c r="B20" s="302" t="s">
        <v>732</v>
      </c>
      <c r="C20" s="443">
        <f>SUM(C8:C18)</f>
        <v>0</v>
      </c>
      <c r="D20" s="443">
        <f>SUM(D8:D18)</f>
        <v>0</v>
      </c>
      <c r="E20" s="348">
        <f>SUM(E8:E18)</f>
        <v>0</v>
      </c>
    </row>
    <row r="21" spans="2:5" ht="15.75">
      <c r="B21" s="302" t="s">
        <v>733</v>
      </c>
      <c r="C21" s="443">
        <f>C6+C20</f>
        <v>0</v>
      </c>
      <c r="D21" s="443">
        <f>D6+D20</f>
        <v>0</v>
      </c>
      <c r="E21" s="348">
        <f>E6+E20</f>
        <v>0</v>
      </c>
    </row>
    <row r="22" spans="2:5" ht="15.75">
      <c r="B22" s="153" t="s">
        <v>736</v>
      </c>
      <c r="C22" s="300"/>
      <c r="D22" s="300"/>
      <c r="E22" s="163"/>
    </row>
    <row r="23" spans="2:5" ht="15.75">
      <c r="B23" s="311"/>
      <c r="C23" s="469"/>
      <c r="D23" s="469"/>
      <c r="E23" s="94"/>
    </row>
    <row r="24" spans="2:10" ht="15.75">
      <c r="B24" s="311"/>
      <c r="C24" s="469"/>
      <c r="D24" s="469"/>
      <c r="E24" s="94"/>
      <c r="G24" s="760" t="str">
        <f>CONCATENATE("Desired Carryover Into ",E1+1,"")</f>
        <v>Desired Carryover Into 2014</v>
      </c>
      <c r="H24" s="761"/>
      <c r="I24" s="761"/>
      <c r="J24" s="762"/>
    </row>
    <row r="25" spans="2:10" ht="15.75">
      <c r="B25" s="311"/>
      <c r="C25" s="469"/>
      <c r="D25" s="469"/>
      <c r="E25" s="94"/>
      <c r="G25" s="629"/>
      <c r="H25" s="630"/>
      <c r="I25" s="631"/>
      <c r="J25" s="632"/>
    </row>
    <row r="26" spans="2:10" ht="15.75">
      <c r="B26" s="311"/>
      <c r="C26" s="469"/>
      <c r="D26" s="469"/>
      <c r="E26" s="94"/>
      <c r="G26" s="633" t="s">
        <v>77</v>
      </c>
      <c r="H26" s="631"/>
      <c r="I26" s="631"/>
      <c r="J26" s="634">
        <v>0</v>
      </c>
    </row>
    <row r="27" spans="2:10" ht="15.75">
      <c r="B27" s="311"/>
      <c r="C27" s="469"/>
      <c r="D27" s="469"/>
      <c r="E27" s="94"/>
      <c r="G27" s="629" t="s">
        <v>78</v>
      </c>
      <c r="H27" s="630"/>
      <c r="I27" s="630"/>
      <c r="J27" s="635">
        <f>IF(J26=0,"",ROUND((J26+E40-G39)/inputOth!E5*1000,3)-G44)</f>
      </c>
    </row>
    <row r="28" spans="2:10" ht="15.75">
      <c r="B28" s="311"/>
      <c r="C28" s="469"/>
      <c r="D28" s="469"/>
      <c r="E28" s="94"/>
      <c r="G28" s="636" t="str">
        <f>CONCATENATE("",E1," Tot Exp/Non-Appr Must Be:")</f>
        <v>2013 Tot Exp/Non-Appr Must Be:</v>
      </c>
      <c r="H28" s="637"/>
      <c r="I28" s="638"/>
      <c r="J28" s="639">
        <f>IF(J26&gt;0,IF(E37&lt;E21,IF(J26=G39,E37,((J26-G39)*(1-D39))+E21),E37+(J26-G39)),0)</f>
        <v>0</v>
      </c>
    </row>
    <row r="29" spans="2:10" ht="15.75">
      <c r="B29" s="311"/>
      <c r="C29" s="469"/>
      <c r="D29" s="469"/>
      <c r="E29" s="94"/>
      <c r="G29" s="640" t="s">
        <v>200</v>
      </c>
      <c r="H29" s="641"/>
      <c r="I29" s="641"/>
      <c r="J29" s="642">
        <f>IF(J26&gt;0,J28-E37,0)</f>
        <v>0</v>
      </c>
    </row>
    <row r="30" spans="2:10" ht="15.75">
      <c r="B30" s="300" t="s">
        <v>972</v>
      </c>
      <c r="C30" s="469"/>
      <c r="D30" s="469"/>
      <c r="E30" s="98">
        <f>Nhood!E29</f>
      </c>
      <c r="G30" s="643"/>
      <c r="H30" s="643"/>
      <c r="I30" s="643"/>
      <c r="J30" s="643"/>
    </row>
    <row r="31" spans="2:10" ht="15.75">
      <c r="B31" s="300" t="s">
        <v>973</v>
      </c>
      <c r="C31" s="469"/>
      <c r="D31" s="469"/>
      <c r="E31" s="94"/>
      <c r="G31" s="760" t="str">
        <f>CONCATENATE("Projected Carryover Into ",E1+1,"")</f>
        <v>Projected Carryover Into 2014</v>
      </c>
      <c r="H31" s="765"/>
      <c r="I31" s="765"/>
      <c r="J31" s="766"/>
    </row>
    <row r="32" spans="2:10" ht="15.75">
      <c r="B32" s="300" t="s">
        <v>974</v>
      </c>
      <c r="C32" s="439">
        <f>IF(C33*0.1&lt;C31,"Exceed 10% Rule","")</f>
      </c>
      <c r="D32" s="439">
        <f>IF(D33*0.1&lt;D31,"Exceed 10% Rule","")</f>
      </c>
      <c r="E32" s="328">
        <f>IF(E33*0.1&lt;E31,"Exceed 10% Rule","")</f>
      </c>
      <c r="G32" s="629"/>
      <c r="H32" s="631"/>
      <c r="I32" s="631"/>
      <c r="J32" s="644"/>
    </row>
    <row r="33" spans="2:10" ht="15.75">
      <c r="B33" s="302" t="s">
        <v>737</v>
      </c>
      <c r="C33" s="443">
        <f>SUM(C23:C31)</f>
        <v>0</v>
      </c>
      <c r="D33" s="443">
        <f>SUM(D23:D31)</f>
        <v>0</v>
      </c>
      <c r="E33" s="348">
        <f>SUM(E23:E31)</f>
        <v>0</v>
      </c>
      <c r="G33" s="645">
        <f>D34</f>
        <v>0</v>
      </c>
      <c r="H33" s="646" t="str">
        <f>CONCATENATE("",E1-1," Ending Cash Balance (est.)")</f>
        <v>2012 Ending Cash Balance (est.)</v>
      </c>
      <c r="I33" s="647"/>
      <c r="J33" s="644"/>
    </row>
    <row r="34" spans="2:10" ht="15.75">
      <c r="B34" s="153" t="s">
        <v>852</v>
      </c>
      <c r="C34" s="438">
        <f>C21-C33</f>
        <v>0</v>
      </c>
      <c r="D34" s="438">
        <f>D21-D33</f>
        <v>0</v>
      </c>
      <c r="E34" s="321" t="s">
        <v>711</v>
      </c>
      <c r="G34" s="645">
        <f>E20</f>
        <v>0</v>
      </c>
      <c r="H34" s="631" t="str">
        <f>CONCATENATE("",E1," Non-AV Receipts (est.)")</f>
        <v>2013 Non-AV Receipts (est.)</v>
      </c>
      <c r="I34" s="647"/>
      <c r="J34" s="644"/>
    </row>
    <row r="35" spans="2:11" ht="15.75">
      <c r="B35" s="281" t="str">
        <f>CONCATENATE("",$E$1-2,"/",$E$1-1," Budget Authority Amount:")</f>
        <v>2011/2012 Budget Authority Amount:</v>
      </c>
      <c r="C35" s="273">
        <f>inputOth!B52</f>
        <v>0</v>
      </c>
      <c r="D35" s="273">
        <f>inputPrYr!D39</f>
        <v>0</v>
      </c>
      <c r="E35" s="321" t="s">
        <v>711</v>
      </c>
      <c r="F35" s="314"/>
      <c r="G35" s="648">
        <f>IF(E39&gt;0,E38,E40)</f>
        <v>0</v>
      </c>
      <c r="H35" s="631" t="str">
        <f>CONCATENATE("",E1," Ad Valorem Tax (est.)")</f>
        <v>2013 Ad Valorem Tax (est.)</v>
      </c>
      <c r="I35" s="647"/>
      <c r="J35" s="644"/>
      <c r="K35" s="684">
        <f>IF(G35=E40,"","Note: Does not include Delinquent Taxes")</f>
      </c>
    </row>
    <row r="36" spans="2:10" ht="15.75">
      <c r="B36" s="281"/>
      <c r="C36" s="753" t="s">
        <v>69</v>
      </c>
      <c r="D36" s="754"/>
      <c r="E36" s="94"/>
      <c r="F36" s="482">
        <f>IF(E33/0.95-E33&lt;E36,"Exceeds 5%","")</f>
      </c>
      <c r="G36" s="645">
        <f>SUM(G33:G35)</f>
        <v>0</v>
      </c>
      <c r="H36" s="631" t="str">
        <f>CONCATENATE("Total ",E1," Resources Available")</f>
        <v>Total 2013 Resources Available</v>
      </c>
      <c r="I36" s="647"/>
      <c r="J36" s="644"/>
    </row>
    <row r="37" spans="2:10" ht="15.75">
      <c r="B37" s="476" t="str">
        <f>CONCATENATE(C88,"     ",D88)</f>
        <v>     </v>
      </c>
      <c r="C37" s="755" t="s">
        <v>70</v>
      </c>
      <c r="D37" s="756"/>
      <c r="E37" s="259">
        <f>E33+E36</f>
        <v>0</v>
      </c>
      <c r="G37" s="649"/>
      <c r="H37" s="631"/>
      <c r="I37" s="631"/>
      <c r="J37" s="644"/>
    </row>
    <row r="38" spans="2:10" ht="15.75">
      <c r="B38" s="476" t="str">
        <f>CONCATENATE(C89,"      ",D89)</f>
        <v>      </v>
      </c>
      <c r="C38" s="315"/>
      <c r="D38" s="107" t="s">
        <v>738</v>
      </c>
      <c r="E38" s="98">
        <f>IF(E37-E21&gt;0,E37-E21,0)</f>
        <v>0</v>
      </c>
      <c r="G38" s="648">
        <f>ROUND(C33*0.05+C33,0)</f>
        <v>0</v>
      </c>
      <c r="H38" s="631" t="str">
        <f>CONCATENATE("Less ",E1-2," Expenditures + 5%")</f>
        <v>Less 2011 Expenditures + 5%</v>
      </c>
      <c r="I38" s="647"/>
      <c r="J38" s="664"/>
    </row>
    <row r="39" spans="2:10" ht="15.75">
      <c r="B39" s="107"/>
      <c r="C39" s="458" t="s">
        <v>71</v>
      </c>
      <c r="D39" s="687">
        <f>inputOth!$E$22</f>
        <v>0</v>
      </c>
      <c r="E39" s="259">
        <f>ROUND(IF(D39&gt;0,(E38*D39),0),0)</f>
        <v>0</v>
      </c>
      <c r="G39" s="650">
        <f>G36-G38</f>
        <v>0</v>
      </c>
      <c r="H39" s="651" t="str">
        <f>CONCATENATE("Projected ",E1+1," carryover (est.)")</f>
        <v>Projected 2014 carryover (est.)</v>
      </c>
      <c r="I39" s="652"/>
      <c r="J39" s="653"/>
    </row>
    <row r="40" spans="2:10" ht="15.75">
      <c r="B40" s="67"/>
      <c r="C40" s="751" t="str">
        <f>CONCATENATE("Amount of  ",$E$1-1," Ad Valorem Tax")</f>
        <v>Amount of  2012 Ad Valorem Tax</v>
      </c>
      <c r="D40" s="752"/>
      <c r="E40" s="333">
        <f>E38+E39</f>
        <v>0</v>
      </c>
      <c r="G40" s="643"/>
      <c r="H40" s="643"/>
      <c r="I40" s="643"/>
      <c r="J40" s="643"/>
    </row>
    <row r="41" spans="2:10" ht="15.75">
      <c r="B41" s="67"/>
      <c r="C41" s="608"/>
      <c r="D41" s="67"/>
      <c r="E41" s="67"/>
      <c r="G41" s="757" t="s">
        <v>201</v>
      </c>
      <c r="H41" s="758"/>
      <c r="I41" s="758"/>
      <c r="J41" s="759"/>
    </row>
    <row r="42" spans="2:10" ht="15.75">
      <c r="B42" s="67"/>
      <c r="C42" s="608"/>
      <c r="D42" s="67"/>
      <c r="E42" s="67"/>
      <c r="G42" s="654"/>
      <c r="H42" s="646"/>
      <c r="I42" s="655"/>
      <c r="J42" s="656"/>
    </row>
    <row r="43" spans="2:10" ht="15.75">
      <c r="B43" s="67"/>
      <c r="C43" s="145"/>
      <c r="D43" s="145"/>
      <c r="E43" s="145"/>
      <c r="G43" s="657" t="str">
        <f>summ!H39</f>
        <v>  </v>
      </c>
      <c r="H43" s="646" t="str">
        <f>CONCATENATE("",E1," Fund Mill Rate")</f>
        <v>2013 Fund Mill Rate</v>
      </c>
      <c r="I43" s="655"/>
      <c r="J43" s="656"/>
    </row>
    <row r="44" spans="2:10" ht="15.75">
      <c r="B44" s="66" t="s">
        <v>723</v>
      </c>
      <c r="C44" s="625" t="str">
        <f aca="true" t="shared" si="0" ref="C44:E45">C4</f>
        <v>Prior Year </v>
      </c>
      <c r="D44" s="626" t="str">
        <f t="shared" si="0"/>
        <v>Current Year </v>
      </c>
      <c r="E44" s="149" t="str">
        <f t="shared" si="0"/>
        <v>Proposed Budget </v>
      </c>
      <c r="G44" s="658" t="str">
        <f>summ!E39</f>
        <v>  </v>
      </c>
      <c r="H44" s="646" t="str">
        <f>CONCATENATE("",E1-1," Fund Mill Rate")</f>
        <v>2012 Fund Mill Rate</v>
      </c>
      <c r="I44" s="655"/>
      <c r="J44" s="656"/>
    </row>
    <row r="45" spans="2:10" ht="15.75">
      <c r="B45" s="461">
        <f>inputPrYr!$B$40</f>
        <v>0</v>
      </c>
      <c r="C45" s="441" t="str">
        <f t="shared" si="0"/>
        <v>Actual for 2011</v>
      </c>
      <c r="D45" s="441" t="str">
        <f t="shared" si="0"/>
        <v>Estimate for 2012</v>
      </c>
      <c r="E45" s="306" t="str">
        <f t="shared" si="0"/>
        <v>Year for 2013</v>
      </c>
      <c r="G45" s="659">
        <f>summ!H52</f>
        <v>73.908</v>
      </c>
      <c r="H45" s="646" t="str">
        <f>CONCATENATE("Total ",E1," Mill Rate")</f>
        <v>Total 2013 Mill Rate</v>
      </c>
      <c r="I45" s="655"/>
      <c r="J45" s="656"/>
    </row>
    <row r="46" spans="2:10" ht="15.75">
      <c r="B46" s="153" t="s">
        <v>851</v>
      </c>
      <c r="C46" s="469"/>
      <c r="D46" s="440">
        <f>C74</f>
        <v>0</v>
      </c>
      <c r="E46" s="259">
        <f>D74</f>
        <v>0</v>
      </c>
      <c r="G46" s="658">
        <f>summ!E52</f>
        <v>77.497</v>
      </c>
      <c r="H46" s="660" t="str">
        <f>CONCATENATE("Total ",E1-1," Mill Rate")</f>
        <v>Total 2012 Mill Rate</v>
      </c>
      <c r="I46" s="661"/>
      <c r="J46" s="662"/>
    </row>
    <row r="47" spans="2:10" ht="15.75">
      <c r="B47" s="295" t="s">
        <v>853</v>
      </c>
      <c r="C47" s="167"/>
      <c r="D47" s="167"/>
      <c r="E47" s="110"/>
      <c r="G47" s="643"/>
      <c r="H47" s="643"/>
      <c r="I47" s="643"/>
      <c r="J47" s="643"/>
    </row>
    <row r="48" spans="2:10" ht="15.75">
      <c r="B48" s="153" t="s">
        <v>724</v>
      </c>
      <c r="C48" s="469"/>
      <c r="D48" s="440">
        <f>inputPrYr!E40</f>
        <v>0</v>
      </c>
      <c r="E48" s="321" t="s">
        <v>711</v>
      </c>
      <c r="G48" s="643"/>
      <c r="H48" s="643"/>
      <c r="I48" s="643"/>
      <c r="J48" s="643"/>
    </row>
    <row r="49" spans="2:10" ht="15.75">
      <c r="B49" s="153" t="s">
        <v>725</v>
      </c>
      <c r="C49" s="469"/>
      <c r="D49" s="469"/>
      <c r="E49" s="94"/>
      <c r="G49" s="643"/>
      <c r="H49" s="643"/>
      <c r="I49" s="643"/>
      <c r="J49" s="643"/>
    </row>
    <row r="50" spans="2:10" ht="15.75">
      <c r="B50" s="153" t="s">
        <v>726</v>
      </c>
      <c r="C50" s="469"/>
      <c r="D50" s="469"/>
      <c r="E50" s="259" t="str">
        <f>mvalloc!E34</f>
        <v>  </v>
      </c>
      <c r="G50" s="643"/>
      <c r="H50" s="643"/>
      <c r="I50" s="643"/>
      <c r="J50" s="643"/>
    </row>
    <row r="51" spans="2:10" ht="15.75">
      <c r="B51" s="153" t="s">
        <v>727</v>
      </c>
      <c r="C51" s="469"/>
      <c r="D51" s="469"/>
      <c r="E51" s="259" t="str">
        <f>mvalloc!F34</f>
        <v>  </v>
      </c>
      <c r="G51" s="643"/>
      <c r="H51" s="643"/>
      <c r="I51" s="643"/>
      <c r="J51" s="643"/>
    </row>
    <row r="52" spans="2:10" ht="15.75">
      <c r="B52" s="167" t="s">
        <v>802</v>
      </c>
      <c r="C52" s="469"/>
      <c r="D52" s="469"/>
      <c r="E52" s="259" t="str">
        <f>mvalloc!G34</f>
        <v>  </v>
      </c>
      <c r="G52" s="643"/>
      <c r="H52" s="643"/>
      <c r="I52" s="643"/>
      <c r="J52" s="643"/>
    </row>
    <row r="53" spans="2:10" ht="15.75">
      <c r="B53" s="311"/>
      <c r="C53" s="469"/>
      <c r="D53" s="469"/>
      <c r="E53" s="94"/>
      <c r="G53" s="643"/>
      <c r="H53" s="643"/>
      <c r="I53" s="643"/>
      <c r="J53" s="643"/>
    </row>
    <row r="54" spans="2:10" ht="15.75">
      <c r="B54" s="311"/>
      <c r="C54" s="469"/>
      <c r="D54" s="469"/>
      <c r="E54" s="94"/>
      <c r="G54" s="643"/>
      <c r="H54" s="643"/>
      <c r="I54" s="643"/>
      <c r="J54" s="643"/>
    </row>
    <row r="55" spans="2:10" ht="15.75">
      <c r="B55" s="311"/>
      <c r="C55" s="469"/>
      <c r="D55" s="469"/>
      <c r="E55" s="94"/>
      <c r="G55" s="643"/>
      <c r="H55" s="643"/>
      <c r="I55" s="643"/>
      <c r="J55" s="643"/>
    </row>
    <row r="56" spans="2:10" ht="15.75">
      <c r="B56" s="311"/>
      <c r="C56" s="469"/>
      <c r="D56" s="469"/>
      <c r="E56" s="94"/>
      <c r="G56" s="643"/>
      <c r="H56" s="643"/>
      <c r="I56" s="643"/>
      <c r="J56" s="643"/>
    </row>
    <row r="57" spans="2:10" ht="15.75">
      <c r="B57" s="299" t="s">
        <v>731</v>
      </c>
      <c r="C57" s="469"/>
      <c r="D57" s="469"/>
      <c r="E57" s="94"/>
      <c r="G57" s="643"/>
      <c r="H57" s="643"/>
      <c r="I57" s="643"/>
      <c r="J57" s="643"/>
    </row>
    <row r="58" spans="2:10" ht="15.75">
      <c r="B58" s="300" t="s">
        <v>973</v>
      </c>
      <c r="C58" s="469"/>
      <c r="D58" s="469"/>
      <c r="E58" s="94"/>
      <c r="G58" s="643"/>
      <c r="H58" s="643"/>
      <c r="I58" s="643"/>
      <c r="J58" s="643"/>
    </row>
    <row r="59" spans="2:10" ht="15.75">
      <c r="B59" s="300" t="s">
        <v>975</v>
      </c>
      <c r="C59" s="439">
        <f>IF(C60*0.1&lt;C58,"Exceed 10% Rule","")</f>
      </c>
      <c r="D59" s="439">
        <f>IF(D60*0.1&lt;D58,"Exceed 10% Rule","")</f>
      </c>
      <c r="E59" s="328">
        <f>IF(E60*0.1+E80&lt;E58,"Exceed 10% Rule","")</f>
      </c>
      <c r="G59" s="643"/>
      <c r="H59" s="643"/>
      <c r="I59" s="643"/>
      <c r="J59" s="643"/>
    </row>
    <row r="60" spans="2:10" ht="15.75">
      <c r="B60" s="302" t="s">
        <v>732</v>
      </c>
      <c r="C60" s="443">
        <f>SUM(C48:C58)</f>
        <v>0</v>
      </c>
      <c r="D60" s="443">
        <f>SUM(D48:D58)</f>
        <v>0</v>
      </c>
      <c r="E60" s="348">
        <f>SUM(E48:E58)</f>
        <v>0</v>
      </c>
      <c r="G60" s="643"/>
      <c r="H60" s="643"/>
      <c r="I60" s="643"/>
      <c r="J60" s="643"/>
    </row>
    <row r="61" spans="2:10" ht="15.75">
      <c r="B61" s="302" t="s">
        <v>733</v>
      </c>
      <c r="C61" s="443">
        <f>C46+C60</f>
        <v>0</v>
      </c>
      <c r="D61" s="443">
        <f>D46+D60</f>
        <v>0</v>
      </c>
      <c r="E61" s="348">
        <f>E46+E60</f>
        <v>0</v>
      </c>
      <c r="G61" s="643"/>
      <c r="H61" s="643"/>
      <c r="I61" s="643"/>
      <c r="J61" s="643"/>
    </row>
    <row r="62" spans="2:10" ht="15.75">
      <c r="B62" s="153" t="s">
        <v>736</v>
      </c>
      <c r="C62" s="300"/>
      <c r="D62" s="300"/>
      <c r="E62" s="163"/>
      <c r="G62" s="643"/>
      <c r="H62" s="643"/>
      <c r="I62" s="643"/>
      <c r="J62" s="643"/>
    </row>
    <row r="63" spans="2:10" ht="15.75">
      <c r="B63" s="311"/>
      <c r="C63" s="469"/>
      <c r="D63" s="469"/>
      <c r="E63" s="94"/>
      <c r="G63" s="643"/>
      <c r="H63" s="643"/>
      <c r="I63" s="643"/>
      <c r="J63" s="643"/>
    </row>
    <row r="64" spans="2:10" ht="15.75">
      <c r="B64" s="311"/>
      <c r="C64" s="469"/>
      <c r="D64" s="469"/>
      <c r="E64" s="94"/>
      <c r="G64" s="760" t="str">
        <f>CONCATENATE("Desired Carryover Into ",E1+1,"")</f>
        <v>Desired Carryover Into 2014</v>
      </c>
      <c r="H64" s="761"/>
      <c r="I64" s="761"/>
      <c r="J64" s="762"/>
    </row>
    <row r="65" spans="2:10" ht="15.75">
      <c r="B65" s="311"/>
      <c r="C65" s="469"/>
      <c r="D65" s="469"/>
      <c r="E65" s="94"/>
      <c r="G65" s="629"/>
      <c r="H65" s="630"/>
      <c r="I65" s="631"/>
      <c r="J65" s="632"/>
    </row>
    <row r="66" spans="2:10" ht="15.75">
      <c r="B66" s="311"/>
      <c r="C66" s="469"/>
      <c r="D66" s="469"/>
      <c r="E66" s="94"/>
      <c r="G66" s="633" t="s">
        <v>77</v>
      </c>
      <c r="H66" s="631"/>
      <c r="I66" s="631"/>
      <c r="J66" s="634">
        <v>0</v>
      </c>
    </row>
    <row r="67" spans="2:10" ht="15.75">
      <c r="B67" s="311"/>
      <c r="C67" s="469"/>
      <c r="D67" s="469"/>
      <c r="E67" s="94"/>
      <c r="G67" s="629" t="s">
        <v>78</v>
      </c>
      <c r="H67" s="630"/>
      <c r="I67" s="630"/>
      <c r="J67" s="635">
        <f>IF(J66=0,"",ROUND((J66+E80-G79)/inputOth!E5*1000,3)-G84)</f>
      </c>
    </row>
    <row r="68" spans="2:10" ht="15.75">
      <c r="B68" s="311"/>
      <c r="C68" s="469"/>
      <c r="D68" s="469"/>
      <c r="E68" s="94"/>
      <c r="G68" s="636" t="str">
        <f>CONCATENATE("",E1," Tot Exp/Non-Appr Must Be:")</f>
        <v>2013 Tot Exp/Non-Appr Must Be:</v>
      </c>
      <c r="H68" s="637"/>
      <c r="I68" s="638"/>
      <c r="J68" s="639">
        <f>IF(J66&gt;0,IF(E77&lt;E61,IF(J66=G79,E77,((J66-G79)*(1-D79))+E61),E77+(J66-G79)),0)</f>
        <v>0</v>
      </c>
    </row>
    <row r="69" spans="2:10" ht="15.75">
      <c r="B69" s="311"/>
      <c r="C69" s="469"/>
      <c r="D69" s="469"/>
      <c r="E69" s="94"/>
      <c r="G69" s="640" t="s">
        <v>200</v>
      </c>
      <c r="H69" s="641"/>
      <c r="I69" s="641"/>
      <c r="J69" s="642">
        <f>IF(J66&gt;0,J68-E77,0)</f>
        <v>0</v>
      </c>
    </row>
    <row r="70" spans="2:10" ht="15.75">
      <c r="B70" s="300" t="s">
        <v>972</v>
      </c>
      <c r="C70" s="469"/>
      <c r="D70" s="469"/>
      <c r="E70" s="98">
        <f>Nhood!E30</f>
      </c>
      <c r="G70" s="643"/>
      <c r="H70" s="643"/>
      <c r="I70" s="643"/>
      <c r="J70" s="643"/>
    </row>
    <row r="71" spans="2:10" ht="15.75">
      <c r="B71" s="300" t="s">
        <v>973</v>
      </c>
      <c r="C71" s="469"/>
      <c r="D71" s="469"/>
      <c r="E71" s="94"/>
      <c r="G71" s="760" t="str">
        <f>CONCATENATE("Projected Carryover Into ",E1+1,"")</f>
        <v>Projected Carryover Into 2014</v>
      </c>
      <c r="H71" s="767"/>
      <c r="I71" s="767"/>
      <c r="J71" s="766"/>
    </row>
    <row r="72" spans="2:10" ht="15.75">
      <c r="B72" s="300" t="s">
        <v>974</v>
      </c>
      <c r="C72" s="439">
        <f>IF(C73*0.1&lt;C71,"Exceed 10% Rule","")</f>
      </c>
      <c r="D72" s="439">
        <f>IF(D73*0.1&lt;D71,"Exceed 10% Rule","")</f>
      </c>
      <c r="E72" s="328">
        <f>IF(E73*0.1&lt;E71,"Exceed 10% Rule","")</f>
      </c>
      <c r="G72" s="663"/>
      <c r="H72" s="630"/>
      <c r="I72" s="630"/>
      <c r="J72" s="664"/>
    </row>
    <row r="73" spans="2:10" ht="15.75">
      <c r="B73" s="302" t="s">
        <v>737</v>
      </c>
      <c r="C73" s="443">
        <f>SUM(C63:C71)</f>
        <v>0</v>
      </c>
      <c r="D73" s="443">
        <f>SUM(D63:D71)</f>
        <v>0</v>
      </c>
      <c r="E73" s="348">
        <f>SUM(E63:E71)</f>
        <v>0</v>
      </c>
      <c r="G73" s="645">
        <f>D74</f>
        <v>0</v>
      </c>
      <c r="H73" s="646" t="str">
        <f>CONCATENATE("",E1-1," Ending Cash Balance (est.)")</f>
        <v>2012 Ending Cash Balance (est.)</v>
      </c>
      <c r="I73" s="647"/>
      <c r="J73" s="664"/>
    </row>
    <row r="74" spans="2:10" ht="15.75">
      <c r="B74" s="153" t="s">
        <v>852</v>
      </c>
      <c r="C74" s="438">
        <f>C61-C73</f>
        <v>0</v>
      </c>
      <c r="D74" s="438">
        <f>D61-D73</f>
        <v>0</v>
      </c>
      <c r="E74" s="321" t="s">
        <v>711</v>
      </c>
      <c r="G74" s="645">
        <f>E60</f>
        <v>0</v>
      </c>
      <c r="H74" s="631" t="str">
        <f>CONCATENATE("",E1," Non-AV Receipts (est.)")</f>
        <v>2013 Non-AV Receipts (est.)</v>
      </c>
      <c r="I74" s="647"/>
      <c r="J74" s="664"/>
    </row>
    <row r="75" spans="2:11" ht="15.75">
      <c r="B75" s="281" t="str">
        <f>CONCATENATE("",$E$1-2,"/",$E$1-1," Budget Authority Amount:")</f>
        <v>2011/2012 Budget Authority Amount:</v>
      </c>
      <c r="C75" s="273">
        <f>inputOth!B53</f>
        <v>0</v>
      </c>
      <c r="D75" s="273">
        <f>inputPrYr!D40</f>
        <v>0</v>
      </c>
      <c r="E75" s="321" t="s">
        <v>711</v>
      </c>
      <c r="F75" s="314"/>
      <c r="G75" s="648">
        <f>IF(E79&gt;0,E78,E80)</f>
        <v>0</v>
      </c>
      <c r="H75" s="631" t="str">
        <f>CONCATENATE("",E1," Ad Valorem Tax (est.)")</f>
        <v>2013 Ad Valorem Tax (est.)</v>
      </c>
      <c r="I75" s="647"/>
      <c r="J75" s="664"/>
      <c r="K75" s="684">
        <f>IF(G75=E80,"","Note: Does not include Delinquent Taxes")</f>
      </c>
    </row>
    <row r="76" spans="2:10" ht="15.75">
      <c r="B76" s="281"/>
      <c r="C76" s="753" t="s">
        <v>69</v>
      </c>
      <c r="D76" s="754"/>
      <c r="E76" s="94"/>
      <c r="F76" s="482">
        <f>IF(E73/0.95-E73&lt;E76,"Exceeds 5%","")</f>
      </c>
      <c r="G76" s="665">
        <f>SUM(G73:G75)</f>
        <v>0</v>
      </c>
      <c r="H76" s="631" t="str">
        <f>CONCATENATE("Total ",E1," Resources Available")</f>
        <v>Total 2013 Resources Available</v>
      </c>
      <c r="I76" s="666"/>
      <c r="J76" s="664"/>
    </row>
    <row r="77" spans="2:10" ht="15.75">
      <c r="B77" s="476" t="str">
        <f>CONCATENATE(C90,"      ",D90)</f>
        <v>      </v>
      </c>
      <c r="C77" s="755" t="s">
        <v>70</v>
      </c>
      <c r="D77" s="756"/>
      <c r="E77" s="259">
        <f>E73+E76</f>
        <v>0</v>
      </c>
      <c r="G77" s="667"/>
      <c r="H77" s="668"/>
      <c r="I77" s="630"/>
      <c r="J77" s="664"/>
    </row>
    <row r="78" spans="2:10" ht="15.75">
      <c r="B78" s="476" t="str">
        <f>CONCATENATE(C91,"      ",D91)</f>
        <v>      </v>
      </c>
      <c r="C78" s="315"/>
      <c r="D78" s="107" t="s">
        <v>738</v>
      </c>
      <c r="E78" s="98">
        <f>IF(E77-E61&gt;0,E77-E61,0)</f>
        <v>0</v>
      </c>
      <c r="G78" s="669">
        <f>ROUND(C73*0.05+C73,0)</f>
        <v>0</v>
      </c>
      <c r="H78" s="631" t="str">
        <f>CONCATENATE("Less ",E1-2," Expenditures + 5%")</f>
        <v>Less 2011 Expenditures + 5%</v>
      </c>
      <c r="I78" s="666"/>
      <c r="J78" s="664"/>
    </row>
    <row r="79" spans="2:10" ht="15.75">
      <c r="B79" s="107"/>
      <c r="C79" s="458" t="s">
        <v>71</v>
      </c>
      <c r="D79" s="687">
        <f>inputOth!$E$22</f>
        <v>0</v>
      </c>
      <c r="E79" s="259">
        <f>ROUND(IF(D79&gt;0,(E78*D79),0),0)</f>
        <v>0</v>
      </c>
      <c r="G79" s="670">
        <f>G76-G78</f>
        <v>0</v>
      </c>
      <c r="H79" s="651" t="str">
        <f>CONCATENATE("Projected ",E1+1," carryover (est.)")</f>
        <v>Projected 2014 carryover (est.)</v>
      </c>
      <c r="I79" s="671"/>
      <c r="J79" s="672"/>
    </row>
    <row r="80" spans="2:10" ht="15.75">
      <c r="B80" s="67"/>
      <c r="C80" s="751" t="str">
        <f>CONCATENATE("Amount of  ",$E$1-1," Ad Valorem Tax")</f>
        <v>Amount of  2012 Ad Valorem Tax</v>
      </c>
      <c r="D80" s="752"/>
      <c r="E80" s="333">
        <f>E78+E79</f>
        <v>0</v>
      </c>
      <c r="G80" s="643"/>
      <c r="H80" s="643"/>
      <c r="I80" s="643"/>
      <c r="J80" s="643"/>
    </row>
    <row r="81" spans="2:10" ht="15.75">
      <c r="B81" s="316" t="s">
        <v>762</v>
      </c>
      <c r="C81" s="334"/>
      <c r="D81" s="67"/>
      <c r="E81" s="67"/>
      <c r="G81" s="757" t="s">
        <v>201</v>
      </c>
      <c r="H81" s="758"/>
      <c r="I81" s="758"/>
      <c r="J81" s="759"/>
    </row>
    <row r="82" spans="7:10" ht="15.75">
      <c r="G82" s="654"/>
      <c r="H82" s="646"/>
      <c r="I82" s="655"/>
      <c r="J82" s="656"/>
    </row>
    <row r="83" spans="7:10" ht="15.75">
      <c r="G83" s="657" t="str">
        <f>summ!H40</f>
        <v>  </v>
      </c>
      <c r="H83" s="646" t="str">
        <f>CONCATENATE("",E1," Fund Mill Rate")</f>
        <v>2013 Fund Mill Rate</v>
      </c>
      <c r="I83" s="655"/>
      <c r="J83" s="656"/>
    </row>
    <row r="84" spans="7:10" ht="15.75">
      <c r="G84" s="658" t="str">
        <f>summ!E40</f>
        <v>  </v>
      </c>
      <c r="H84" s="646" t="str">
        <f>CONCATENATE("",E1-1," Fund Mill Rate")</f>
        <v>2012 Fund Mill Rate</v>
      </c>
      <c r="I84" s="655"/>
      <c r="J84" s="656"/>
    </row>
    <row r="85" spans="7:10" ht="15.75">
      <c r="G85" s="659">
        <f>summ!H52</f>
        <v>73.908</v>
      </c>
      <c r="H85" s="646" t="str">
        <f>CONCATENATE("Total ",E1," Mill Rate")</f>
        <v>Total 2013 Mill Rate</v>
      </c>
      <c r="I85" s="655"/>
      <c r="J85" s="656"/>
    </row>
    <row r="86" spans="7:10" ht="15.75">
      <c r="G86" s="658">
        <f>summ!E52</f>
        <v>77.497</v>
      </c>
      <c r="H86" s="660" t="str">
        <f>CONCATENATE("Total ",E1-1," Mill Rate")</f>
        <v>Total 2012 Mill Rate</v>
      </c>
      <c r="I86" s="661"/>
      <c r="J86" s="662"/>
    </row>
    <row r="88" spans="3:4" ht="15.75" hidden="1">
      <c r="C88" s="52">
        <f>IF(C33&gt;C35,"See Tab A","")</f>
      </c>
      <c r="D88" s="52">
        <f>IF(D33&gt;D35,"See Tab C","")</f>
      </c>
    </row>
    <row r="89" spans="3:4" ht="15.75" hidden="1">
      <c r="C89" s="52">
        <f>IF(C34&lt;0,"See Tab B","")</f>
      </c>
      <c r="D89" s="52">
        <f>IF(D34&lt;0,"See Tab D","")</f>
      </c>
    </row>
    <row r="90" spans="3:4" ht="15.75" hidden="1">
      <c r="C90" s="52">
        <f>IF(C73&gt;C75,"See Tab A","")</f>
      </c>
      <c r="D90" s="52">
        <f>IF(D73&gt;D75,"See Tab C","")</f>
      </c>
    </row>
    <row r="91" spans="3:4" ht="15.75" hidden="1">
      <c r="C91" s="52">
        <f>IF(C74&lt;0,"See Tab B","")</f>
      </c>
      <c r="D91" s="52">
        <f>IF(D74&lt;0,"See Tab D","")</f>
      </c>
    </row>
    <row r="94" spans="3:4" ht="15.75">
      <c r="C94" s="52">
        <f>IF(C77&lt;0,"See Tab B","")</f>
      </c>
      <c r="D94" s="52">
        <f>IF(D77&lt;0,"See Tab D","")</f>
      </c>
    </row>
  </sheetData>
  <sheetProtection sheet="1"/>
  <mergeCells count="12">
    <mergeCell ref="G71:J71"/>
    <mergeCell ref="C36:D36"/>
    <mergeCell ref="C37:D37"/>
    <mergeCell ref="C40:D40"/>
    <mergeCell ref="C77:D77"/>
    <mergeCell ref="G81:J81"/>
    <mergeCell ref="C80:D80"/>
    <mergeCell ref="G24:J24"/>
    <mergeCell ref="G31:J31"/>
    <mergeCell ref="G41:J41"/>
    <mergeCell ref="C76:D76"/>
    <mergeCell ref="G64:J64"/>
  </mergeCells>
  <conditionalFormatting sqref="E36">
    <cfRule type="cellIs" priority="3" dxfId="351" operator="greaterThan" stopIfTrue="1">
      <formula>$E$33/0.95-$E$33</formula>
    </cfRule>
  </conditionalFormatting>
  <conditionalFormatting sqref="E76">
    <cfRule type="cellIs" priority="4" dxfId="351" operator="greaterThan" stopIfTrue="1">
      <formula>$E$73/0.95-$E$73</formula>
    </cfRule>
  </conditionalFormatting>
  <conditionalFormatting sqref="E71">
    <cfRule type="cellIs" priority="5" dxfId="351" operator="greaterThan" stopIfTrue="1">
      <formula>$E$73*0.1</formula>
    </cfRule>
  </conditionalFormatting>
  <conditionalFormatting sqref="C18">
    <cfRule type="cellIs" priority="6" dxfId="351" operator="greaterThan" stopIfTrue="1">
      <formula>$C$20*0.1</formula>
    </cfRule>
  </conditionalFormatting>
  <conditionalFormatting sqref="D18">
    <cfRule type="cellIs" priority="7" dxfId="351" operator="greaterThan" stopIfTrue="1">
      <formula>$D$20*0.1</formula>
    </cfRule>
  </conditionalFormatting>
  <conditionalFormatting sqref="E31">
    <cfRule type="cellIs" priority="8" dxfId="351" operator="greaterThan" stopIfTrue="1">
      <formula>$E$33*0.1</formula>
    </cfRule>
  </conditionalFormatting>
  <conditionalFormatting sqref="E18">
    <cfRule type="cellIs" priority="9" dxfId="351" operator="greaterThan" stopIfTrue="1">
      <formula>$E$20*0.1+E40</formula>
    </cfRule>
  </conditionalFormatting>
  <conditionalFormatting sqref="E58">
    <cfRule type="cellIs" priority="10" dxfId="351" operator="greaterThan" stopIfTrue="1">
      <formula>$E$60*0.1+E80</formula>
    </cfRule>
  </conditionalFormatting>
  <conditionalFormatting sqref="C71">
    <cfRule type="cellIs" priority="11" dxfId="2" operator="greaterThan" stopIfTrue="1">
      <formula>$C$73*0.1</formula>
    </cfRule>
  </conditionalFormatting>
  <conditionalFormatting sqref="D71">
    <cfRule type="cellIs" priority="12" dxfId="2" operator="greaterThan" stopIfTrue="1">
      <formula>$D$73*0.1</formula>
    </cfRule>
  </conditionalFormatting>
  <conditionalFormatting sqref="C74 C34">
    <cfRule type="cellIs" priority="13" dxfId="2" operator="lessThan" stopIfTrue="1">
      <formula>0</formula>
    </cfRule>
  </conditionalFormatting>
  <conditionalFormatting sqref="C73">
    <cfRule type="cellIs" priority="14" dxfId="2" operator="greaterThan" stopIfTrue="1">
      <formula>$C$75</formula>
    </cfRule>
  </conditionalFormatting>
  <conditionalFormatting sqref="D73">
    <cfRule type="cellIs" priority="15" dxfId="2" operator="greaterThan" stopIfTrue="1">
      <formula>$D$75</formula>
    </cfRule>
  </conditionalFormatting>
  <conditionalFormatting sqref="D58">
    <cfRule type="cellIs" priority="16" dxfId="2" operator="greaterThan" stopIfTrue="1">
      <formula>$D$60*0.1</formula>
    </cfRule>
  </conditionalFormatting>
  <conditionalFormatting sqref="C58">
    <cfRule type="cellIs" priority="17" dxfId="2" operator="greaterThan" stopIfTrue="1">
      <formula>$C$60*0.1</formula>
    </cfRule>
  </conditionalFormatting>
  <conditionalFormatting sqref="C31">
    <cfRule type="cellIs" priority="18" dxfId="2" operator="greaterThan" stopIfTrue="1">
      <formula>$C$33*0.1</formula>
    </cfRule>
  </conditionalFormatting>
  <conditionalFormatting sqref="D31">
    <cfRule type="cellIs" priority="19" dxfId="2" operator="greaterThan" stopIfTrue="1">
      <formula>$D$33*0.1</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74 D34">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1" r:id="rId1"/>
  <headerFooter alignWithMargins="0">
    <oddHeader>&amp;RState of Kansas
County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
      <selection activeCell="C65" sqref="C65"/>
    </sheetView>
  </sheetViews>
  <sheetFormatPr defaultColWidth="8.796875" defaultRowHeight="15"/>
  <cols>
    <col min="1" max="1" width="2.3984375" style="52" customWidth="1"/>
    <col min="2" max="2" width="31.09765625" style="52" customWidth="1"/>
    <col min="3" max="4" width="15.796875" style="52" customWidth="1"/>
    <col min="5" max="5" width="16.09765625" style="52" customWidth="1"/>
    <col min="6"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209" t="s">
        <v>811</v>
      </c>
      <c r="C3" s="145"/>
      <c r="D3" s="145"/>
      <c r="E3" s="145"/>
    </row>
    <row r="4" spans="2:5" ht="15.75">
      <c r="B4" s="66" t="s">
        <v>723</v>
      </c>
      <c r="C4" s="625" t="s">
        <v>197</v>
      </c>
      <c r="D4" s="626" t="s">
        <v>198</v>
      </c>
      <c r="E4" s="149" t="s">
        <v>199</v>
      </c>
    </row>
    <row r="5" spans="2:5" ht="15.75">
      <c r="B5" s="461" t="str">
        <f>inputPrYr!$B$44</f>
        <v>Solid Waste</v>
      </c>
      <c r="C5" s="441" t="str">
        <f>CONCATENATE("Actual for ",E1-2,"")</f>
        <v>Actual for 2011</v>
      </c>
      <c r="D5" s="441" t="str">
        <f>CONCATENATE("Estimate for ",E1-1,"")</f>
        <v>Estimate for 2012</v>
      </c>
      <c r="E5" s="294" t="str">
        <f>CONCATENATE("Year for ",E1,"")</f>
        <v>Year for 2013</v>
      </c>
    </row>
    <row r="6" spans="2:5" ht="15.75">
      <c r="B6" s="153" t="s">
        <v>851</v>
      </c>
      <c r="C6" s="94">
        <v>72750</v>
      </c>
      <c r="D6" s="259">
        <f>C29</f>
        <v>108632</v>
      </c>
      <c r="E6" s="259">
        <f>D29</f>
        <v>158632</v>
      </c>
    </row>
    <row r="7" spans="2:5" ht="15.75">
      <c r="B7" s="175" t="s">
        <v>853</v>
      </c>
      <c r="C7" s="163"/>
      <c r="D7" s="163"/>
      <c r="E7" s="163"/>
    </row>
    <row r="8" spans="2:5" ht="15.75">
      <c r="B8" s="311" t="s">
        <v>441</v>
      </c>
      <c r="C8" s="94">
        <v>419047</v>
      </c>
      <c r="D8" s="94">
        <v>450000</v>
      </c>
      <c r="E8" s="94">
        <v>475000</v>
      </c>
    </row>
    <row r="9" spans="2:5" ht="15.75">
      <c r="B9" s="311"/>
      <c r="C9" s="94"/>
      <c r="D9" s="94"/>
      <c r="E9" s="94"/>
    </row>
    <row r="10" spans="2:5" ht="15.75">
      <c r="B10" s="311"/>
      <c r="C10" s="94"/>
      <c r="D10" s="94"/>
      <c r="E10" s="94"/>
    </row>
    <row r="11" spans="2:5" ht="15.75">
      <c r="B11" s="299" t="s">
        <v>731</v>
      </c>
      <c r="C11" s="94"/>
      <c r="D11" s="94"/>
      <c r="E11" s="94"/>
    </row>
    <row r="12" spans="2:5" ht="15.75">
      <c r="B12" s="300" t="s">
        <v>973</v>
      </c>
      <c r="C12" s="94"/>
      <c r="D12" s="320"/>
      <c r="E12" s="320"/>
    </row>
    <row r="13" spans="2:5" ht="15.75">
      <c r="B13" s="300" t="s">
        <v>67</v>
      </c>
      <c r="C13" s="454">
        <f>IF(C14*0.1&lt;C12,"Exceed 10% Rule","")</f>
      </c>
      <c r="D13" s="301">
        <f>IF(D14*0.1&lt;D12,"Exceed 10% Rule","")</f>
      </c>
      <c r="E13" s="301">
        <f>IF(E14*0.1&lt;E12,"Exceed 10% Rule","")</f>
      </c>
    </row>
    <row r="14" spans="2:5" ht="15.75">
      <c r="B14" s="302" t="s">
        <v>732</v>
      </c>
      <c r="C14" s="348">
        <f>SUM(C8:C12)</f>
        <v>419047</v>
      </c>
      <c r="D14" s="348">
        <f>SUM(D8:D12)</f>
        <v>450000</v>
      </c>
      <c r="E14" s="348">
        <f>SUM(E8:E12)</f>
        <v>475000</v>
      </c>
    </row>
    <row r="15" spans="2:5" ht="15.75">
      <c r="B15" s="302" t="s">
        <v>733</v>
      </c>
      <c r="C15" s="348">
        <f>C14+C6</f>
        <v>491797</v>
      </c>
      <c r="D15" s="348">
        <f>D14+D6</f>
        <v>558632</v>
      </c>
      <c r="E15" s="348">
        <f>E14+E6</f>
        <v>633632</v>
      </c>
    </row>
    <row r="16" spans="2:5" ht="15.75">
      <c r="B16" s="153" t="s">
        <v>736</v>
      </c>
      <c r="C16" s="259"/>
      <c r="D16" s="259"/>
      <c r="E16" s="259"/>
    </row>
    <row r="17" spans="2:5" ht="15.75">
      <c r="B17" s="311" t="s">
        <v>452</v>
      </c>
      <c r="C17" s="94">
        <v>383165</v>
      </c>
      <c r="D17" s="94">
        <v>400000</v>
      </c>
      <c r="E17" s="94">
        <v>400000</v>
      </c>
    </row>
    <row r="18" spans="2:5" ht="15.75">
      <c r="B18" s="311" t="s">
        <v>453</v>
      </c>
      <c r="C18" s="94"/>
      <c r="D18" s="94"/>
      <c r="E18" s="94">
        <v>233632</v>
      </c>
    </row>
    <row r="19" spans="2:5" ht="15.75">
      <c r="B19" s="311"/>
      <c r="C19" s="94"/>
      <c r="D19" s="94"/>
      <c r="E19" s="94"/>
    </row>
    <row r="20" spans="2:5" ht="15.75">
      <c r="B20" s="311"/>
      <c r="C20" s="94"/>
      <c r="D20" s="94"/>
      <c r="E20" s="94"/>
    </row>
    <row r="21" spans="2:5" ht="15.75">
      <c r="B21" s="311"/>
      <c r="C21" s="94"/>
      <c r="D21" s="94"/>
      <c r="E21" s="94"/>
    </row>
    <row r="22" spans="2:5" ht="15.75">
      <c r="B22" s="311"/>
      <c r="C22" s="94"/>
      <c r="D22" s="94"/>
      <c r="E22" s="94"/>
    </row>
    <row r="23" spans="2:5" ht="15.75">
      <c r="B23" s="311"/>
      <c r="C23" s="94"/>
      <c r="D23" s="94"/>
      <c r="E23" s="94"/>
    </row>
    <row r="24" spans="2:5" ht="15.75">
      <c r="B24" s="311"/>
      <c r="C24" s="94"/>
      <c r="D24" s="94"/>
      <c r="E24" s="94"/>
    </row>
    <row r="25" spans="2:5" ht="15.75">
      <c r="B25" s="311"/>
      <c r="C25" s="94"/>
      <c r="D25" s="94"/>
      <c r="E25" s="94"/>
    </row>
    <row r="26" spans="2:5" ht="15.75">
      <c r="B26" s="300" t="s">
        <v>973</v>
      </c>
      <c r="C26" s="94"/>
      <c r="D26" s="320"/>
      <c r="E26" s="320"/>
    </row>
    <row r="27" spans="2:5" ht="15.75">
      <c r="B27" s="300" t="s">
        <v>68</v>
      </c>
      <c r="C27" s="454">
        <f>IF(C28*0.1&lt;C26,"Exceed 10% Rule","")</f>
      </c>
      <c r="D27" s="301">
        <f>IF(D28*0.1&lt;D26,"Exceed 10% Rule","")</f>
      </c>
      <c r="E27" s="301">
        <f>IF(E28*0.1&lt;E26,"Exceed 10% Rule","")</f>
      </c>
    </row>
    <row r="28" spans="2:5" ht="15.75">
      <c r="B28" s="302" t="s">
        <v>737</v>
      </c>
      <c r="C28" s="348">
        <f>SUM(C17:C26)</f>
        <v>383165</v>
      </c>
      <c r="D28" s="348">
        <f>SUM(D17:D26)</f>
        <v>400000</v>
      </c>
      <c r="E28" s="348">
        <f>SUM(E17:E26)</f>
        <v>633632</v>
      </c>
    </row>
    <row r="29" spans="2:5" ht="15.75">
      <c r="B29" s="153" t="s">
        <v>852</v>
      </c>
      <c r="C29" s="98">
        <f>C15-C28</f>
        <v>108632</v>
      </c>
      <c r="D29" s="98">
        <f>D15-D28</f>
        <v>158632</v>
      </c>
      <c r="E29" s="98">
        <f>E15-E28</f>
        <v>0</v>
      </c>
    </row>
    <row r="30" spans="2:5" ht="15.75">
      <c r="B30" s="281" t="str">
        <f>CONCATENATE("",E1-2,"/",E1-1," Budget Authority Amount:")</f>
        <v>2011/2012 Budget Authority Amount:</v>
      </c>
      <c r="C30" s="273">
        <f>inputOth!B54</f>
        <v>535650</v>
      </c>
      <c r="D30" s="273">
        <f>inputPrYr!D44</f>
        <v>547750</v>
      </c>
      <c r="E30" s="472">
        <f>IF($E$29&lt;0,"See Tab E","")</f>
      </c>
    </row>
    <row r="31" spans="2:5" ht="15.75">
      <c r="B31" s="281"/>
      <c r="C31" s="315">
        <f>IF(C28&gt;C30,"See Tab A","")</f>
      </c>
      <c r="D31" s="315">
        <f>IF(D28&gt;D30,"See Tab C","")</f>
      </c>
      <c r="E31" s="127"/>
    </row>
    <row r="32" spans="2:5" ht="15.75">
      <c r="B32" s="281"/>
      <c r="C32" s="315">
        <f>IF(C29&lt;0,"See Tab B","")</f>
      </c>
      <c r="D32" s="315">
        <f>IF(D29&lt;0,"See Tab D","")</f>
      </c>
      <c r="E32" s="127"/>
    </row>
    <row r="33" spans="2:5" ht="15.75">
      <c r="B33" s="67"/>
      <c r="C33" s="127"/>
      <c r="D33" s="127"/>
      <c r="E33" s="127"/>
    </row>
    <row r="34" spans="2:5" ht="15.75">
      <c r="B34" s="66"/>
      <c r="C34" s="145"/>
      <c r="D34" s="145"/>
      <c r="E34" s="145"/>
    </row>
    <row r="35" spans="2:5" ht="15.75">
      <c r="B35" s="66" t="s">
        <v>723</v>
      </c>
      <c r="C35" s="335" t="str">
        <f aca="true" t="shared" si="0" ref="C35:E36">C4</f>
        <v>Prior Year </v>
      </c>
      <c r="D35" s="149" t="str">
        <f t="shared" si="0"/>
        <v>Current Year </v>
      </c>
      <c r="E35" s="149" t="str">
        <f t="shared" si="0"/>
        <v>Proposed Budget </v>
      </c>
    </row>
    <row r="36" spans="2:5" ht="15.75">
      <c r="B36" s="461" t="str">
        <f>inputPrYr!$B$45</f>
        <v>Emergency Tele Service</v>
      </c>
      <c r="C36" s="306" t="str">
        <f t="shared" si="0"/>
        <v>Actual for 2011</v>
      </c>
      <c r="D36" s="306" t="str">
        <f t="shared" si="0"/>
        <v>Estimate for 2012</v>
      </c>
      <c r="E36" s="306" t="str">
        <f t="shared" si="0"/>
        <v>Year for 2013</v>
      </c>
    </row>
    <row r="37" spans="2:5" ht="15.75">
      <c r="B37" s="153" t="s">
        <v>851</v>
      </c>
      <c r="C37" s="94">
        <v>11400</v>
      </c>
      <c r="D37" s="259">
        <f>C60</f>
        <v>2403</v>
      </c>
      <c r="E37" s="259">
        <f>D60</f>
        <v>0</v>
      </c>
    </row>
    <row r="38" spans="2:5" ht="15.75">
      <c r="B38" s="153" t="s">
        <v>853</v>
      </c>
      <c r="C38" s="163"/>
      <c r="D38" s="163"/>
      <c r="E38" s="163"/>
    </row>
    <row r="39" spans="2:5" ht="15.75">
      <c r="B39" s="311" t="s">
        <v>441</v>
      </c>
      <c r="C39" s="94">
        <v>25753</v>
      </c>
      <c r="D39" s="94">
        <v>65000</v>
      </c>
      <c r="E39" s="94">
        <v>65000</v>
      </c>
    </row>
    <row r="40" spans="2:5" ht="15.75">
      <c r="B40" s="311"/>
      <c r="C40" s="94"/>
      <c r="D40" s="94"/>
      <c r="E40" s="94"/>
    </row>
    <row r="41" spans="2:5" ht="15.75">
      <c r="B41" s="311"/>
      <c r="C41" s="94"/>
      <c r="D41" s="94"/>
      <c r="E41" s="94"/>
    </row>
    <row r="42" spans="2:5" ht="15.75">
      <c r="B42" s="299" t="s">
        <v>731</v>
      </c>
      <c r="C42" s="94"/>
      <c r="D42" s="94"/>
      <c r="E42" s="94"/>
    </row>
    <row r="43" spans="2:5" ht="15.75">
      <c r="B43" s="300" t="s">
        <v>973</v>
      </c>
      <c r="C43" s="94"/>
      <c r="D43" s="320"/>
      <c r="E43" s="320"/>
    </row>
    <row r="44" spans="2:5" ht="15.75">
      <c r="B44" s="300" t="s">
        <v>67</v>
      </c>
      <c r="C44" s="454">
        <f>IF(C45*0.1&lt;C43,"Exceed 10% Rule","")</f>
      </c>
      <c r="D44" s="301">
        <f>IF(D45*0.1&lt;D43,"Exceed 10% Rule","")</f>
      </c>
      <c r="E44" s="301">
        <f>IF(E45*0.1&lt;E43,"Exceed 10% Rule","")</f>
      </c>
    </row>
    <row r="45" spans="2:5" ht="15.75">
      <c r="B45" s="302" t="s">
        <v>732</v>
      </c>
      <c r="C45" s="348">
        <f>SUM(C39:C43)</f>
        <v>25753</v>
      </c>
      <c r="D45" s="348">
        <f>SUM(D39:D43)</f>
        <v>65000</v>
      </c>
      <c r="E45" s="348">
        <f>SUM(E39:E43)</f>
        <v>65000</v>
      </c>
    </row>
    <row r="46" spans="2:5" ht="15.75">
      <c r="B46" s="302" t="s">
        <v>733</v>
      </c>
      <c r="C46" s="348">
        <f>C37+C45</f>
        <v>37153</v>
      </c>
      <c r="D46" s="348">
        <f>D37+D45</f>
        <v>67403</v>
      </c>
      <c r="E46" s="348">
        <f>E37+E45</f>
        <v>65000</v>
      </c>
    </row>
    <row r="47" spans="2:5" ht="15.75">
      <c r="B47" s="153" t="s">
        <v>736</v>
      </c>
      <c r="C47" s="259"/>
      <c r="D47" s="259"/>
      <c r="E47" s="259"/>
    </row>
    <row r="48" spans="2:5" ht="15.75">
      <c r="B48" s="311" t="s">
        <v>445</v>
      </c>
      <c r="C48" s="94">
        <v>34750</v>
      </c>
      <c r="D48" s="94">
        <v>67403</v>
      </c>
      <c r="E48" s="94">
        <v>65000</v>
      </c>
    </row>
    <row r="49" spans="2:5" ht="15.75">
      <c r="B49" s="311"/>
      <c r="C49" s="94"/>
      <c r="D49" s="94"/>
      <c r="E49" s="94"/>
    </row>
    <row r="50" spans="2:5" ht="15.75">
      <c r="B50" s="311"/>
      <c r="C50" s="94"/>
      <c r="D50" s="94"/>
      <c r="E50" s="94"/>
    </row>
    <row r="51" spans="2:5" ht="15.75">
      <c r="B51" s="311"/>
      <c r="C51" s="94"/>
      <c r="D51" s="94"/>
      <c r="E51" s="94"/>
    </row>
    <row r="52" spans="2:5" ht="15.75">
      <c r="B52" s="311"/>
      <c r="C52" s="94"/>
      <c r="D52" s="94"/>
      <c r="E52" s="94"/>
    </row>
    <row r="53" spans="2:5" ht="15.75">
      <c r="B53" s="311"/>
      <c r="C53" s="94"/>
      <c r="D53" s="94"/>
      <c r="E53" s="94"/>
    </row>
    <row r="54" spans="2:5" ht="15.75">
      <c r="B54" s="311"/>
      <c r="C54" s="94"/>
      <c r="D54" s="94"/>
      <c r="E54" s="94"/>
    </row>
    <row r="55" spans="2:5" ht="15.75">
      <c r="B55" s="311"/>
      <c r="C55" s="94"/>
      <c r="D55" s="94"/>
      <c r="E55" s="94"/>
    </row>
    <row r="56" spans="2:5" ht="15.75">
      <c r="B56" s="311"/>
      <c r="C56" s="94"/>
      <c r="D56" s="94"/>
      <c r="E56" s="94"/>
    </row>
    <row r="57" spans="2:5" ht="15.75">
      <c r="B57" s="300" t="s">
        <v>973</v>
      </c>
      <c r="C57" s="94"/>
      <c r="D57" s="320"/>
      <c r="E57" s="320"/>
    </row>
    <row r="58" spans="2:5" ht="15.75">
      <c r="B58" s="300" t="s">
        <v>68</v>
      </c>
      <c r="C58" s="454">
        <f>IF(C59*0.1&lt;C57,"Exceed 10% Rule","")</f>
      </c>
      <c r="D58" s="301">
        <f>IF(D59*0.1&lt;D57,"Exceed 10% Rule","")</f>
      </c>
      <c r="E58" s="301">
        <f>IF(E59*0.1&lt;E57,"Exceed 10% Rule","")</f>
      </c>
    </row>
    <row r="59" spans="2:5" ht="15.75">
      <c r="B59" s="302" t="s">
        <v>737</v>
      </c>
      <c r="C59" s="348">
        <f>SUM(C48:C57)</f>
        <v>34750</v>
      </c>
      <c r="D59" s="348">
        <f>SUM(D48:D57)</f>
        <v>67403</v>
      </c>
      <c r="E59" s="348">
        <f>SUM(E48:E57)</f>
        <v>65000</v>
      </c>
    </row>
    <row r="60" spans="2:5" ht="15.75">
      <c r="B60" s="153" t="s">
        <v>852</v>
      </c>
      <c r="C60" s="98">
        <f>C46-C59</f>
        <v>2403</v>
      </c>
      <c r="D60" s="98">
        <f>D46-D59</f>
        <v>0</v>
      </c>
      <c r="E60" s="98">
        <f>E46-E59</f>
        <v>0</v>
      </c>
    </row>
    <row r="61" spans="2:5" ht="15.75">
      <c r="B61" s="281" t="str">
        <f>CONCATENATE("",$E$1-2,"/",$E$1-1," Budget Authority Amount:")</f>
        <v>2011/2012 Budget Authority Amount:</v>
      </c>
      <c r="C61" s="273">
        <f>inputOth!B55</f>
        <v>108819</v>
      </c>
      <c r="D61" s="273">
        <f>inputPrYr!D45</f>
        <v>71400</v>
      </c>
      <c r="E61" s="462">
        <f>IF($E$60&lt;0,"See Tab E","")</f>
      </c>
    </row>
    <row r="62" spans="2:5" ht="15.75">
      <c r="B62" s="281"/>
      <c r="C62" s="315">
        <f>IF(C59&gt;C61,"See Tab A","")</f>
      </c>
      <c r="D62" s="315">
        <f>IF(D59&gt;D61,"See Tab C","")</f>
      </c>
      <c r="E62" s="67"/>
    </row>
    <row r="63" spans="2:5" ht="15.75">
      <c r="B63" s="281"/>
      <c r="C63" s="315">
        <f>IF(C60&lt;0,"See Tab B","")</f>
      </c>
      <c r="D63" s="315">
        <f>IF(D60&lt;0,"See Tab D","")</f>
      </c>
      <c r="E63" s="67"/>
    </row>
    <row r="64" spans="2:5" ht="15.75">
      <c r="B64" s="67"/>
      <c r="C64" s="67"/>
      <c r="D64" s="67"/>
      <c r="E64" s="67"/>
    </row>
    <row r="65" spans="2:5" ht="15.75">
      <c r="B65" s="316" t="s">
        <v>762</v>
      </c>
      <c r="C65" s="334">
        <v>19</v>
      </c>
      <c r="D65" s="67"/>
      <c r="E65" s="67"/>
    </row>
  </sheetData>
  <sheetProtection sheet="1"/>
  <conditionalFormatting sqref="C43">
    <cfRule type="cellIs" priority="5" dxfId="351" operator="greaterThan" stopIfTrue="1">
      <formula>$C$45*0.1</formula>
    </cfRule>
  </conditionalFormatting>
  <conditionalFormatting sqref="D43">
    <cfRule type="cellIs" priority="6" dxfId="351" operator="greaterThan" stopIfTrue="1">
      <formula>$D$45*0.1</formula>
    </cfRule>
  </conditionalFormatting>
  <conditionalFormatting sqref="E43">
    <cfRule type="cellIs" priority="7" dxfId="351" operator="greaterThan" stopIfTrue="1">
      <formula>$E$45*0.1</formula>
    </cfRule>
  </conditionalFormatting>
  <conditionalFormatting sqref="C57">
    <cfRule type="cellIs" priority="8" dxfId="351" operator="greaterThan" stopIfTrue="1">
      <formula>$C$59*0.1</formula>
    </cfRule>
  </conditionalFormatting>
  <conditionalFormatting sqref="D57">
    <cfRule type="cellIs" priority="9" dxfId="351" operator="greaterThan" stopIfTrue="1">
      <formula>$D$59*0.1</formula>
    </cfRule>
  </conditionalFormatting>
  <conditionalFormatting sqref="E57">
    <cfRule type="cellIs" priority="10" dxfId="351" operator="greaterThan" stopIfTrue="1">
      <formula>$E$59*0.1</formula>
    </cfRule>
  </conditionalFormatting>
  <conditionalFormatting sqref="C26">
    <cfRule type="cellIs" priority="11" dxfId="351" operator="greaterThan" stopIfTrue="1">
      <formula>$C$28*0.1</formula>
    </cfRule>
  </conditionalFormatting>
  <conditionalFormatting sqref="D26">
    <cfRule type="cellIs" priority="12" dxfId="351" operator="greaterThan" stopIfTrue="1">
      <formula>$D$28*0.1</formula>
    </cfRule>
  </conditionalFormatting>
  <conditionalFormatting sqref="E26">
    <cfRule type="cellIs" priority="13" dxfId="351" operator="greaterThan" stopIfTrue="1">
      <formula>$E$28*0.1</formula>
    </cfRule>
  </conditionalFormatting>
  <conditionalFormatting sqref="C12">
    <cfRule type="cellIs" priority="14" dxfId="351" operator="greaterThan" stopIfTrue="1">
      <formula>$C$14*0.1</formula>
    </cfRule>
  </conditionalFormatting>
  <conditionalFormatting sqref="D12">
    <cfRule type="cellIs" priority="15" dxfId="351" operator="greaterThan" stopIfTrue="1">
      <formula>$D$14*0.1</formula>
    </cfRule>
  </conditionalFormatting>
  <conditionalFormatting sqref="E12">
    <cfRule type="cellIs" priority="16" dxfId="351" operator="greaterThan" stopIfTrue="1">
      <formula>$E$14*0.1</formula>
    </cfRule>
  </conditionalFormatting>
  <conditionalFormatting sqref="E60 E29 C60 C29">
    <cfRule type="cellIs" priority="17" dxfId="2" operator="lessThan" stopIfTrue="1">
      <formula>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D29">
    <cfRule type="cellIs" priority="3" dxfId="0" operator="lessThan" stopIfTrue="1">
      <formula>0</formula>
    </cfRule>
    <cfRule type="cellIs" priority="4" dxfId="0" operator="lessThan" stopIfTrue="1">
      <formula>0</formula>
    </cfRule>
  </conditionalFormatting>
  <conditionalFormatting sqref="D60">
    <cfRule type="cellIs" priority="1" dxfId="0" operator="lessThan" stopIfTrue="1">
      <formula>0</formula>
    </cfRule>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209" t="s">
        <v>811</v>
      </c>
      <c r="C3" s="145"/>
      <c r="D3" s="145"/>
      <c r="E3" s="145"/>
    </row>
    <row r="4" spans="2:5" ht="15.75">
      <c r="B4" s="66" t="s">
        <v>723</v>
      </c>
      <c r="C4" s="625" t="s">
        <v>197</v>
      </c>
      <c r="D4" s="626" t="s">
        <v>198</v>
      </c>
      <c r="E4" s="149" t="s">
        <v>199</v>
      </c>
    </row>
    <row r="5" spans="2:5" ht="15.75">
      <c r="B5" s="461" t="str">
        <f>inputPrYr!$B$46</f>
        <v>Special Alcohol</v>
      </c>
      <c r="C5" s="441" t="str">
        <f>CONCATENATE("Actual for ",E1-2,"")</f>
        <v>Actual for 2011</v>
      </c>
      <c r="D5" s="441" t="str">
        <f>CONCATENATE("Estimate for ",E1-1,"")</f>
        <v>Estimate for 2012</v>
      </c>
      <c r="E5" s="294" t="str">
        <f>CONCATENATE("Year for ",E1,"")</f>
        <v>Year for 2013</v>
      </c>
    </row>
    <row r="6" spans="2:5" ht="15.75">
      <c r="B6" s="153" t="s">
        <v>851</v>
      </c>
      <c r="C6" s="94">
        <v>37235</v>
      </c>
      <c r="D6" s="259">
        <f>C29</f>
        <v>43325</v>
      </c>
      <c r="E6" s="259">
        <f>D29</f>
        <v>45325</v>
      </c>
    </row>
    <row r="7" spans="2:5" ht="15.75">
      <c r="B7" s="175" t="s">
        <v>853</v>
      </c>
      <c r="C7" s="163"/>
      <c r="D7" s="163"/>
      <c r="E7" s="163"/>
    </row>
    <row r="8" spans="2:5" ht="15.75">
      <c r="B8" s="311" t="s">
        <v>446</v>
      </c>
      <c r="C8" s="94">
        <v>14890</v>
      </c>
      <c r="D8" s="94">
        <v>16000</v>
      </c>
      <c r="E8" s="94">
        <v>16000</v>
      </c>
    </row>
    <row r="9" spans="2:5" ht="15.75">
      <c r="B9" s="311"/>
      <c r="C9" s="94"/>
      <c r="D9" s="94"/>
      <c r="E9" s="94"/>
    </row>
    <row r="10" spans="2:5" ht="15.75">
      <c r="B10" s="311"/>
      <c r="C10" s="94"/>
      <c r="D10" s="94"/>
      <c r="E10" s="94"/>
    </row>
    <row r="11" spans="2:5" ht="15.75">
      <c r="B11" s="299" t="s">
        <v>731</v>
      </c>
      <c r="C11" s="94"/>
      <c r="D11" s="94"/>
      <c r="E11" s="94"/>
    </row>
    <row r="12" spans="2:5" ht="15.75">
      <c r="B12" s="300" t="s">
        <v>973</v>
      </c>
      <c r="C12" s="94"/>
      <c r="D12" s="320"/>
      <c r="E12" s="320"/>
    </row>
    <row r="13" spans="2:5" ht="15.75">
      <c r="B13" s="300" t="s">
        <v>67</v>
      </c>
      <c r="C13" s="454">
        <f>IF(C14*0.1&lt;C12,"Exceed 10% Rule","")</f>
      </c>
      <c r="D13" s="301">
        <f>IF(D14*0.1&lt;D12,"Exceed 10% Rule","")</f>
      </c>
      <c r="E13" s="301">
        <f>IF(E14*0.1&lt;E12,"Exceed 10% Rule","")</f>
      </c>
    </row>
    <row r="14" spans="2:5" ht="15.75">
      <c r="B14" s="302" t="s">
        <v>732</v>
      </c>
      <c r="C14" s="348">
        <f>SUM(C8:C12)</f>
        <v>14890</v>
      </c>
      <c r="D14" s="348">
        <f>SUM(D8:D12)</f>
        <v>16000</v>
      </c>
      <c r="E14" s="348">
        <f>SUM(E8:E12)</f>
        <v>16000</v>
      </c>
    </row>
    <row r="15" spans="2:5" ht="15.75">
      <c r="B15" s="302" t="s">
        <v>733</v>
      </c>
      <c r="C15" s="348">
        <f>C14+C6</f>
        <v>52125</v>
      </c>
      <c r="D15" s="348">
        <f>D14+D6</f>
        <v>59325</v>
      </c>
      <c r="E15" s="348">
        <f>E14+E6</f>
        <v>61325</v>
      </c>
    </row>
    <row r="16" spans="2:5" ht="15.75">
      <c r="B16" s="153" t="s">
        <v>736</v>
      </c>
      <c r="C16" s="259"/>
      <c r="D16" s="259"/>
      <c r="E16" s="259"/>
    </row>
    <row r="17" spans="2:5" ht="15.75">
      <c r="B17" s="311" t="s">
        <v>450</v>
      </c>
      <c r="C17" s="94">
        <v>7800</v>
      </c>
      <c r="D17" s="94">
        <v>12000</v>
      </c>
      <c r="E17" s="94">
        <v>35000</v>
      </c>
    </row>
    <row r="18" spans="2:5" ht="15.75">
      <c r="B18" s="311" t="s">
        <v>449</v>
      </c>
      <c r="C18" s="94">
        <v>1000</v>
      </c>
      <c r="D18" s="94">
        <v>2000</v>
      </c>
      <c r="E18" s="94">
        <v>26325</v>
      </c>
    </row>
    <row r="19" spans="2:5" ht="15.75">
      <c r="B19" s="311"/>
      <c r="C19" s="94"/>
      <c r="D19" s="94"/>
      <c r="E19" s="94"/>
    </row>
    <row r="20" spans="2:5" ht="15.75">
      <c r="B20" s="311"/>
      <c r="C20" s="94"/>
      <c r="D20" s="94"/>
      <c r="E20" s="94"/>
    </row>
    <row r="21" spans="2:5" ht="15.75">
      <c r="B21" s="311"/>
      <c r="C21" s="94"/>
      <c r="D21" s="94"/>
      <c r="E21" s="94"/>
    </row>
    <row r="22" spans="2:5" ht="15.75">
      <c r="B22" s="311"/>
      <c r="C22" s="94"/>
      <c r="D22" s="94"/>
      <c r="E22" s="94"/>
    </row>
    <row r="23" spans="2:5" ht="15.75">
      <c r="B23" s="311"/>
      <c r="C23" s="94"/>
      <c r="D23" s="94"/>
      <c r="E23" s="94"/>
    </row>
    <row r="24" spans="2:5" ht="15.75">
      <c r="B24" s="311"/>
      <c r="C24" s="94"/>
      <c r="D24" s="94"/>
      <c r="E24" s="94"/>
    </row>
    <row r="25" spans="2:5" ht="15.75">
      <c r="B25" s="311"/>
      <c r="C25" s="94"/>
      <c r="D25" s="94"/>
      <c r="E25" s="94"/>
    </row>
    <row r="26" spans="2:5" ht="15.75">
      <c r="B26" s="300" t="s">
        <v>973</v>
      </c>
      <c r="C26" s="94"/>
      <c r="D26" s="320"/>
      <c r="E26" s="320"/>
    </row>
    <row r="27" spans="2:5" ht="15.75">
      <c r="B27" s="300" t="s">
        <v>68</v>
      </c>
      <c r="C27" s="454">
        <f>IF(C28*0.1&lt;C26,"Exceed 10% Rule","")</f>
      </c>
      <c r="D27" s="301">
        <f>IF(D28*0.1&lt;D26,"Exceed 10% Rule","")</f>
      </c>
      <c r="E27" s="301">
        <f>IF(E28*0.1&lt;E26,"Exceed 10% Rule","")</f>
      </c>
    </row>
    <row r="28" spans="2:5" ht="15.75">
      <c r="B28" s="302" t="s">
        <v>737</v>
      </c>
      <c r="C28" s="348">
        <f>SUM(C17:C26)</f>
        <v>8800</v>
      </c>
      <c r="D28" s="348">
        <f>SUM(D17:D26)</f>
        <v>14000</v>
      </c>
      <c r="E28" s="348">
        <f>SUM(E17:E26)</f>
        <v>61325</v>
      </c>
    </row>
    <row r="29" spans="2:5" ht="15.75">
      <c r="B29" s="153" t="s">
        <v>852</v>
      </c>
      <c r="C29" s="98">
        <f>C15-C28</f>
        <v>43325</v>
      </c>
      <c r="D29" s="98">
        <f>D15-D28</f>
        <v>45325</v>
      </c>
      <c r="E29" s="98">
        <f>E15-E28</f>
        <v>0</v>
      </c>
    </row>
    <row r="30" spans="2:5" ht="15.75">
      <c r="B30" s="281" t="str">
        <f>CONCATENATE("",$E$1-2,"/",$E$1-1," Budget Authority Amount:")</f>
        <v>2011/2012 Budget Authority Amount:</v>
      </c>
      <c r="C30" s="273">
        <f>inputOth!B56</f>
        <v>41730</v>
      </c>
      <c r="D30" s="273">
        <f>inputPrYr!D46</f>
        <v>53235</v>
      </c>
      <c r="E30" s="472">
        <f>IF($E$29&lt;0,"See Tab E","")</f>
      </c>
    </row>
    <row r="31" spans="2:5" ht="15.75">
      <c r="B31" s="281"/>
      <c r="C31" s="315">
        <f>IF(C28&gt;C30,"See Tab A","")</f>
      </c>
      <c r="D31" s="315">
        <f>IF(D28&gt;D30,"See Tab C","")</f>
      </c>
      <c r="E31" s="127"/>
    </row>
    <row r="32" spans="2:5" ht="15.75">
      <c r="B32" s="281"/>
      <c r="C32" s="315">
        <f>IF(C29&lt;0,"See Tab B","")</f>
      </c>
      <c r="D32" s="315">
        <f>IF(D29&lt;0,"See Tab D","")</f>
      </c>
      <c r="E32" s="127"/>
    </row>
    <row r="33" spans="2:5" ht="15.75">
      <c r="B33" s="67"/>
      <c r="C33" s="127"/>
      <c r="D33" s="127"/>
      <c r="E33" s="127"/>
    </row>
    <row r="34" spans="2:5" ht="15.75">
      <c r="B34" s="66"/>
      <c r="C34" s="145"/>
      <c r="D34" s="145"/>
      <c r="E34" s="145"/>
    </row>
    <row r="35" spans="2:5" ht="15.75">
      <c r="B35" s="66" t="s">
        <v>723</v>
      </c>
      <c r="C35" s="335" t="str">
        <f aca="true" t="shared" si="0" ref="C35:E36">C4</f>
        <v>Prior Year </v>
      </c>
      <c r="D35" s="149" t="str">
        <f t="shared" si="0"/>
        <v>Current Year </v>
      </c>
      <c r="E35" s="149" t="str">
        <f t="shared" si="0"/>
        <v>Proposed Budget </v>
      </c>
    </row>
    <row r="36" spans="2:5" ht="15.75">
      <c r="B36" s="461" t="str">
        <f>inputPrYr!$B$47</f>
        <v>Sheriff Drug Fund</v>
      </c>
      <c r="C36" s="306" t="str">
        <f t="shared" si="0"/>
        <v>Actual for 2011</v>
      </c>
      <c r="D36" s="306" t="str">
        <f t="shared" si="0"/>
        <v>Estimate for 2012</v>
      </c>
      <c r="E36" s="306" t="str">
        <f t="shared" si="0"/>
        <v>Year for 2013</v>
      </c>
    </row>
    <row r="37" spans="2:5" ht="15.75">
      <c r="B37" s="153" t="s">
        <v>851</v>
      </c>
      <c r="C37" s="94">
        <v>131452</v>
      </c>
      <c r="D37" s="259">
        <f>C60</f>
        <v>128581</v>
      </c>
      <c r="E37" s="259">
        <f>D60</f>
        <v>144581</v>
      </c>
    </row>
    <row r="38" spans="2:5" ht="15.75">
      <c r="B38" s="153" t="s">
        <v>853</v>
      </c>
      <c r="C38" s="163"/>
      <c r="D38" s="163"/>
      <c r="E38" s="163"/>
    </row>
    <row r="39" spans="2:5" ht="15.75">
      <c r="B39" s="311" t="s">
        <v>441</v>
      </c>
      <c r="C39" s="94">
        <v>60059</v>
      </c>
      <c r="D39" s="94">
        <v>150000</v>
      </c>
      <c r="E39" s="94">
        <v>150000</v>
      </c>
    </row>
    <row r="40" spans="2:5" ht="15.75">
      <c r="B40" s="311"/>
      <c r="C40" s="94"/>
      <c r="D40" s="94"/>
      <c r="E40" s="94"/>
    </row>
    <row r="41" spans="2:5" ht="15.75">
      <c r="B41" s="311"/>
      <c r="C41" s="94"/>
      <c r="D41" s="94"/>
      <c r="E41" s="94"/>
    </row>
    <row r="42" spans="2:5" ht="15.75">
      <c r="B42" s="299" t="s">
        <v>731</v>
      </c>
      <c r="C42" s="94">
        <v>456</v>
      </c>
      <c r="D42" s="94">
        <v>1000</v>
      </c>
      <c r="E42" s="94">
        <v>1000</v>
      </c>
    </row>
    <row r="43" spans="2:5" ht="15.75">
      <c r="B43" s="300" t="s">
        <v>973</v>
      </c>
      <c r="C43" s="94"/>
      <c r="D43" s="320"/>
      <c r="E43" s="320"/>
    </row>
    <row r="44" spans="2:5" ht="15.75">
      <c r="B44" s="300" t="s">
        <v>67</v>
      </c>
      <c r="C44" s="454">
        <f>IF(C45*0.1&lt;C43,"Exceed 10% Rule","")</f>
      </c>
      <c r="D44" s="301">
        <f>IF(D45*0.1&lt;D43,"Exceed 10% Rule","")</f>
      </c>
      <c r="E44" s="301">
        <f>IF(E45*0.1&lt;E43,"Exceed 10% Rule","")</f>
      </c>
    </row>
    <row r="45" spans="2:5" ht="15.75">
      <c r="B45" s="302" t="s">
        <v>732</v>
      </c>
      <c r="C45" s="348">
        <f>SUM(C39:C43)</f>
        <v>60515</v>
      </c>
      <c r="D45" s="348">
        <f>SUM(D39:D43)</f>
        <v>151000</v>
      </c>
      <c r="E45" s="348">
        <f>SUM(E39:E43)</f>
        <v>151000</v>
      </c>
    </row>
    <row r="46" spans="2:5" ht="15.75">
      <c r="B46" s="302" t="s">
        <v>733</v>
      </c>
      <c r="C46" s="348">
        <f>C37+C45</f>
        <v>191967</v>
      </c>
      <c r="D46" s="348">
        <f>D37+D45</f>
        <v>279581</v>
      </c>
      <c r="E46" s="348">
        <f>E37+E45</f>
        <v>295581</v>
      </c>
    </row>
    <row r="47" spans="2:5" ht="15.75">
      <c r="B47" s="153" t="s">
        <v>736</v>
      </c>
      <c r="C47" s="259"/>
      <c r="D47" s="259"/>
      <c r="E47" s="259"/>
    </row>
    <row r="48" spans="2:5" ht="15.75">
      <c r="B48" s="311" t="s">
        <v>449</v>
      </c>
      <c r="C48" s="94">
        <v>63386</v>
      </c>
      <c r="D48" s="94">
        <v>135000</v>
      </c>
      <c r="E48" s="94">
        <v>295581</v>
      </c>
    </row>
    <row r="49" spans="2:5" ht="15.75">
      <c r="B49" s="311"/>
      <c r="C49" s="94"/>
      <c r="D49" s="94"/>
      <c r="E49" s="94"/>
    </row>
    <row r="50" spans="2:5" ht="15.75">
      <c r="B50" s="311"/>
      <c r="C50" s="94"/>
      <c r="D50" s="94"/>
      <c r="E50" s="94"/>
    </row>
    <row r="51" spans="2:5" ht="15.75">
      <c r="B51" s="311"/>
      <c r="C51" s="94"/>
      <c r="D51" s="94"/>
      <c r="E51" s="94"/>
    </row>
    <row r="52" spans="2:5" ht="15.75">
      <c r="B52" s="311"/>
      <c r="C52" s="94"/>
      <c r="D52" s="94"/>
      <c r="E52" s="94"/>
    </row>
    <row r="53" spans="2:5" ht="15.75">
      <c r="B53" s="311"/>
      <c r="C53" s="94"/>
      <c r="D53" s="94"/>
      <c r="E53" s="94"/>
    </row>
    <row r="54" spans="2:5" ht="15.75">
      <c r="B54" s="311"/>
      <c r="C54" s="94"/>
      <c r="D54" s="94"/>
      <c r="E54" s="94"/>
    </row>
    <row r="55" spans="2:5" ht="15.75">
      <c r="B55" s="311"/>
      <c r="C55" s="94"/>
      <c r="D55" s="94"/>
      <c r="E55" s="94"/>
    </row>
    <row r="56" spans="2:5" ht="15.75">
      <c r="B56" s="311"/>
      <c r="C56" s="94"/>
      <c r="D56" s="94"/>
      <c r="E56" s="94"/>
    </row>
    <row r="57" spans="2:5" ht="15.75">
      <c r="B57" s="300" t="s">
        <v>973</v>
      </c>
      <c r="C57" s="94"/>
      <c r="D57" s="320"/>
      <c r="E57" s="320"/>
    </row>
    <row r="58" spans="2:5" ht="15.75">
      <c r="B58" s="300" t="s">
        <v>68</v>
      </c>
      <c r="C58" s="454">
        <f>IF(C59*0.1&lt;C57,"Exceed 10% Rule","")</f>
      </c>
      <c r="D58" s="301">
        <f>IF(D59*0.1&lt;D57,"Exceed 10% Rule","")</f>
      </c>
      <c r="E58" s="301">
        <f>IF(E59*0.1&lt;E57,"Exceed 10% Rule","")</f>
      </c>
    </row>
    <row r="59" spans="2:5" ht="15.75">
      <c r="B59" s="302" t="s">
        <v>737</v>
      </c>
      <c r="C59" s="348">
        <f>SUM(C48:C57)</f>
        <v>63386</v>
      </c>
      <c r="D59" s="348">
        <f>SUM(D48:D57)</f>
        <v>135000</v>
      </c>
      <c r="E59" s="348">
        <f>SUM(E48:E57)</f>
        <v>295581</v>
      </c>
    </row>
    <row r="60" spans="2:5" ht="15.75">
      <c r="B60" s="153" t="s">
        <v>852</v>
      </c>
      <c r="C60" s="98">
        <f>C46-C59</f>
        <v>128581</v>
      </c>
      <c r="D60" s="98">
        <f>D46-D59</f>
        <v>144581</v>
      </c>
      <c r="E60" s="98">
        <f>E46-E59</f>
        <v>0</v>
      </c>
    </row>
    <row r="61" spans="2:5" ht="15.75">
      <c r="B61" s="281" t="str">
        <f>CONCATENATE("",$E$1-2,"/",$E$1-1," Budget Authority Amount:")</f>
        <v>2011/2012 Budget Authority Amount:</v>
      </c>
      <c r="C61" s="273">
        <f>inputOth!B57</f>
        <v>276778</v>
      </c>
      <c r="D61" s="273">
        <f>inputPrYr!D47</f>
        <v>261452</v>
      </c>
      <c r="E61" s="462">
        <f>IF($E$60&lt;0,"See Tab E","")</f>
      </c>
    </row>
    <row r="62" spans="2:5" ht="15.75">
      <c r="B62" s="281"/>
      <c r="C62" s="315">
        <f>IF(C59&gt;C61,"See Tab A","")</f>
      </c>
      <c r="D62" s="315">
        <f>IF(D59&gt;D61,"See Tab C","")</f>
      </c>
      <c r="E62" s="67"/>
    </row>
    <row r="63" spans="2:5" ht="15.75">
      <c r="B63" s="281"/>
      <c r="C63" s="315">
        <f>IF(C60&lt;0,"See Tab B","")</f>
      </c>
      <c r="D63" s="315">
        <f>IF(D60&lt;0,"See Tab D","")</f>
      </c>
      <c r="E63" s="67"/>
    </row>
    <row r="64" spans="2:5" ht="15.75">
      <c r="B64" s="67"/>
      <c r="C64" s="67"/>
      <c r="D64" s="67"/>
      <c r="E64" s="67"/>
    </row>
    <row r="65" spans="2:5" ht="15.75">
      <c r="B65" s="316" t="s">
        <v>762</v>
      </c>
      <c r="C65" s="334">
        <v>20</v>
      </c>
      <c r="D65" s="67"/>
      <c r="E65" s="67"/>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D59">
    <cfRule type="cellIs" priority="15" dxfId="2" operator="greaterThan" stopIfTrue="1">
      <formula>$D$61</formula>
    </cfRule>
  </conditionalFormatting>
  <conditionalFormatting sqref="C59">
    <cfRule type="cellIs" priority="16" dxfId="2" operator="greaterThan" stopIfTrue="1">
      <formula>$C$61</formula>
    </cfRule>
  </conditionalFormatting>
  <conditionalFormatting sqref="E60 C60 E29 C29">
    <cfRule type="cellIs" priority="17" dxfId="2" operator="lessThan" stopIfTrue="1">
      <formula>0</formula>
    </cfRule>
  </conditionalFormatting>
  <conditionalFormatting sqref="C28">
    <cfRule type="cellIs" priority="18" dxfId="2" operator="greaterThan" stopIfTrue="1">
      <formula>$C$30</formula>
    </cfRule>
  </conditionalFormatting>
  <conditionalFormatting sqref="D28">
    <cfRule type="cellIs" priority="19" dxfId="2" operator="greaterThan" stopIfTrue="1">
      <formula>$D$30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1" customWidth="1"/>
    <col min="2" max="2" width="31.09765625" style="1" customWidth="1"/>
    <col min="3" max="4" width="15.796875" style="1" customWidth="1"/>
    <col min="5" max="5" width="16.296875" style="1" customWidth="1"/>
    <col min="6" max="16384" width="8.8984375" style="1" customWidth="1"/>
  </cols>
  <sheetData>
    <row r="1" spans="2:5" ht="15.75">
      <c r="B1" s="9" t="str">
        <f>(inputPrYr!C3)</f>
        <v>Russell County</v>
      </c>
      <c r="C1" s="5"/>
      <c r="D1" s="5"/>
      <c r="E1" s="27">
        <f>inputPrYr!C5</f>
        <v>2013</v>
      </c>
    </row>
    <row r="2" spans="2:5" ht="15.75">
      <c r="B2" s="11"/>
      <c r="C2" s="12"/>
      <c r="D2" s="12"/>
      <c r="E2" s="15"/>
    </row>
    <row r="3" spans="2:5" ht="15.75">
      <c r="B3" s="11" t="s">
        <v>811</v>
      </c>
      <c r="C3" s="7"/>
      <c r="D3" s="7"/>
      <c r="E3" s="7"/>
    </row>
    <row r="4" spans="2:5" ht="15.75">
      <c r="B4" s="6" t="s">
        <v>723</v>
      </c>
      <c r="C4" s="625" t="s">
        <v>197</v>
      </c>
      <c r="D4" s="626" t="s">
        <v>198</v>
      </c>
      <c r="E4" s="149" t="s">
        <v>199</v>
      </c>
    </row>
    <row r="5" spans="2:5" ht="15.75">
      <c r="B5" s="459" t="str">
        <f>inputPrYr!$B$48</f>
        <v>Parks and Recreation</v>
      </c>
      <c r="C5" s="441" t="str">
        <f>CONCATENATE("Actual for ",E1-2,"")</f>
        <v>Actual for 2011</v>
      </c>
      <c r="D5" s="441" t="str">
        <f>CONCATENATE("Estimate for ",E1-1,"")</f>
        <v>Estimate for 2012</v>
      </c>
      <c r="E5" s="294" t="str">
        <f>CONCATENATE("Year for ",E1,"")</f>
        <v>Year for 2013</v>
      </c>
    </row>
    <row r="6" spans="2:5" ht="15.75">
      <c r="B6" s="4" t="s">
        <v>851</v>
      </c>
      <c r="C6" s="2">
        <v>524</v>
      </c>
      <c r="D6" s="14">
        <f>C29</f>
        <v>543</v>
      </c>
      <c r="E6" s="14">
        <f>D29</f>
        <v>1043</v>
      </c>
    </row>
    <row r="7" spans="2:5" ht="15.75">
      <c r="B7" s="41" t="s">
        <v>853</v>
      </c>
      <c r="C7" s="8"/>
      <c r="D7" s="8"/>
      <c r="E7" s="8"/>
    </row>
    <row r="8" spans="2:5" ht="15.75">
      <c r="B8" s="42" t="s">
        <v>446</v>
      </c>
      <c r="C8" s="2">
        <v>19</v>
      </c>
      <c r="D8" s="2">
        <v>500</v>
      </c>
      <c r="E8" s="2">
        <v>500</v>
      </c>
    </row>
    <row r="9" spans="2:5" ht="15.75">
      <c r="B9" s="42"/>
      <c r="C9" s="2"/>
      <c r="D9" s="2"/>
      <c r="E9" s="2"/>
    </row>
    <row r="10" spans="2:5" ht="15.75">
      <c r="B10" s="42"/>
      <c r="C10" s="2"/>
      <c r="D10" s="2"/>
      <c r="E10" s="2"/>
    </row>
    <row r="11" spans="2:5" ht="15.75">
      <c r="B11" s="3" t="s">
        <v>731</v>
      </c>
      <c r="C11" s="2"/>
      <c r="D11" s="2"/>
      <c r="E11" s="2"/>
    </row>
    <row r="12" spans="2:5" ht="15.75">
      <c r="B12" s="28" t="s">
        <v>973</v>
      </c>
      <c r="C12" s="2"/>
      <c r="D12" s="43"/>
      <c r="E12" s="43"/>
    </row>
    <row r="13" spans="2:5" ht="15.75">
      <c r="B13" s="28" t="s">
        <v>67</v>
      </c>
      <c r="C13" s="455">
        <f>IF(C14*0.1&lt;C12,"Exceed 10% Rule","")</f>
      </c>
      <c r="D13" s="44">
        <f>IF(D14*0.1&lt;D12,"Exceed 10% Rule","")</f>
      </c>
      <c r="E13" s="44">
        <f>IF(E14*0.1&lt;E12,"Exceed 10% Rule","")</f>
      </c>
    </row>
    <row r="14" spans="2:5" ht="15.75">
      <c r="B14" s="30" t="s">
        <v>732</v>
      </c>
      <c r="C14" s="40">
        <f>SUM(C8:C12)</f>
        <v>19</v>
      </c>
      <c r="D14" s="40">
        <f>SUM(D8:D12)</f>
        <v>500</v>
      </c>
      <c r="E14" s="40">
        <f>SUM(E8:E12)</f>
        <v>500</v>
      </c>
    </row>
    <row r="15" spans="2:5" ht="15.75">
      <c r="B15" s="30" t="s">
        <v>733</v>
      </c>
      <c r="C15" s="40">
        <f>C14+C6</f>
        <v>543</v>
      </c>
      <c r="D15" s="40">
        <f>D14+D6</f>
        <v>1043</v>
      </c>
      <c r="E15" s="40">
        <f>E14+E6</f>
        <v>1543</v>
      </c>
    </row>
    <row r="16" spans="2:5" ht="15.75">
      <c r="B16" s="4" t="s">
        <v>736</v>
      </c>
      <c r="C16" s="14"/>
      <c r="D16" s="14"/>
      <c r="E16" s="14"/>
    </row>
    <row r="17" spans="2:5" ht="15.75">
      <c r="B17" s="42" t="s">
        <v>448</v>
      </c>
      <c r="C17" s="2"/>
      <c r="D17" s="2"/>
      <c r="E17" s="2">
        <v>1543</v>
      </c>
    </row>
    <row r="18" spans="2:5" ht="15.75">
      <c r="B18" s="42"/>
      <c r="C18" s="2"/>
      <c r="D18" s="2"/>
      <c r="E18" s="2"/>
    </row>
    <row r="19" spans="2:5" ht="15.75">
      <c r="B19" s="42"/>
      <c r="C19" s="2"/>
      <c r="D19" s="2"/>
      <c r="E19" s="2"/>
    </row>
    <row r="20" spans="2:5" ht="15.75">
      <c r="B20" s="42"/>
      <c r="C20" s="2"/>
      <c r="D20" s="2"/>
      <c r="E20" s="2"/>
    </row>
    <row r="21" spans="2:5" ht="15.75">
      <c r="B21" s="42"/>
      <c r="C21" s="2"/>
      <c r="D21" s="2"/>
      <c r="E21" s="2"/>
    </row>
    <row r="22" spans="2:5" ht="15.75">
      <c r="B22" s="42"/>
      <c r="C22" s="2"/>
      <c r="D22" s="2"/>
      <c r="E22" s="2"/>
    </row>
    <row r="23" spans="2:5" ht="15.75">
      <c r="B23" s="42"/>
      <c r="C23" s="2"/>
      <c r="D23" s="2"/>
      <c r="E23" s="2"/>
    </row>
    <row r="24" spans="2:5" ht="15.75">
      <c r="B24" s="42"/>
      <c r="C24" s="2"/>
      <c r="D24" s="2"/>
      <c r="E24" s="2"/>
    </row>
    <row r="25" spans="2:5" ht="15.75">
      <c r="B25" s="42"/>
      <c r="C25" s="2"/>
      <c r="D25" s="2"/>
      <c r="E25" s="2"/>
    </row>
    <row r="26" spans="2:5" ht="15.75">
      <c r="B26" s="28" t="s">
        <v>973</v>
      </c>
      <c r="C26" s="2"/>
      <c r="D26" s="43"/>
      <c r="E26" s="43"/>
    </row>
    <row r="27" spans="2:5" ht="15.75">
      <c r="B27" s="28" t="s">
        <v>68</v>
      </c>
      <c r="C27" s="455">
        <f>IF(C28*0.1&lt;C26,"Exceed 10% Rule","")</f>
      </c>
      <c r="D27" s="44">
        <f>IF(D28*0.1&lt;D26,"Exceed 10% Rule","")</f>
      </c>
      <c r="E27" s="44">
        <f>IF(E28*0.1&lt;E26,"Exceed 10% Rule","")</f>
      </c>
    </row>
    <row r="28" spans="2:5" ht="15.75">
      <c r="B28" s="30" t="s">
        <v>737</v>
      </c>
      <c r="C28" s="40">
        <f>SUM(C17:C26)</f>
        <v>0</v>
      </c>
      <c r="D28" s="40">
        <f>SUM(D17:D26)</f>
        <v>0</v>
      </c>
      <c r="E28" s="40">
        <f>SUM(E17:E26)</f>
        <v>1543</v>
      </c>
    </row>
    <row r="29" spans="2:5" ht="15.75">
      <c r="B29" s="4" t="s">
        <v>852</v>
      </c>
      <c r="C29" s="39">
        <f>C15-C28</f>
        <v>543</v>
      </c>
      <c r="D29" s="39">
        <f>D15-D28</f>
        <v>1043</v>
      </c>
      <c r="E29" s="39">
        <f>E15-E28</f>
        <v>0</v>
      </c>
    </row>
    <row r="30" spans="2:5" ht="15.75">
      <c r="B30" s="13" t="str">
        <f>CONCATENATE("",$E$1-2,"/",$E$1-1," Budget Authority Amount:")</f>
        <v>2011/2012 Budget Authority Amount:</v>
      </c>
      <c r="C30" s="463">
        <f>inputOth!B58</f>
        <v>1381</v>
      </c>
      <c r="D30" s="463">
        <f>inputPrYr!D48</f>
        <v>1524</v>
      </c>
      <c r="E30" s="472">
        <f>IF($E$29&lt;0,"See Tab E","")</f>
      </c>
    </row>
    <row r="31" spans="2:5" ht="15.75">
      <c r="B31" s="13"/>
      <c r="C31" s="315">
        <f>IF(C28&gt;C30,"See Tab A","")</f>
      </c>
      <c r="D31" s="315">
        <f>IF(D28&gt;D30,"See Tab C","")</f>
      </c>
      <c r="E31" s="10"/>
    </row>
    <row r="32" spans="2:5" ht="15.75">
      <c r="B32" s="13"/>
      <c r="C32" s="315">
        <f>IF(C29&lt;0,"See Tab B","")</f>
      </c>
      <c r="D32" s="315">
        <f>IF(D29&lt;0,"See Tab D","")</f>
      </c>
      <c r="E32" s="10"/>
    </row>
    <row r="33" spans="2:5" ht="15.75">
      <c r="B33" s="5"/>
      <c r="C33" s="10"/>
      <c r="D33" s="10"/>
      <c r="E33" s="10"/>
    </row>
    <row r="34" spans="2:5" ht="15.75">
      <c r="B34" s="6"/>
      <c r="C34" s="7"/>
      <c r="D34" s="7"/>
      <c r="E34" s="7"/>
    </row>
    <row r="35" spans="2:5" ht="15.75">
      <c r="B35" s="6" t="s">
        <v>723</v>
      </c>
      <c r="C35" s="627" t="str">
        <f aca="true" t="shared" si="0" ref="C35:E36">C4</f>
        <v>Prior Year </v>
      </c>
      <c r="D35" s="628" t="str">
        <f t="shared" si="0"/>
        <v>Current Year </v>
      </c>
      <c r="E35" s="628" t="str">
        <f t="shared" si="0"/>
        <v>Proposed Budget </v>
      </c>
    </row>
    <row r="36" spans="2:5" ht="15.75">
      <c r="B36" s="459" t="str">
        <f>inputPrYr!$B$49</f>
        <v>Tourism &amp; Convention</v>
      </c>
      <c r="C36" s="29" t="str">
        <f t="shared" si="0"/>
        <v>Actual for 2011</v>
      </c>
      <c r="D36" s="29" t="str">
        <f t="shared" si="0"/>
        <v>Estimate for 2012</v>
      </c>
      <c r="E36" s="29" t="str">
        <f t="shared" si="0"/>
        <v>Year for 2013</v>
      </c>
    </row>
    <row r="37" spans="2:5" ht="15.75">
      <c r="B37" s="4" t="s">
        <v>851</v>
      </c>
      <c r="C37" s="2"/>
      <c r="D37" s="14">
        <f>C60</f>
        <v>0</v>
      </c>
      <c r="E37" s="14">
        <f>D60</f>
        <v>0</v>
      </c>
    </row>
    <row r="38" spans="2:5" ht="15.75">
      <c r="B38" s="4" t="s">
        <v>853</v>
      </c>
      <c r="C38" s="8"/>
      <c r="D38" s="8"/>
      <c r="E38" s="8"/>
    </row>
    <row r="39" spans="2:5" ht="15.75">
      <c r="B39" s="42" t="s">
        <v>446</v>
      </c>
      <c r="C39" s="2">
        <v>89499</v>
      </c>
      <c r="D39" s="2">
        <v>120000</v>
      </c>
      <c r="E39" s="2">
        <v>120000</v>
      </c>
    </row>
    <row r="40" spans="2:5" ht="15.75">
      <c r="B40" s="42"/>
      <c r="C40" s="2"/>
      <c r="D40" s="2"/>
      <c r="E40" s="2"/>
    </row>
    <row r="41" spans="2:5" ht="15.75">
      <c r="B41" s="42"/>
      <c r="C41" s="2"/>
      <c r="D41" s="2"/>
      <c r="E41" s="2"/>
    </row>
    <row r="42" spans="2:5" ht="15.75">
      <c r="B42" s="3" t="s">
        <v>731</v>
      </c>
      <c r="C42" s="2"/>
      <c r="D42" s="2"/>
      <c r="E42" s="2"/>
    </row>
    <row r="43" spans="2:5" ht="15.75">
      <c r="B43" s="28" t="s">
        <v>973</v>
      </c>
      <c r="C43" s="2"/>
      <c r="D43" s="43"/>
      <c r="E43" s="43"/>
    </row>
    <row r="44" spans="2:5" ht="15.75">
      <c r="B44" s="28" t="s">
        <v>67</v>
      </c>
      <c r="C44" s="455">
        <f>IF(C45*0.1&lt;C43,"Exceed 10% Rule","")</f>
      </c>
      <c r="D44" s="44">
        <f>IF(D45*0.1&lt;D43,"Exceed 10% Rule","")</f>
      </c>
      <c r="E44" s="44">
        <f>IF(E45*0.1&lt;E43,"Exceed 10% Rule","")</f>
      </c>
    </row>
    <row r="45" spans="2:5" ht="15.75">
      <c r="B45" s="30" t="s">
        <v>732</v>
      </c>
      <c r="C45" s="40">
        <f>SUM(C39:C43)</f>
        <v>89499</v>
      </c>
      <c r="D45" s="40">
        <f>SUM(D39:D43)</f>
        <v>120000</v>
      </c>
      <c r="E45" s="40">
        <f>SUM(E39:E43)</f>
        <v>120000</v>
      </c>
    </row>
    <row r="46" spans="2:5" ht="15.75">
      <c r="B46" s="30" t="s">
        <v>733</v>
      </c>
      <c r="C46" s="40">
        <f>C37+C45</f>
        <v>89499</v>
      </c>
      <c r="D46" s="40">
        <f>D37+D45</f>
        <v>120000</v>
      </c>
      <c r="E46" s="40">
        <f>E37+E45</f>
        <v>120000</v>
      </c>
    </row>
    <row r="47" spans="2:5" ht="15.75">
      <c r="B47" s="4" t="s">
        <v>736</v>
      </c>
      <c r="C47" s="14"/>
      <c r="D47" s="14"/>
      <c r="E47" s="14"/>
    </row>
    <row r="48" spans="2:5" ht="15.75">
      <c r="B48" s="42" t="s">
        <v>447</v>
      </c>
      <c r="C48" s="2">
        <v>89499</v>
      </c>
      <c r="D48" s="2">
        <v>120000</v>
      </c>
      <c r="E48" s="2">
        <v>120000</v>
      </c>
    </row>
    <row r="49" spans="2:5" ht="15.75">
      <c r="B49" s="42"/>
      <c r="C49" s="2"/>
      <c r="D49" s="2"/>
      <c r="E49" s="2"/>
    </row>
    <row r="50" spans="2:5" ht="15.75">
      <c r="B50" s="42"/>
      <c r="C50" s="2"/>
      <c r="D50" s="2"/>
      <c r="E50" s="2"/>
    </row>
    <row r="51" spans="2:5" ht="15.75">
      <c r="B51" s="42"/>
      <c r="C51" s="2"/>
      <c r="D51" s="2"/>
      <c r="E51" s="2"/>
    </row>
    <row r="52" spans="2:5" ht="15.75">
      <c r="B52" s="42"/>
      <c r="C52" s="2"/>
      <c r="D52" s="2"/>
      <c r="E52" s="2"/>
    </row>
    <row r="53" spans="2:5" ht="15.75">
      <c r="B53" s="42"/>
      <c r="C53" s="2"/>
      <c r="D53" s="2"/>
      <c r="E53" s="2"/>
    </row>
    <row r="54" spans="2:5" ht="15.75">
      <c r="B54" s="42"/>
      <c r="C54" s="2"/>
      <c r="D54" s="2"/>
      <c r="E54" s="2"/>
    </row>
    <row r="55" spans="2:5" ht="15.75">
      <c r="B55" s="42"/>
      <c r="C55" s="2"/>
      <c r="D55" s="2"/>
      <c r="E55" s="2"/>
    </row>
    <row r="56" spans="2:5" ht="15.75">
      <c r="B56" s="42"/>
      <c r="C56" s="2"/>
      <c r="D56" s="2"/>
      <c r="E56" s="2"/>
    </row>
    <row r="57" spans="2:5" ht="15.75">
      <c r="B57" s="28" t="s">
        <v>973</v>
      </c>
      <c r="C57" s="2"/>
      <c r="D57" s="43"/>
      <c r="E57" s="43"/>
    </row>
    <row r="58" spans="2:5" ht="15.75">
      <c r="B58" s="28" t="s">
        <v>68</v>
      </c>
      <c r="C58" s="455">
        <f>IF(C59*0.1&lt;C57,"Exceed 10% Rule","")</f>
      </c>
      <c r="D58" s="44">
        <f>IF(D59*0.1&lt;D57,"Exceed 10% Rule","")</f>
      </c>
      <c r="E58" s="44">
        <f>IF(E59*0.1&lt;E57,"Exceed 10% Rule","")</f>
      </c>
    </row>
    <row r="59" spans="2:5" ht="15.75">
      <c r="B59" s="30" t="s">
        <v>737</v>
      </c>
      <c r="C59" s="40">
        <f>SUM(C48:C57)</f>
        <v>89499</v>
      </c>
      <c r="D59" s="40">
        <f>SUM(D48:D57)</f>
        <v>120000</v>
      </c>
      <c r="E59" s="40">
        <f>SUM(E48:E57)</f>
        <v>120000</v>
      </c>
    </row>
    <row r="60" spans="2:5" ht="15.75">
      <c r="B60" s="4" t="s">
        <v>852</v>
      </c>
      <c r="C60" s="39">
        <f>C46-C59</f>
        <v>0</v>
      </c>
      <c r="D60" s="39">
        <f>D46-D59</f>
        <v>0</v>
      </c>
      <c r="E60" s="39">
        <f>E46-E59</f>
        <v>0</v>
      </c>
    </row>
    <row r="61" spans="2:5" ht="15.75">
      <c r="B61" s="13" t="str">
        <f>CONCATENATE("",$E$1-2,"/",$E$1-1," Budget Authority Amount:")</f>
        <v>2011/2012 Budget Authority Amount:</v>
      </c>
      <c r="C61" s="463">
        <f>inputOth!B59</f>
        <v>120000</v>
      </c>
      <c r="D61" s="463">
        <f>inputPrYr!D49</f>
        <v>120000</v>
      </c>
      <c r="E61" s="456">
        <f>IF($E$60&lt;0,"See Tab E","")</f>
      </c>
    </row>
    <row r="62" spans="2:5" ht="15.75">
      <c r="B62" s="13"/>
      <c r="C62" s="315">
        <f>IF(C59&gt;C61,"See Tab A","")</f>
      </c>
      <c r="D62" s="315">
        <f>IF(D59&gt;D61,"See Tab C","")</f>
      </c>
      <c r="E62" s="5"/>
    </row>
    <row r="63" spans="2:5" ht="15.75">
      <c r="B63" s="13"/>
      <c r="C63" s="315">
        <f>IF(C60&lt;0,"See Tab B","")</f>
      </c>
      <c r="D63" s="315">
        <f>IF(D60&lt;0,"See Tab D","")</f>
      </c>
      <c r="E63" s="5"/>
    </row>
    <row r="64" spans="2:5" ht="15.75">
      <c r="B64" s="5"/>
      <c r="C64" s="5"/>
      <c r="D64" s="5"/>
      <c r="E64" s="5"/>
    </row>
    <row r="65" spans="2:5" ht="15.75">
      <c r="B65" s="316" t="s">
        <v>762</v>
      </c>
      <c r="C65" s="31">
        <v>21</v>
      </c>
      <c r="D65" s="5"/>
      <c r="E65" s="5"/>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C28">
    <cfRule type="cellIs" priority="18" dxfId="2" operator="greaterThan" stopIfTrue="1">
      <formula>$C$30</formula>
    </cfRule>
  </conditionalFormatting>
  <conditionalFormatting sqref="D28">
    <cfRule type="cellIs" priority="19" dxfId="2" operator="greaterThan" stopIfTrue="1">
      <formula>$D$30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52" customWidth="1"/>
    <col min="2" max="2" width="31.09765625" style="52" customWidth="1"/>
    <col min="3" max="4" width="15.796875" style="52" customWidth="1"/>
    <col min="5" max="5" width="16.19921875" style="52" customWidth="1"/>
    <col min="6"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209" t="s">
        <v>811</v>
      </c>
      <c r="C3" s="145"/>
      <c r="D3" s="145"/>
      <c r="E3" s="145"/>
    </row>
    <row r="4" spans="2:5" ht="15.75">
      <c r="B4" s="66" t="s">
        <v>723</v>
      </c>
      <c r="C4" s="625" t="s">
        <v>197</v>
      </c>
      <c r="D4" s="626" t="s">
        <v>198</v>
      </c>
      <c r="E4" s="149" t="s">
        <v>199</v>
      </c>
    </row>
    <row r="5" spans="2:5" ht="15.75">
      <c r="B5" s="461" t="str">
        <f>inputPrYr!$B$50</f>
        <v>E-911 Cell Phone Tax</v>
      </c>
      <c r="C5" s="441" t="str">
        <f>CONCATENATE("Actual for ",E1-2,"")</f>
        <v>Actual for 2011</v>
      </c>
      <c r="D5" s="441" t="str">
        <f>CONCATENATE("Estimate for ",E1-1,"")</f>
        <v>Estimate for 2012</v>
      </c>
      <c r="E5" s="294" t="str">
        <f>CONCATENATE("Year for ",E1,"")</f>
        <v>Year for 2013</v>
      </c>
    </row>
    <row r="6" spans="2:5" ht="15.75">
      <c r="B6" s="153" t="s">
        <v>851</v>
      </c>
      <c r="C6" s="94">
        <v>55906</v>
      </c>
      <c r="D6" s="259">
        <f>C29</f>
        <v>51674</v>
      </c>
      <c r="E6" s="259">
        <f>D29</f>
        <v>49174</v>
      </c>
    </row>
    <row r="7" spans="2:5" ht="15.75">
      <c r="B7" s="175" t="s">
        <v>853</v>
      </c>
      <c r="C7" s="163"/>
      <c r="D7" s="163"/>
      <c r="E7" s="163"/>
    </row>
    <row r="8" spans="2:5" ht="15.75">
      <c r="B8" s="311"/>
      <c r="C8" s="94"/>
      <c r="D8" s="94"/>
      <c r="E8" s="94"/>
    </row>
    <row r="9" spans="2:5" ht="15.75">
      <c r="B9" s="311" t="s">
        <v>444</v>
      </c>
      <c r="C9" s="94">
        <v>14931</v>
      </c>
      <c r="D9" s="94">
        <v>25000</v>
      </c>
      <c r="E9" s="94">
        <v>25000</v>
      </c>
    </row>
    <row r="10" spans="2:5" ht="15.75">
      <c r="B10" s="311"/>
      <c r="C10" s="94"/>
      <c r="D10" s="94"/>
      <c r="E10" s="94"/>
    </row>
    <row r="11" spans="2:5" ht="15.75">
      <c r="B11" s="299" t="s">
        <v>731</v>
      </c>
      <c r="C11" s="94"/>
      <c r="D11" s="94"/>
      <c r="E11" s="94"/>
    </row>
    <row r="12" spans="2:5" ht="15.75">
      <c r="B12" s="300" t="s">
        <v>973</v>
      </c>
      <c r="C12" s="94"/>
      <c r="D12" s="320"/>
      <c r="E12" s="320"/>
    </row>
    <row r="13" spans="2:5" ht="15.75">
      <c r="B13" s="300" t="s">
        <v>67</v>
      </c>
      <c r="C13" s="454">
        <f>IF(C14*0.1&lt;C12,"Exceed 10% Rule","")</f>
      </c>
      <c r="D13" s="301">
        <f>IF(D14*0.1&lt;D12,"Exceed 10% Rule","")</f>
      </c>
      <c r="E13" s="301">
        <f>IF(E14*0.1&lt;E12,"Exceed 10% Rule","")</f>
      </c>
    </row>
    <row r="14" spans="2:5" ht="15.75">
      <c r="B14" s="302" t="s">
        <v>732</v>
      </c>
      <c r="C14" s="348">
        <f>SUM(C8:C12)</f>
        <v>14931</v>
      </c>
      <c r="D14" s="348">
        <f>SUM(D8:D12)</f>
        <v>25000</v>
      </c>
      <c r="E14" s="348">
        <f>SUM(E8:E12)</f>
        <v>25000</v>
      </c>
    </row>
    <row r="15" spans="2:5" ht="15.75">
      <c r="B15" s="302" t="s">
        <v>733</v>
      </c>
      <c r="C15" s="348">
        <f>C14+C6</f>
        <v>70837</v>
      </c>
      <c r="D15" s="348">
        <f>D14+D6</f>
        <v>76674</v>
      </c>
      <c r="E15" s="348">
        <f>E14+E6</f>
        <v>74174</v>
      </c>
    </row>
    <row r="16" spans="2:5" ht="15.75">
      <c r="B16" s="153" t="s">
        <v>736</v>
      </c>
      <c r="C16" s="259"/>
      <c r="D16" s="259"/>
      <c r="E16" s="259"/>
    </row>
    <row r="17" spans="2:5" ht="15.75">
      <c r="B17" s="311" t="s">
        <v>445</v>
      </c>
      <c r="C17" s="94">
        <v>19163</v>
      </c>
      <c r="D17" s="94">
        <v>27500</v>
      </c>
      <c r="E17" s="94">
        <v>74174</v>
      </c>
    </row>
    <row r="18" spans="2:5" ht="15.75">
      <c r="B18" s="311"/>
      <c r="C18" s="94"/>
      <c r="D18" s="94"/>
      <c r="E18" s="94"/>
    </row>
    <row r="19" spans="2:5" ht="15.75">
      <c r="B19" s="311"/>
      <c r="C19" s="94"/>
      <c r="D19" s="94"/>
      <c r="E19" s="94"/>
    </row>
    <row r="20" spans="2:5" ht="15.75">
      <c r="B20" s="311"/>
      <c r="C20" s="94"/>
      <c r="D20" s="94"/>
      <c r="E20" s="94"/>
    </row>
    <row r="21" spans="2:5" ht="15.75">
      <c r="B21" s="311"/>
      <c r="C21" s="94"/>
      <c r="D21" s="94"/>
      <c r="E21" s="94"/>
    </row>
    <row r="22" spans="2:5" ht="15.75">
      <c r="B22" s="311"/>
      <c r="C22" s="94"/>
      <c r="D22" s="94"/>
      <c r="E22" s="94"/>
    </row>
    <row r="23" spans="2:5" ht="15.75">
      <c r="B23" s="311"/>
      <c r="C23" s="94"/>
      <c r="D23" s="94"/>
      <c r="E23" s="94"/>
    </row>
    <row r="24" spans="2:5" ht="15.75">
      <c r="B24" s="311"/>
      <c r="C24" s="94"/>
      <c r="D24" s="94"/>
      <c r="E24" s="94"/>
    </row>
    <row r="25" spans="2:5" ht="15.75">
      <c r="B25" s="311"/>
      <c r="C25" s="94"/>
      <c r="D25" s="94"/>
      <c r="E25" s="94"/>
    </row>
    <row r="26" spans="2:5" ht="15.75">
      <c r="B26" s="300" t="s">
        <v>973</v>
      </c>
      <c r="C26" s="94"/>
      <c r="D26" s="320"/>
      <c r="E26" s="320"/>
    </row>
    <row r="27" spans="2:5" ht="15.75">
      <c r="B27" s="300" t="s">
        <v>68</v>
      </c>
      <c r="C27" s="454">
        <f>IF(C28*0.1&lt;C26,"Exceed 10% Rule","")</f>
      </c>
      <c r="D27" s="301">
        <f>IF(D28*0.1&lt;D26,"Exceed 10% Rule","")</f>
      </c>
      <c r="E27" s="301">
        <f>IF(E28*0.1&lt;E26,"Exceed 10% Rule","")</f>
      </c>
    </row>
    <row r="28" spans="2:5" ht="15.75">
      <c r="B28" s="302" t="s">
        <v>737</v>
      </c>
      <c r="C28" s="348">
        <f>SUM(C17:C26)</f>
        <v>19163</v>
      </c>
      <c r="D28" s="348">
        <f>SUM(D17:D26)</f>
        <v>27500</v>
      </c>
      <c r="E28" s="348">
        <f>SUM(E17:E26)</f>
        <v>74174</v>
      </c>
    </row>
    <row r="29" spans="2:5" ht="15.75">
      <c r="B29" s="153" t="s">
        <v>852</v>
      </c>
      <c r="C29" s="98">
        <f>C15-C28</f>
        <v>51674</v>
      </c>
      <c r="D29" s="98">
        <f>D15-D28</f>
        <v>49174</v>
      </c>
      <c r="E29" s="98">
        <f>E15-E28</f>
        <v>0</v>
      </c>
    </row>
    <row r="30" spans="2:5" ht="15.75">
      <c r="B30" s="281" t="str">
        <f>CONCATENATE("",$E$1-2,"/",$E$1-1," Budget Authority Amount:")</f>
        <v>2011/2012 Budget Authority Amount:</v>
      </c>
      <c r="C30" s="273">
        <f>inputOth!B60</f>
        <v>54094</v>
      </c>
      <c r="D30" s="273">
        <f>inputPrYr!D50</f>
        <v>73406</v>
      </c>
      <c r="E30" s="472">
        <f>IF($E$29&lt;0,"See Tab E","")</f>
      </c>
    </row>
    <row r="31" spans="2:5" ht="15.75">
      <c r="B31" s="281"/>
      <c r="C31" s="315">
        <f>IF(C28&gt;C30,"See Tab A","")</f>
      </c>
      <c r="D31" s="315">
        <f>IF(D28&gt;D30,"See Tab C","")</f>
      </c>
      <c r="E31" s="127"/>
    </row>
    <row r="32" spans="2:5" ht="15.75">
      <c r="B32" s="281"/>
      <c r="C32" s="315">
        <f>IF(C29&lt;0,"See Tab B","")</f>
      </c>
      <c r="D32" s="315">
        <f>IF(D29&lt;0,"See Tab D","")</f>
      </c>
      <c r="E32" s="127"/>
    </row>
    <row r="33" spans="2:5" ht="15.75">
      <c r="B33" s="67"/>
      <c r="C33" s="127"/>
      <c r="D33" s="127"/>
      <c r="E33" s="127"/>
    </row>
    <row r="34" spans="2:5" ht="15.75">
      <c r="B34" s="66"/>
      <c r="C34" s="145"/>
      <c r="D34" s="145"/>
      <c r="E34" s="145"/>
    </row>
    <row r="35" spans="2:5" ht="15.75">
      <c r="B35" s="66" t="s">
        <v>723</v>
      </c>
      <c r="C35" s="335" t="str">
        <f aca="true" t="shared" si="0" ref="C35:E36">C4</f>
        <v>Prior Year </v>
      </c>
      <c r="D35" s="149" t="str">
        <f t="shared" si="0"/>
        <v>Current Year </v>
      </c>
      <c r="E35" s="149" t="str">
        <f t="shared" si="0"/>
        <v>Proposed Budget </v>
      </c>
    </row>
    <row r="36" spans="2:5" ht="15.75">
      <c r="B36" s="461" t="str">
        <f>inputPrYr!$B$51</f>
        <v>Sheriff Concealed Carry</v>
      </c>
      <c r="C36" s="306" t="str">
        <f t="shared" si="0"/>
        <v>Actual for 2011</v>
      </c>
      <c r="D36" s="306" t="str">
        <f t="shared" si="0"/>
        <v>Estimate for 2012</v>
      </c>
      <c r="E36" s="306" t="str">
        <f t="shared" si="0"/>
        <v>Year for 2013</v>
      </c>
    </row>
    <row r="37" spans="2:5" ht="15.75">
      <c r="B37" s="153" t="s">
        <v>851</v>
      </c>
      <c r="C37" s="94">
        <v>4048</v>
      </c>
      <c r="D37" s="259">
        <f>C60</f>
        <v>5120</v>
      </c>
      <c r="E37" s="259">
        <f>D60</f>
        <v>6620</v>
      </c>
    </row>
    <row r="38" spans="2:5" ht="15.75">
      <c r="B38" s="175" t="s">
        <v>853</v>
      </c>
      <c r="C38" s="163"/>
      <c r="D38" s="163"/>
      <c r="E38" s="163"/>
    </row>
    <row r="39" spans="2:5" ht="15.75">
      <c r="B39" s="311"/>
      <c r="C39" s="94"/>
      <c r="D39" s="94"/>
      <c r="E39" s="94"/>
    </row>
    <row r="40" spans="2:5" ht="15.75">
      <c r="B40" s="311" t="s">
        <v>441</v>
      </c>
      <c r="C40" s="94">
        <v>1072</v>
      </c>
      <c r="D40" s="94">
        <v>1500</v>
      </c>
      <c r="E40" s="94">
        <v>1500</v>
      </c>
    </row>
    <row r="41" spans="2:5" ht="15.75">
      <c r="B41" s="311"/>
      <c r="C41" s="94"/>
      <c r="D41" s="94"/>
      <c r="E41" s="94"/>
    </row>
    <row r="42" spans="2:5" ht="15.75">
      <c r="B42" s="299" t="s">
        <v>731</v>
      </c>
      <c r="C42" s="94"/>
      <c r="D42" s="94"/>
      <c r="E42" s="94"/>
    </row>
    <row r="43" spans="2:5" ht="15.75">
      <c r="B43" s="300" t="s">
        <v>973</v>
      </c>
      <c r="C43" s="94"/>
      <c r="D43" s="320"/>
      <c r="E43" s="320"/>
    </row>
    <row r="44" spans="2:5" ht="15.75">
      <c r="B44" s="300" t="s">
        <v>67</v>
      </c>
      <c r="C44" s="454">
        <f>IF(C45*0.1&lt;C43,"Exceed 10% Rule","")</f>
      </c>
      <c r="D44" s="301">
        <f>IF(D45*0.1&lt;D43,"Exceed 10% Rule","")</f>
      </c>
      <c r="E44" s="301">
        <f>IF(E45*0.1&lt;E43,"Exceed 10% Rule","")</f>
      </c>
    </row>
    <row r="45" spans="2:5" ht="15.75">
      <c r="B45" s="302" t="s">
        <v>732</v>
      </c>
      <c r="C45" s="348">
        <f>SUM(C39:C43)</f>
        <v>1072</v>
      </c>
      <c r="D45" s="348">
        <f>SUM(D39:D43)</f>
        <v>1500</v>
      </c>
      <c r="E45" s="348">
        <f>SUM(E39:E43)</f>
        <v>1500</v>
      </c>
    </row>
    <row r="46" spans="2:5" ht="15.75">
      <c r="B46" s="302" t="s">
        <v>733</v>
      </c>
      <c r="C46" s="348">
        <f>C37+C45</f>
        <v>5120</v>
      </c>
      <c r="D46" s="348">
        <f>D37+D45</f>
        <v>6620</v>
      </c>
      <c r="E46" s="348">
        <f>E37+E45</f>
        <v>8120</v>
      </c>
    </row>
    <row r="47" spans="2:5" ht="15.75">
      <c r="B47" s="153" t="s">
        <v>736</v>
      </c>
      <c r="C47" s="259"/>
      <c r="D47" s="259"/>
      <c r="E47" s="259"/>
    </row>
    <row r="48" spans="2:5" ht="15.75">
      <c r="B48" s="311" t="s">
        <v>443</v>
      </c>
      <c r="C48" s="94"/>
      <c r="D48" s="94"/>
      <c r="E48" s="94">
        <v>8120</v>
      </c>
    </row>
    <row r="49" spans="2:5" ht="15.75">
      <c r="B49" s="311"/>
      <c r="C49" s="94"/>
      <c r="D49" s="94"/>
      <c r="E49" s="94"/>
    </row>
    <row r="50" spans="2:5" ht="15.75">
      <c r="B50" s="311"/>
      <c r="C50" s="94"/>
      <c r="D50" s="94"/>
      <c r="E50" s="94"/>
    </row>
    <row r="51" spans="2:5" ht="15.75">
      <c r="B51" s="311"/>
      <c r="C51" s="94"/>
      <c r="D51" s="94"/>
      <c r="E51" s="94"/>
    </row>
    <row r="52" spans="2:5" ht="15.75">
      <c r="B52" s="311"/>
      <c r="C52" s="94"/>
      <c r="D52" s="94"/>
      <c r="E52" s="94"/>
    </row>
    <row r="53" spans="2:5" ht="15.75">
      <c r="B53" s="311"/>
      <c r="C53" s="94"/>
      <c r="D53" s="94"/>
      <c r="E53" s="94"/>
    </row>
    <row r="54" spans="2:5" ht="15.75">
      <c r="B54" s="311"/>
      <c r="C54" s="94"/>
      <c r="D54" s="94"/>
      <c r="E54" s="94"/>
    </row>
    <row r="55" spans="2:5" ht="15.75">
      <c r="B55" s="311"/>
      <c r="C55" s="94"/>
      <c r="D55" s="94"/>
      <c r="E55" s="94"/>
    </row>
    <row r="56" spans="2:5" ht="15.75">
      <c r="B56" s="311"/>
      <c r="C56" s="94"/>
      <c r="D56" s="94"/>
      <c r="E56" s="94"/>
    </row>
    <row r="57" spans="2:5" ht="15.75">
      <c r="B57" s="300" t="s">
        <v>973</v>
      </c>
      <c r="C57" s="94"/>
      <c r="D57" s="320"/>
      <c r="E57" s="320"/>
    </row>
    <row r="58" spans="2:5" ht="15.75">
      <c r="B58" s="300" t="s">
        <v>68</v>
      </c>
      <c r="C58" s="454">
        <f>IF(C59*0.1&lt;C57,"Exceed 10% Rule","")</f>
      </c>
      <c r="D58" s="301">
        <f>IF(D59*0.1&lt;D57,"Exceed 10% Rule","")</f>
      </c>
      <c r="E58" s="301">
        <f>IF(E59*0.1&lt;E57,"Exceed 10% Rule","")</f>
      </c>
    </row>
    <row r="59" spans="2:5" ht="15.75">
      <c r="B59" s="302" t="s">
        <v>737</v>
      </c>
      <c r="C59" s="348">
        <f>SUM(C48:C57)</f>
        <v>0</v>
      </c>
      <c r="D59" s="348">
        <f>SUM(D48:D57)</f>
        <v>0</v>
      </c>
      <c r="E59" s="348">
        <f>SUM(E48:E57)</f>
        <v>8120</v>
      </c>
    </row>
    <row r="60" spans="2:5" ht="15.75">
      <c r="B60" s="153" t="s">
        <v>852</v>
      </c>
      <c r="C60" s="98">
        <f>C46-C59</f>
        <v>5120</v>
      </c>
      <c r="D60" s="98">
        <f>D46-D59</f>
        <v>6620</v>
      </c>
      <c r="E60" s="98">
        <f>E46-E59</f>
        <v>0</v>
      </c>
    </row>
    <row r="61" spans="2:5" ht="15.75">
      <c r="B61" s="281" t="str">
        <f>CONCATENATE("",$E$1-2,"/",$E$1-1," Budget Authority Amount:")</f>
        <v>2011/2012 Budget Authority Amount:</v>
      </c>
      <c r="C61" s="273">
        <f>inputOth!B61</f>
        <v>5400</v>
      </c>
      <c r="D61" s="273">
        <f>inputPrYr!D51</f>
        <v>7048</v>
      </c>
      <c r="E61" s="462">
        <f>IF($E$60&lt;0,"See Tab E","")</f>
      </c>
    </row>
    <row r="62" spans="2:5" ht="15.75">
      <c r="B62" s="281"/>
      <c r="C62" s="315">
        <f>IF(C59&gt;C61,"See Tab A","")</f>
      </c>
      <c r="D62" s="315">
        <f>IF(D59&gt;D61,"See Tab C","")</f>
      </c>
      <c r="E62" s="67"/>
    </row>
    <row r="63" spans="2:5" ht="15.75">
      <c r="B63" s="281"/>
      <c r="C63" s="315">
        <f>IF(C60&lt;0,"See Tab B","")</f>
      </c>
      <c r="D63" s="315">
        <f>IF(D60&lt;0,"See Tab D","")</f>
      </c>
      <c r="E63" s="67"/>
    </row>
    <row r="64" spans="2:5" ht="15.75">
      <c r="B64" s="67"/>
      <c r="C64" s="67"/>
      <c r="D64" s="67"/>
      <c r="E64" s="67"/>
    </row>
    <row r="65" spans="2:5" ht="15.75">
      <c r="B65" s="316" t="s">
        <v>762</v>
      </c>
      <c r="C65" s="334">
        <v>22</v>
      </c>
      <c r="D65" s="67"/>
      <c r="E65" s="67"/>
    </row>
  </sheetData>
  <sheetProtection sheet="1"/>
  <conditionalFormatting sqref="C43">
    <cfRule type="cellIs" priority="5" dxfId="351" operator="greaterThan" stopIfTrue="1">
      <formula>$C$45*0.1</formula>
    </cfRule>
  </conditionalFormatting>
  <conditionalFormatting sqref="D43">
    <cfRule type="cellIs" priority="6" dxfId="351" operator="greaterThan" stopIfTrue="1">
      <formula>$D$45*0.1</formula>
    </cfRule>
  </conditionalFormatting>
  <conditionalFormatting sqref="E43">
    <cfRule type="cellIs" priority="7" dxfId="351" operator="greaterThan" stopIfTrue="1">
      <formula>$E$45*0.1</formula>
    </cfRule>
  </conditionalFormatting>
  <conditionalFormatting sqref="C57">
    <cfRule type="cellIs" priority="8" dxfId="351" operator="greaterThan" stopIfTrue="1">
      <formula>$C$59*0.1</formula>
    </cfRule>
  </conditionalFormatting>
  <conditionalFormatting sqref="D57">
    <cfRule type="cellIs" priority="9" dxfId="351" operator="greaterThan" stopIfTrue="1">
      <formula>$D$59*0.1</formula>
    </cfRule>
  </conditionalFormatting>
  <conditionalFormatting sqref="E57">
    <cfRule type="cellIs" priority="10" dxfId="351" operator="greaterThan" stopIfTrue="1">
      <formula>$E$59*0.1</formula>
    </cfRule>
  </conditionalFormatting>
  <conditionalFormatting sqref="C26">
    <cfRule type="cellIs" priority="11" dxfId="351" operator="greaterThan" stopIfTrue="1">
      <formula>$C$28*0.1</formula>
    </cfRule>
  </conditionalFormatting>
  <conditionalFormatting sqref="D26">
    <cfRule type="cellIs" priority="12" dxfId="351" operator="greaterThan" stopIfTrue="1">
      <formula>$D$28*0.1</formula>
    </cfRule>
  </conditionalFormatting>
  <conditionalFormatting sqref="E26">
    <cfRule type="cellIs" priority="13" dxfId="351" operator="greaterThan" stopIfTrue="1">
      <formula>$E$28*0.1</formula>
    </cfRule>
  </conditionalFormatting>
  <conditionalFormatting sqref="C12">
    <cfRule type="cellIs" priority="14" dxfId="351" operator="greaterThan" stopIfTrue="1">
      <formula>$C$14*0.1</formula>
    </cfRule>
  </conditionalFormatting>
  <conditionalFormatting sqref="D12">
    <cfRule type="cellIs" priority="15" dxfId="351" operator="greaterThan" stopIfTrue="1">
      <formula>$D$14*0.1</formula>
    </cfRule>
  </conditionalFormatting>
  <conditionalFormatting sqref="E12">
    <cfRule type="cellIs" priority="16" dxfId="351" operator="greaterThan" stopIfTrue="1">
      <formula>$E$14*0.1</formula>
    </cfRule>
  </conditionalFormatting>
  <conditionalFormatting sqref="E60 E29 C29">
    <cfRule type="cellIs" priority="17" dxfId="2" operator="lessThan" stopIfTrue="1">
      <formula>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C60">
    <cfRule type="cellIs" priority="4"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40" sqref="D40"/>
    </sheetView>
  </sheetViews>
  <sheetFormatPr defaultColWidth="8.796875" defaultRowHeight="15"/>
  <cols>
    <col min="1" max="1" width="2.3984375" style="52" customWidth="1"/>
    <col min="2" max="2" width="31.09765625" style="52" customWidth="1"/>
    <col min="3" max="4" width="15.796875" style="52" customWidth="1"/>
    <col min="5" max="5" width="16.296875" style="52" customWidth="1"/>
    <col min="6" max="16384" width="8.8984375" style="52" customWidth="1"/>
  </cols>
  <sheetData>
    <row r="1" spans="2:5" ht="15.75">
      <c r="B1" s="200" t="str">
        <f>(inputPrYr!C3)</f>
        <v>Russell County</v>
      </c>
      <c r="C1" s="67"/>
      <c r="D1" s="67"/>
      <c r="E1" s="280">
        <f>inputPrYr!C5</f>
        <v>2013</v>
      </c>
    </row>
    <row r="2" spans="2:5" ht="15.75">
      <c r="B2" s="209"/>
      <c r="C2" s="317"/>
      <c r="D2" s="317"/>
      <c r="E2" s="318"/>
    </row>
    <row r="3" spans="2:5" ht="15.75">
      <c r="B3" s="209" t="s">
        <v>811</v>
      </c>
      <c r="C3" s="145"/>
      <c r="D3" s="145"/>
      <c r="E3" s="145"/>
    </row>
    <row r="4" spans="2:5" ht="15.75">
      <c r="B4" s="66" t="s">
        <v>723</v>
      </c>
      <c r="C4" s="625" t="s">
        <v>197</v>
      </c>
      <c r="D4" s="626" t="s">
        <v>198</v>
      </c>
      <c r="E4" s="149" t="s">
        <v>199</v>
      </c>
    </row>
    <row r="5" spans="2:5" ht="15.75">
      <c r="B5" s="461" t="str">
        <f>inputPrYr!$B$52</f>
        <v>Sheriff Offender Reg</v>
      </c>
      <c r="C5" s="441" t="str">
        <f>CONCATENATE("Actual for ",E1-2,"")</f>
        <v>Actual for 2011</v>
      </c>
      <c r="D5" s="441" t="str">
        <f>CONCATENATE("Estimate for ",E1-1,"")</f>
        <v>Estimate for 2012</v>
      </c>
      <c r="E5" s="294" t="str">
        <f>CONCATENATE("Year for ",E1,"")</f>
        <v>Year for 2013</v>
      </c>
    </row>
    <row r="6" spans="2:5" ht="15.75">
      <c r="B6" s="153" t="s">
        <v>851</v>
      </c>
      <c r="C6" s="94">
        <v>1804</v>
      </c>
      <c r="D6" s="259">
        <f>C29</f>
        <v>2499</v>
      </c>
      <c r="E6" s="259">
        <f>D29</f>
        <v>2699</v>
      </c>
    </row>
    <row r="7" spans="2:5" ht="15.75">
      <c r="B7" s="175" t="s">
        <v>853</v>
      </c>
      <c r="C7" s="163"/>
      <c r="D7" s="163"/>
      <c r="E7" s="163"/>
    </row>
    <row r="8" spans="2:5" ht="15.75">
      <c r="B8" s="311" t="s">
        <v>441</v>
      </c>
      <c r="C8" s="94">
        <v>1020</v>
      </c>
      <c r="D8" s="94">
        <v>1200</v>
      </c>
      <c r="E8" s="94">
        <v>1500</v>
      </c>
    </row>
    <row r="9" spans="2:5" ht="15.75">
      <c r="B9" s="311"/>
      <c r="C9" s="94"/>
      <c r="D9" s="94"/>
      <c r="E9" s="94"/>
    </row>
    <row r="10" spans="2:5" ht="15.75">
      <c r="B10" s="311"/>
      <c r="C10" s="94"/>
      <c r="D10" s="94"/>
      <c r="E10" s="94"/>
    </row>
    <row r="11" spans="2:5" ht="15.75">
      <c r="B11" s="299" t="s">
        <v>731</v>
      </c>
      <c r="C11" s="94"/>
      <c r="D11" s="94"/>
      <c r="E11" s="94"/>
    </row>
    <row r="12" spans="2:5" ht="15.75">
      <c r="B12" s="300" t="s">
        <v>973</v>
      </c>
      <c r="C12" s="94"/>
      <c r="D12" s="320"/>
      <c r="E12" s="320"/>
    </row>
    <row r="13" spans="2:5" ht="15.75">
      <c r="B13" s="300" t="s">
        <v>67</v>
      </c>
      <c r="C13" s="454">
        <f>IF(C14*0.1&lt;C12,"Exceed 10% Rule","")</f>
      </c>
      <c r="D13" s="301">
        <f>IF(D14*0.1&lt;D12,"Exceed 10% Rule","")</f>
      </c>
      <c r="E13" s="301">
        <f>IF(E14*0.1&lt;E12,"Exceed 10% Rule","")</f>
      </c>
    </row>
    <row r="14" spans="2:5" ht="15.75">
      <c r="B14" s="302" t="s">
        <v>732</v>
      </c>
      <c r="C14" s="348">
        <f>SUM(C8:C12)</f>
        <v>1020</v>
      </c>
      <c r="D14" s="348">
        <f>SUM(D8:D12)</f>
        <v>1200</v>
      </c>
      <c r="E14" s="348">
        <f>SUM(E8:E12)</f>
        <v>1500</v>
      </c>
    </row>
    <row r="15" spans="2:5" ht="15.75">
      <c r="B15" s="302" t="s">
        <v>733</v>
      </c>
      <c r="C15" s="348">
        <f>C14+C6</f>
        <v>2824</v>
      </c>
      <c r="D15" s="348">
        <f>D14+D6</f>
        <v>3699</v>
      </c>
      <c r="E15" s="348">
        <f>E14+E6</f>
        <v>4199</v>
      </c>
    </row>
    <row r="16" spans="2:5" ht="15.75">
      <c r="B16" s="153" t="s">
        <v>736</v>
      </c>
      <c r="C16" s="259"/>
      <c r="D16" s="259"/>
      <c r="E16" s="259"/>
    </row>
    <row r="17" spans="2:5" ht="15.75">
      <c r="B17" s="311" t="s">
        <v>442</v>
      </c>
      <c r="C17" s="94">
        <v>325</v>
      </c>
      <c r="D17" s="94">
        <v>1000</v>
      </c>
      <c r="E17" s="94">
        <v>4199</v>
      </c>
    </row>
    <row r="18" spans="2:5" ht="15.75">
      <c r="B18" s="311"/>
      <c r="C18" s="94"/>
      <c r="D18" s="94"/>
      <c r="E18" s="94"/>
    </row>
    <row r="19" spans="2:5" ht="15.75">
      <c r="B19" s="311"/>
      <c r="C19" s="94"/>
      <c r="D19" s="94"/>
      <c r="E19" s="94"/>
    </row>
    <row r="20" spans="2:5" ht="15.75">
      <c r="B20" s="311"/>
      <c r="C20" s="94"/>
      <c r="D20" s="94"/>
      <c r="E20" s="94"/>
    </row>
    <row r="21" spans="2:5" ht="15.75">
      <c r="B21" s="311"/>
      <c r="C21" s="94"/>
      <c r="D21" s="94"/>
      <c r="E21" s="94"/>
    </row>
    <row r="22" spans="2:5" ht="15.75">
      <c r="B22" s="311"/>
      <c r="C22" s="94"/>
      <c r="D22" s="94"/>
      <c r="E22" s="94"/>
    </row>
    <row r="23" spans="2:5" ht="15.75">
      <c r="B23" s="311"/>
      <c r="C23" s="94"/>
      <c r="D23" s="94"/>
      <c r="E23" s="94"/>
    </row>
    <row r="24" spans="2:5" ht="15.75">
      <c r="B24" s="311"/>
      <c r="C24" s="94"/>
      <c r="D24" s="94"/>
      <c r="E24" s="94"/>
    </row>
    <row r="25" spans="2:5" ht="15.75">
      <c r="B25" s="311"/>
      <c r="C25" s="94"/>
      <c r="D25" s="94"/>
      <c r="E25" s="94"/>
    </row>
    <row r="26" spans="2:5" ht="15.75">
      <c r="B26" s="300" t="s">
        <v>973</v>
      </c>
      <c r="C26" s="94"/>
      <c r="D26" s="320"/>
      <c r="E26" s="320"/>
    </row>
    <row r="27" spans="2:5" ht="15.75">
      <c r="B27" s="300" t="s">
        <v>68</v>
      </c>
      <c r="C27" s="454">
        <f>IF(C28*0.1&lt;C26,"Exceed 10% Rule","")</f>
      </c>
      <c r="D27" s="301">
        <f>IF(D28*0.1&lt;D26,"Exceed 10% Rule","")</f>
      </c>
      <c r="E27" s="301">
        <f>IF(E28*0.1&lt;E26,"Exceed 10% Rule","")</f>
      </c>
    </row>
    <row r="28" spans="2:5" ht="15.75">
      <c r="B28" s="302" t="s">
        <v>737</v>
      </c>
      <c r="C28" s="348">
        <f>SUM(C17:C26)</f>
        <v>325</v>
      </c>
      <c r="D28" s="348">
        <f>SUM(D17:D26)</f>
        <v>1000</v>
      </c>
      <c r="E28" s="348">
        <f>SUM(E17:E26)</f>
        <v>4199</v>
      </c>
    </row>
    <row r="29" spans="2:5" ht="15.75">
      <c r="B29" s="153" t="s">
        <v>852</v>
      </c>
      <c r="C29" s="98">
        <f>C15-C28</f>
        <v>2499</v>
      </c>
      <c r="D29" s="98">
        <f>D15-D28</f>
        <v>2699</v>
      </c>
      <c r="E29" s="98">
        <f>E15-E28</f>
        <v>0</v>
      </c>
    </row>
    <row r="30" spans="2:5" ht="15.75">
      <c r="B30" s="281" t="str">
        <f>CONCATENATE("",$E$1-2,"/",$E$1-1," Budget Authority Amount:")</f>
        <v>2011/2012 Budget Authority Amount:</v>
      </c>
      <c r="C30" s="273">
        <f>inputOth!B62</f>
        <v>2004</v>
      </c>
      <c r="D30" s="273">
        <f>inputPrYr!D52</f>
        <v>4204</v>
      </c>
      <c r="E30" s="472">
        <f>IF($E$29&lt;0,"See Tab E","")</f>
      </c>
    </row>
    <row r="31" spans="2:5" ht="15.75">
      <c r="B31" s="281"/>
      <c r="C31" s="315">
        <f>IF(C28&gt;C30,"See Tab A","")</f>
      </c>
      <c r="D31" s="315">
        <f>IF(D28&gt;D30,"See Tab C","")</f>
      </c>
      <c r="E31" s="127"/>
    </row>
    <row r="32" spans="2:5" ht="15.75">
      <c r="B32" s="281"/>
      <c r="C32" s="315">
        <f>IF(C29&lt;0,"See Tab B","")</f>
      </c>
      <c r="D32" s="315">
        <f>IF(D29&lt;0,"See Tab D","")</f>
      </c>
      <c r="E32" s="127"/>
    </row>
    <row r="33" spans="2:5" ht="15.75">
      <c r="B33" s="67"/>
      <c r="C33" s="127"/>
      <c r="D33" s="127"/>
      <c r="E33" s="127"/>
    </row>
    <row r="34" spans="2:5" ht="15.75">
      <c r="B34" s="66"/>
      <c r="C34" s="145"/>
      <c r="D34" s="145"/>
      <c r="E34" s="145"/>
    </row>
    <row r="35" spans="2:5" ht="15.75">
      <c r="B35" s="66" t="s">
        <v>723</v>
      </c>
      <c r="C35" s="335" t="str">
        <f aca="true" t="shared" si="0" ref="C35:E36">C4</f>
        <v>Prior Year </v>
      </c>
      <c r="D35" s="149" t="str">
        <f t="shared" si="0"/>
        <v>Current Year </v>
      </c>
      <c r="E35" s="149" t="str">
        <f t="shared" si="0"/>
        <v>Proposed Budget </v>
      </c>
    </row>
    <row r="36" spans="2:5" ht="15.75">
      <c r="B36" s="461" t="str">
        <f>inputPrYr!$B$53</f>
        <v>Oil and Gas Trust Fund</v>
      </c>
      <c r="C36" s="306" t="str">
        <f t="shared" si="0"/>
        <v>Actual for 2011</v>
      </c>
      <c r="D36" s="306" t="str">
        <f t="shared" si="0"/>
        <v>Estimate for 2012</v>
      </c>
      <c r="E36" s="306" t="str">
        <f t="shared" si="0"/>
        <v>Year for 2013</v>
      </c>
    </row>
    <row r="37" spans="2:5" ht="15.75">
      <c r="B37" s="153" t="s">
        <v>851</v>
      </c>
      <c r="C37" s="94"/>
      <c r="D37" s="259">
        <f>C60</f>
        <v>0</v>
      </c>
      <c r="E37" s="259">
        <f>D60</f>
        <v>279641</v>
      </c>
    </row>
    <row r="38" spans="2:5" ht="15.75">
      <c r="B38" s="153" t="s">
        <v>853</v>
      </c>
      <c r="C38" s="163"/>
      <c r="D38" s="163"/>
      <c r="E38" s="163"/>
    </row>
    <row r="39" spans="2:5" ht="15.75">
      <c r="B39" s="311" t="s">
        <v>446</v>
      </c>
      <c r="C39" s="94"/>
      <c r="D39" s="94">
        <v>279641</v>
      </c>
      <c r="E39" s="94"/>
    </row>
    <row r="40" spans="2:5" ht="15.75">
      <c r="B40" s="311"/>
      <c r="C40" s="94"/>
      <c r="D40" s="94"/>
      <c r="E40" s="94"/>
    </row>
    <row r="41" spans="2:5" ht="15.75">
      <c r="B41" s="311"/>
      <c r="C41" s="94"/>
      <c r="D41" s="94"/>
      <c r="E41" s="94"/>
    </row>
    <row r="42" spans="2:5" ht="15.75">
      <c r="B42" s="299" t="s">
        <v>731</v>
      </c>
      <c r="C42" s="94"/>
      <c r="D42" s="94"/>
      <c r="E42" s="94"/>
    </row>
    <row r="43" spans="2:5" ht="15.75">
      <c r="B43" s="300" t="s">
        <v>973</v>
      </c>
      <c r="C43" s="94"/>
      <c r="D43" s="320"/>
      <c r="E43" s="320"/>
    </row>
    <row r="44" spans="2:5" ht="15.75">
      <c r="B44" s="300" t="s">
        <v>67</v>
      </c>
      <c r="C44" s="454">
        <f>IF(C45*0.1&lt;C43,"Exceed 10% Rule","")</f>
      </c>
      <c r="D44" s="301">
        <f>IF(D45*0.1&lt;D43,"Exceed 10% Rule","")</f>
      </c>
      <c r="E44" s="301">
        <f>IF(E45*0.1&lt;E43,"Exceed 10% Rule","")</f>
      </c>
    </row>
    <row r="45" spans="2:5" ht="15.75">
      <c r="B45" s="302" t="s">
        <v>732</v>
      </c>
      <c r="C45" s="348">
        <f>SUM(C39:C43)</f>
        <v>0</v>
      </c>
      <c r="D45" s="348">
        <f>SUM(D39:D43)</f>
        <v>279641</v>
      </c>
      <c r="E45" s="348">
        <f>SUM(E39:E43)</f>
        <v>0</v>
      </c>
    </row>
    <row r="46" spans="2:5" ht="15.75">
      <c r="B46" s="302" t="s">
        <v>733</v>
      </c>
      <c r="C46" s="348">
        <f>C37+C45</f>
        <v>0</v>
      </c>
      <c r="D46" s="348">
        <f>D37+D45</f>
        <v>279641</v>
      </c>
      <c r="E46" s="348">
        <f>E37+E45</f>
        <v>279641</v>
      </c>
    </row>
    <row r="47" spans="2:5" ht="15.75">
      <c r="B47" s="153" t="s">
        <v>736</v>
      </c>
      <c r="C47" s="259"/>
      <c r="D47" s="259"/>
      <c r="E47" s="259"/>
    </row>
    <row r="48" spans="2:5" ht="15.75">
      <c r="B48" s="311" t="s">
        <v>666</v>
      </c>
      <c r="C48" s="94"/>
      <c r="D48" s="94"/>
      <c r="E48" s="94">
        <v>55928</v>
      </c>
    </row>
    <row r="49" spans="2:5" ht="15.75">
      <c r="B49" s="311"/>
      <c r="C49" s="94"/>
      <c r="D49" s="94"/>
      <c r="E49" s="94"/>
    </row>
    <row r="50" spans="2:5" ht="15.75">
      <c r="B50" s="311"/>
      <c r="C50" s="94"/>
      <c r="D50" s="94"/>
      <c r="E50" s="94"/>
    </row>
    <row r="51" spans="2:5" ht="15.75">
      <c r="B51" s="311"/>
      <c r="C51" s="94"/>
      <c r="D51" s="94"/>
      <c r="E51" s="94"/>
    </row>
    <row r="52" spans="2:5" ht="15.75">
      <c r="B52" s="311"/>
      <c r="C52" s="94"/>
      <c r="D52" s="94"/>
      <c r="E52" s="94"/>
    </row>
    <row r="53" spans="2:5" ht="15.75">
      <c r="B53" s="311"/>
      <c r="C53" s="94"/>
      <c r="D53" s="94"/>
      <c r="E53" s="94"/>
    </row>
    <row r="54" spans="2:5" ht="15.75">
      <c r="B54" s="311"/>
      <c r="C54" s="94"/>
      <c r="D54" s="94"/>
      <c r="E54" s="94"/>
    </row>
    <row r="55" spans="2:5" ht="15.75">
      <c r="B55" s="311"/>
      <c r="C55" s="94"/>
      <c r="D55" s="94"/>
      <c r="E55" s="94"/>
    </row>
    <row r="56" spans="2:5" ht="15.75">
      <c r="B56" s="311"/>
      <c r="C56" s="94"/>
      <c r="D56" s="94"/>
      <c r="E56" s="94"/>
    </row>
    <row r="57" spans="2:5" ht="15.75">
      <c r="B57" s="300" t="s">
        <v>973</v>
      </c>
      <c r="C57" s="94"/>
      <c r="D57" s="320"/>
      <c r="E57" s="320"/>
    </row>
    <row r="58" spans="2:5" ht="15.75">
      <c r="B58" s="300" t="s">
        <v>68</v>
      </c>
      <c r="C58" s="454">
        <f>IF(C59*0.1&lt;C57,"Exceed 10% Rule","")</f>
      </c>
      <c r="D58" s="301">
        <f>IF(D59*0.1&lt;D57,"Exceed 10% Rule","")</f>
      </c>
      <c r="E58" s="301">
        <f>IF(E59*0.1&lt;E57,"Exceed 10% Rule","")</f>
      </c>
    </row>
    <row r="59" spans="2:5" ht="15.75">
      <c r="B59" s="302" t="s">
        <v>737</v>
      </c>
      <c r="C59" s="348">
        <f>SUM(C48:C57)</f>
        <v>0</v>
      </c>
      <c r="D59" s="348">
        <f>SUM(D48:D57)</f>
        <v>0</v>
      </c>
      <c r="E59" s="348">
        <f>SUM(E48:E57)</f>
        <v>55928</v>
      </c>
    </row>
    <row r="60" spans="2:5" ht="15.75">
      <c r="B60" s="153" t="s">
        <v>852</v>
      </c>
      <c r="C60" s="98">
        <f>C46-C59</f>
        <v>0</v>
      </c>
      <c r="D60" s="98">
        <f>D46-D59</f>
        <v>279641</v>
      </c>
      <c r="E60" s="98">
        <f>E46-E59</f>
        <v>223713</v>
      </c>
    </row>
    <row r="61" spans="2:5" ht="15.75">
      <c r="B61" s="281" t="str">
        <f>CONCATENATE("",$E$1-2,"/",$E$1-1," Budget Authority Amount:")</f>
        <v>2011/2012 Budget Authority Amount:</v>
      </c>
      <c r="C61" s="273">
        <f>inputOth!B63</f>
        <v>0</v>
      </c>
      <c r="D61" s="273">
        <f>inputPrYr!D53</f>
        <v>0</v>
      </c>
      <c r="E61" s="462">
        <f>IF($E$60&lt;0,"See Tab E","")</f>
      </c>
    </row>
    <row r="62" spans="2:5" ht="15.75">
      <c r="B62" s="281"/>
      <c r="C62" s="315">
        <f>IF(C59&gt;C61,"See Tab A","")</f>
      </c>
      <c r="D62" s="315">
        <f>IF(D59&gt;D61,"See Tab C","")</f>
      </c>
      <c r="E62" s="67"/>
    </row>
    <row r="63" spans="2:5" ht="15.75">
      <c r="B63" s="281"/>
      <c r="C63" s="315">
        <f>IF(C60&lt;0,"See Tab B","")</f>
      </c>
      <c r="D63" s="315">
        <f>IF(D60&lt;0,"See Tab D","")</f>
      </c>
      <c r="E63" s="67"/>
    </row>
    <row r="64" spans="2:5" ht="15.75">
      <c r="B64" s="67"/>
      <c r="C64" s="67"/>
      <c r="D64" s="67"/>
      <c r="E64" s="67"/>
    </row>
    <row r="65" spans="2:5" ht="15.75">
      <c r="B65" s="316" t="s">
        <v>762</v>
      </c>
      <c r="C65" s="334">
        <v>23</v>
      </c>
      <c r="D65" s="67"/>
      <c r="E65" s="67"/>
    </row>
  </sheetData>
  <sheetProtection sheet="1"/>
  <conditionalFormatting sqref="C43">
    <cfRule type="cellIs" priority="3" dxfId="351" operator="greaterThan" stopIfTrue="1">
      <formula>$C$45*0.1</formula>
    </cfRule>
  </conditionalFormatting>
  <conditionalFormatting sqref="D43">
    <cfRule type="cellIs" priority="4" dxfId="351" operator="greaterThan" stopIfTrue="1">
      <formula>$D$45*0.1</formula>
    </cfRule>
  </conditionalFormatting>
  <conditionalFormatting sqref="E43">
    <cfRule type="cellIs" priority="5" dxfId="351" operator="greaterThan" stopIfTrue="1">
      <formula>$E$45*0.1</formula>
    </cfRule>
  </conditionalFormatting>
  <conditionalFormatting sqref="C57">
    <cfRule type="cellIs" priority="6" dxfId="351" operator="greaterThan" stopIfTrue="1">
      <formula>$C$59*0.1</formula>
    </cfRule>
  </conditionalFormatting>
  <conditionalFormatting sqref="D57">
    <cfRule type="cellIs" priority="7" dxfId="351" operator="greaterThan" stopIfTrue="1">
      <formula>$D$59*0.1</formula>
    </cfRule>
  </conditionalFormatting>
  <conditionalFormatting sqref="E57">
    <cfRule type="cellIs" priority="8" dxfId="351" operator="greaterThan" stopIfTrue="1">
      <formula>$E$59*0.1</formula>
    </cfRule>
  </conditionalFormatting>
  <conditionalFormatting sqref="C26">
    <cfRule type="cellIs" priority="9" dxfId="351" operator="greaterThan" stopIfTrue="1">
      <formula>$C$28*0.1</formula>
    </cfRule>
  </conditionalFormatting>
  <conditionalFormatting sqref="D26">
    <cfRule type="cellIs" priority="10" dxfId="351" operator="greaterThan" stopIfTrue="1">
      <formula>$D$28*0.1</formula>
    </cfRule>
  </conditionalFormatting>
  <conditionalFormatting sqref="E26">
    <cfRule type="cellIs" priority="11" dxfId="351" operator="greaterThan" stopIfTrue="1">
      <formula>$E$28*0.1</formula>
    </cfRule>
  </conditionalFormatting>
  <conditionalFormatting sqref="C12">
    <cfRule type="cellIs" priority="12" dxfId="351" operator="greaterThan" stopIfTrue="1">
      <formula>$C$14*0.1</formula>
    </cfRule>
  </conditionalFormatting>
  <conditionalFormatting sqref="D12">
    <cfRule type="cellIs" priority="13" dxfId="351" operator="greaterThan" stopIfTrue="1">
      <formula>$D$14*0.1</formula>
    </cfRule>
  </conditionalFormatting>
  <conditionalFormatting sqref="E12">
    <cfRule type="cellIs" priority="14" dxfId="351" operator="greaterThan" stopIfTrue="1">
      <formula>$E$14*0.1</formula>
    </cfRule>
  </conditionalFormatting>
  <conditionalFormatting sqref="E60 E29 C29 C60">
    <cfRule type="cellIs" priority="15" dxfId="2" operator="lessThan" stopIfTrue="1">
      <formula>0</formula>
    </cfRule>
  </conditionalFormatting>
  <conditionalFormatting sqref="C28">
    <cfRule type="cellIs" priority="16" dxfId="2" operator="greaterThan" stopIfTrue="1">
      <formula>$C$30</formula>
    </cfRule>
  </conditionalFormatting>
  <conditionalFormatting sqref="D28">
    <cfRule type="cellIs" priority="17" dxfId="2" operator="greaterThan" stopIfTrue="1">
      <formula>$D$30</formula>
    </cfRule>
  </conditionalFormatting>
  <conditionalFormatting sqref="D59">
    <cfRule type="cellIs" priority="18" dxfId="2" operator="greaterThan" stopIfTrue="1">
      <formula>$D$61</formula>
    </cfRule>
  </conditionalFormatting>
  <conditionalFormatting sqref="C59">
    <cfRule type="cellIs" priority="19" dxfId="2" operator="greaterThan" stopIfTrue="1">
      <formula>$C$61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2" sqref="A12:J12"/>
    </sheetView>
  </sheetViews>
  <sheetFormatPr defaultColWidth="8.796875" defaultRowHeight="15" customHeight="1"/>
  <cols>
    <col min="1" max="1" width="11.59765625" style="52" customWidth="1"/>
    <col min="2" max="2" width="7.3984375" style="52" customWidth="1"/>
    <col min="3" max="3" width="11.59765625" style="52" customWidth="1"/>
    <col min="4" max="4" width="7.3984375" style="52" customWidth="1"/>
    <col min="5" max="5" width="11.59765625" style="52" customWidth="1"/>
    <col min="6" max="6" width="7.3984375" style="52" customWidth="1"/>
    <col min="7" max="7" width="11.59765625" style="52" customWidth="1"/>
    <col min="8" max="8" width="7.3984375" style="52" customWidth="1"/>
    <col min="9" max="9" width="11.59765625" style="52" customWidth="1"/>
    <col min="10" max="16384" width="8.8984375" style="52" customWidth="1"/>
  </cols>
  <sheetData>
    <row r="1" spans="1:11" ht="15" customHeight="1">
      <c r="A1" s="125" t="str">
        <f>inputPrYr!$C$3</f>
        <v>Russell County</v>
      </c>
      <c r="B1" s="228"/>
      <c r="C1" s="108"/>
      <c r="D1" s="108"/>
      <c r="E1" s="108"/>
      <c r="F1" s="351" t="s">
        <v>954</v>
      </c>
      <c r="G1" s="108"/>
      <c r="H1" s="108"/>
      <c r="I1" s="108"/>
      <c r="J1" s="108"/>
      <c r="K1" s="108">
        <f>inputPrYr!$C$5</f>
        <v>2013</v>
      </c>
    </row>
    <row r="2" spans="1:11" ht="15" customHeight="1">
      <c r="A2" s="108"/>
      <c r="B2" s="108"/>
      <c r="C2" s="108"/>
      <c r="D2" s="108"/>
      <c r="E2" s="108"/>
      <c r="F2" s="352" t="str">
        <f>CONCATENATE("(Only the actual budget year for ",K1-2," is to be shown)")</f>
        <v>(Only the actual budget year for 2011 is to be shown)</v>
      </c>
      <c r="G2" s="108"/>
      <c r="H2" s="108"/>
      <c r="I2" s="108"/>
      <c r="J2" s="108"/>
      <c r="K2" s="108"/>
    </row>
    <row r="3" spans="1:11" ht="15" customHeight="1">
      <c r="A3" s="108" t="s">
        <v>931</v>
      </c>
      <c r="B3" s="108"/>
      <c r="C3" s="108"/>
      <c r="D3" s="108"/>
      <c r="E3" s="108"/>
      <c r="F3" s="228"/>
      <c r="G3" s="108"/>
      <c r="H3" s="108"/>
      <c r="I3" s="108"/>
      <c r="J3" s="108"/>
      <c r="K3" s="108"/>
    </row>
    <row r="4" spans="1:11" ht="15" customHeight="1">
      <c r="A4" s="108" t="s">
        <v>924</v>
      </c>
      <c r="B4" s="108"/>
      <c r="C4" s="108" t="s">
        <v>925</v>
      </c>
      <c r="D4" s="108"/>
      <c r="E4" s="108" t="s">
        <v>926</v>
      </c>
      <c r="F4" s="228"/>
      <c r="G4" s="108" t="s">
        <v>927</v>
      </c>
      <c r="H4" s="108"/>
      <c r="I4" s="108" t="s">
        <v>928</v>
      </c>
      <c r="J4" s="108"/>
      <c r="K4" s="108"/>
    </row>
    <row r="5" spans="1:11" ht="15" customHeight="1">
      <c r="A5" s="768">
        <f>inputPrYr!B57</f>
        <v>0</v>
      </c>
      <c r="B5" s="769"/>
      <c r="C5" s="768">
        <f>inputPrYr!B58</f>
        <v>0</v>
      </c>
      <c r="D5" s="769"/>
      <c r="E5" s="768">
        <f>inputPrYr!B59</f>
        <v>0</v>
      </c>
      <c r="F5" s="769"/>
      <c r="G5" s="768">
        <f>inputPrYr!B60</f>
        <v>0</v>
      </c>
      <c r="H5" s="769"/>
      <c r="I5" s="768">
        <f>inputPrYr!B61</f>
        <v>0</v>
      </c>
      <c r="J5" s="769"/>
      <c r="K5" s="354"/>
    </row>
    <row r="6" spans="1:11" ht="15" customHeight="1">
      <c r="A6" s="355" t="s">
        <v>929</v>
      </c>
      <c r="B6" s="356"/>
      <c r="C6" s="357" t="s">
        <v>929</v>
      </c>
      <c r="D6" s="358"/>
      <c r="E6" s="357" t="s">
        <v>929</v>
      </c>
      <c r="F6" s="353"/>
      <c r="G6" s="357" t="s">
        <v>929</v>
      </c>
      <c r="H6" s="359"/>
      <c r="I6" s="357" t="s">
        <v>929</v>
      </c>
      <c r="J6" s="108"/>
      <c r="K6" s="360" t="s">
        <v>695</v>
      </c>
    </row>
    <row r="7" spans="1:11" ht="15" customHeight="1">
      <c r="A7" s="361" t="s">
        <v>431</v>
      </c>
      <c r="B7" s="362"/>
      <c r="C7" s="363" t="s">
        <v>431</v>
      </c>
      <c r="D7" s="362"/>
      <c r="E7" s="363" t="s">
        <v>431</v>
      </c>
      <c r="F7" s="362"/>
      <c r="G7" s="363" t="s">
        <v>431</v>
      </c>
      <c r="H7" s="362"/>
      <c r="I7" s="363" t="s">
        <v>431</v>
      </c>
      <c r="J7" s="362"/>
      <c r="K7" s="364">
        <f>SUM(B7+D7+F7+H7+J7)</f>
        <v>0</v>
      </c>
    </row>
    <row r="8" spans="1:11" ht="15" customHeight="1">
      <c r="A8" s="365" t="s">
        <v>853</v>
      </c>
      <c r="B8" s="366"/>
      <c r="C8" s="365" t="s">
        <v>853</v>
      </c>
      <c r="D8" s="367"/>
      <c r="E8" s="365" t="s">
        <v>853</v>
      </c>
      <c r="F8" s="228"/>
      <c r="G8" s="365" t="s">
        <v>853</v>
      </c>
      <c r="H8" s="108"/>
      <c r="I8" s="365" t="s">
        <v>853</v>
      </c>
      <c r="J8" s="108"/>
      <c r="K8" s="228"/>
    </row>
    <row r="9" spans="1:11" ht="15" customHeight="1">
      <c r="A9" s="368"/>
      <c r="B9" s="362"/>
      <c r="C9" s="368"/>
      <c r="D9" s="362"/>
      <c r="E9" s="368"/>
      <c r="F9" s="362"/>
      <c r="G9" s="368"/>
      <c r="H9" s="362"/>
      <c r="I9" s="368"/>
      <c r="J9" s="362"/>
      <c r="K9" s="228"/>
    </row>
    <row r="10" spans="1:11" ht="15" customHeight="1">
      <c r="A10" s="368"/>
      <c r="B10" s="362"/>
      <c r="C10" s="368"/>
      <c r="D10" s="362"/>
      <c r="E10" s="368"/>
      <c r="F10" s="362"/>
      <c r="G10" s="368"/>
      <c r="H10" s="362"/>
      <c r="I10" s="368"/>
      <c r="J10" s="362"/>
      <c r="K10" s="228"/>
    </row>
    <row r="11" spans="1:11" ht="15" customHeight="1">
      <c r="A11" s="368"/>
      <c r="B11" s="362"/>
      <c r="C11" s="369"/>
      <c r="D11" s="362"/>
      <c r="E11" s="369"/>
      <c r="F11" s="362"/>
      <c r="G11" s="369"/>
      <c r="H11" s="362"/>
      <c r="I11" s="370"/>
      <c r="J11" s="362"/>
      <c r="K11" s="228"/>
    </row>
    <row r="12" spans="1:11" ht="15" customHeight="1">
      <c r="A12" s="368"/>
      <c r="B12" s="362"/>
      <c r="C12" s="368"/>
      <c r="D12" s="362"/>
      <c r="E12" s="371"/>
      <c r="F12" s="362"/>
      <c r="G12" s="371"/>
      <c r="H12" s="362"/>
      <c r="I12" s="371"/>
      <c r="J12" s="362"/>
      <c r="K12" s="228"/>
    </row>
    <row r="13" spans="1:11" ht="15" customHeight="1">
      <c r="A13" s="372"/>
      <c r="B13" s="362"/>
      <c r="C13" s="373"/>
      <c r="D13" s="362"/>
      <c r="E13" s="373"/>
      <c r="F13" s="362"/>
      <c r="G13" s="373"/>
      <c r="H13" s="362"/>
      <c r="I13" s="370"/>
      <c r="J13" s="362"/>
      <c r="K13" s="228"/>
    </row>
    <row r="14" spans="1:11" ht="15" customHeight="1">
      <c r="A14" s="368"/>
      <c r="B14" s="362"/>
      <c r="C14" s="371"/>
      <c r="D14" s="362"/>
      <c r="E14" s="371"/>
      <c r="F14" s="362"/>
      <c r="G14" s="371"/>
      <c r="H14" s="362"/>
      <c r="I14" s="371"/>
      <c r="J14" s="362"/>
      <c r="K14" s="228"/>
    </row>
    <row r="15" spans="1:11" ht="15" customHeight="1">
      <c r="A15" s="368"/>
      <c r="B15" s="362"/>
      <c r="C15" s="371"/>
      <c r="D15" s="362"/>
      <c r="E15" s="371"/>
      <c r="F15" s="362"/>
      <c r="G15" s="371"/>
      <c r="H15" s="362"/>
      <c r="I15" s="371"/>
      <c r="J15" s="362"/>
      <c r="K15" s="228"/>
    </row>
    <row r="16" spans="1:11" ht="15" customHeight="1">
      <c r="A16" s="368"/>
      <c r="B16" s="362"/>
      <c r="C16" s="368"/>
      <c r="D16" s="362"/>
      <c r="E16" s="368"/>
      <c r="F16" s="362"/>
      <c r="G16" s="371"/>
      <c r="H16" s="362"/>
      <c r="I16" s="368"/>
      <c r="J16" s="362"/>
      <c r="K16" s="228"/>
    </row>
    <row r="17" spans="1:11" ht="15" customHeight="1">
      <c r="A17" s="365" t="s">
        <v>732</v>
      </c>
      <c r="B17" s="364">
        <f>SUM(B9:B16)</f>
        <v>0</v>
      </c>
      <c r="C17" s="365" t="s">
        <v>732</v>
      </c>
      <c r="D17" s="364">
        <f>SUM(D9:D16)</f>
        <v>0</v>
      </c>
      <c r="E17" s="365" t="s">
        <v>732</v>
      </c>
      <c r="F17" s="437">
        <f>SUM(F9:F16)</f>
        <v>0</v>
      </c>
      <c r="G17" s="365" t="s">
        <v>732</v>
      </c>
      <c r="H17" s="364">
        <f>SUM(H9:H16)</f>
        <v>0</v>
      </c>
      <c r="I17" s="365" t="s">
        <v>732</v>
      </c>
      <c r="J17" s="364">
        <f>SUM(J9:J16)</f>
        <v>0</v>
      </c>
      <c r="K17" s="364">
        <f>SUM(B17+D17+F17+H17+J17)</f>
        <v>0</v>
      </c>
    </row>
    <row r="18" spans="1:11" ht="15" customHeight="1">
      <c r="A18" s="365" t="s">
        <v>733</v>
      </c>
      <c r="B18" s="364">
        <f>SUM(B7+B17)</f>
        <v>0</v>
      </c>
      <c r="C18" s="365" t="s">
        <v>733</v>
      </c>
      <c r="D18" s="364">
        <f>SUM(D7+D17)</f>
        <v>0</v>
      </c>
      <c r="E18" s="365" t="s">
        <v>733</v>
      </c>
      <c r="F18" s="364">
        <f>SUM(F7+F17)</f>
        <v>0</v>
      </c>
      <c r="G18" s="365" t="s">
        <v>733</v>
      </c>
      <c r="H18" s="364">
        <f>SUM(H7+H17)</f>
        <v>0</v>
      </c>
      <c r="I18" s="365" t="s">
        <v>733</v>
      </c>
      <c r="J18" s="364">
        <f>SUM(J7+J17)</f>
        <v>0</v>
      </c>
      <c r="K18" s="364">
        <f>SUM(B18+D18+F18+H18+J18)</f>
        <v>0</v>
      </c>
    </row>
    <row r="19" spans="1:11" ht="15" customHeight="1">
      <c r="A19" s="365" t="s">
        <v>736</v>
      </c>
      <c r="B19" s="366"/>
      <c r="C19" s="365" t="s">
        <v>736</v>
      </c>
      <c r="D19" s="367"/>
      <c r="E19" s="365" t="s">
        <v>736</v>
      </c>
      <c r="F19" s="228"/>
      <c r="G19" s="365" t="s">
        <v>736</v>
      </c>
      <c r="H19" s="108"/>
      <c r="I19" s="365" t="s">
        <v>736</v>
      </c>
      <c r="J19" s="108"/>
      <c r="K19" s="228"/>
    </row>
    <row r="20" spans="1:11" ht="15" customHeight="1">
      <c r="A20" s="368"/>
      <c r="B20" s="362"/>
      <c r="C20" s="371"/>
      <c r="D20" s="362"/>
      <c r="E20" s="371"/>
      <c r="F20" s="362"/>
      <c r="G20" s="371"/>
      <c r="H20" s="362"/>
      <c r="I20" s="371"/>
      <c r="J20" s="362"/>
      <c r="K20" s="228"/>
    </row>
    <row r="21" spans="1:11" ht="15" customHeight="1">
      <c r="A21" s="368"/>
      <c r="B21" s="362"/>
      <c r="C21" s="371"/>
      <c r="D21" s="362"/>
      <c r="E21" s="371"/>
      <c r="F21" s="362"/>
      <c r="G21" s="371"/>
      <c r="H21" s="362"/>
      <c r="I21" s="371"/>
      <c r="J21" s="362"/>
      <c r="K21" s="228"/>
    </row>
    <row r="22" spans="1:11" ht="15" customHeight="1">
      <c r="A22" s="368"/>
      <c r="B22" s="362"/>
      <c r="C22" s="373"/>
      <c r="D22" s="362"/>
      <c r="E22" s="373"/>
      <c r="F22" s="362"/>
      <c r="G22" s="373"/>
      <c r="H22" s="362"/>
      <c r="I22" s="370"/>
      <c r="J22" s="362"/>
      <c r="K22" s="228"/>
    </row>
    <row r="23" spans="1:11" ht="15" customHeight="1">
      <c r="A23" s="368"/>
      <c r="B23" s="362"/>
      <c r="C23" s="371"/>
      <c r="D23" s="362"/>
      <c r="E23" s="371"/>
      <c r="F23" s="362"/>
      <c r="G23" s="371"/>
      <c r="H23" s="362"/>
      <c r="I23" s="371"/>
      <c r="J23" s="362"/>
      <c r="K23" s="228"/>
    </row>
    <row r="24" spans="1:11" ht="15" customHeight="1">
      <c r="A24" s="368"/>
      <c r="B24" s="362"/>
      <c r="C24" s="373"/>
      <c r="D24" s="362"/>
      <c r="E24" s="373"/>
      <c r="F24" s="362"/>
      <c r="G24" s="373"/>
      <c r="H24" s="362"/>
      <c r="I24" s="370"/>
      <c r="J24" s="362"/>
      <c r="K24" s="228"/>
    </row>
    <row r="25" spans="1:11" ht="15" customHeight="1">
      <c r="A25" s="368"/>
      <c r="B25" s="362"/>
      <c r="C25" s="371"/>
      <c r="D25" s="362"/>
      <c r="E25" s="371"/>
      <c r="F25" s="362"/>
      <c r="G25" s="371"/>
      <c r="H25" s="362"/>
      <c r="I25" s="371"/>
      <c r="J25" s="362"/>
      <c r="K25" s="228"/>
    </row>
    <row r="26" spans="1:11" ht="15" customHeight="1">
      <c r="A26" s="368"/>
      <c r="B26" s="362"/>
      <c r="C26" s="371"/>
      <c r="D26" s="362"/>
      <c r="E26" s="371"/>
      <c r="F26" s="362"/>
      <c r="G26" s="371"/>
      <c r="H26" s="362"/>
      <c r="I26" s="371"/>
      <c r="J26" s="362"/>
      <c r="K26" s="228"/>
    </row>
    <row r="27" spans="1:11" ht="15" customHeight="1">
      <c r="A27" s="368"/>
      <c r="B27" s="362"/>
      <c r="C27" s="368"/>
      <c r="D27" s="362"/>
      <c r="E27" s="368"/>
      <c r="F27" s="362"/>
      <c r="G27" s="371"/>
      <c r="H27" s="362"/>
      <c r="I27" s="371"/>
      <c r="J27" s="362"/>
      <c r="K27" s="228"/>
    </row>
    <row r="28" spans="1:11" ht="15" customHeight="1">
      <c r="A28" s="365" t="s">
        <v>737</v>
      </c>
      <c r="B28" s="364">
        <f>SUM(B20:B27)</f>
        <v>0</v>
      </c>
      <c r="C28" s="365" t="s">
        <v>737</v>
      </c>
      <c r="D28" s="364">
        <f>SUM(D20:D27)</f>
        <v>0</v>
      </c>
      <c r="E28" s="365" t="s">
        <v>737</v>
      </c>
      <c r="F28" s="437">
        <f>SUM(F20:F27)</f>
        <v>0</v>
      </c>
      <c r="G28" s="365" t="s">
        <v>737</v>
      </c>
      <c r="H28" s="437">
        <f>SUM(H20:H27)</f>
        <v>0</v>
      </c>
      <c r="I28" s="365" t="s">
        <v>737</v>
      </c>
      <c r="J28" s="364">
        <f>SUM(J20:J27)</f>
        <v>0</v>
      </c>
      <c r="K28" s="364">
        <f>SUM(B28+D28+F28+H28+J28)</f>
        <v>0</v>
      </c>
    </row>
    <row r="29" spans="1:12" ht="15" customHeight="1">
      <c r="A29" s="365" t="s">
        <v>930</v>
      </c>
      <c r="B29" s="364">
        <f>SUM(B18-B28)</f>
        <v>0</v>
      </c>
      <c r="C29" s="365" t="s">
        <v>930</v>
      </c>
      <c r="D29" s="364">
        <f>SUM(D18-D28)</f>
        <v>0</v>
      </c>
      <c r="E29" s="365" t="s">
        <v>930</v>
      </c>
      <c r="F29" s="364">
        <f>SUM(F18-F28)</f>
        <v>0</v>
      </c>
      <c r="G29" s="365" t="s">
        <v>930</v>
      </c>
      <c r="H29" s="364">
        <f>SUM(H18-H28)</f>
        <v>0</v>
      </c>
      <c r="I29" s="365" t="s">
        <v>930</v>
      </c>
      <c r="J29" s="364">
        <f>SUM(J18-J28)</f>
        <v>0</v>
      </c>
      <c r="K29" s="374">
        <f>SUM(B29+D29+F29+H29+J29)</f>
        <v>0</v>
      </c>
      <c r="L29" s="52" t="s">
        <v>957</v>
      </c>
    </row>
    <row r="30" spans="1:12" ht="15" customHeight="1">
      <c r="A30" s="365"/>
      <c r="B30" s="375">
        <f>IF(B29&lt;0,"See Tab B","")</f>
      </c>
      <c r="C30" s="365"/>
      <c r="D30" s="375">
        <f>IF(D29&lt;0,"See Tab B","")</f>
      </c>
      <c r="E30" s="365"/>
      <c r="F30" s="375">
        <f>IF(F29&lt;0,"See Tab B","")</f>
      </c>
      <c r="G30" s="108"/>
      <c r="H30" s="375">
        <f>IF(H29&lt;0,"See Tab B","")</f>
      </c>
      <c r="I30" s="108"/>
      <c r="J30" s="375">
        <f>IF(J29&lt;0,"See Tab B","")</f>
      </c>
      <c r="K30" s="374">
        <f>SUM(K7+K17-K28)</f>
        <v>0</v>
      </c>
      <c r="L30" s="52" t="s">
        <v>957</v>
      </c>
    </row>
    <row r="31" spans="1:11" ht="15" customHeight="1">
      <c r="A31" s="108"/>
      <c r="B31" s="207"/>
      <c r="C31" s="108"/>
      <c r="D31" s="228"/>
      <c r="E31" s="108"/>
      <c r="F31" s="108"/>
      <c r="G31" s="62" t="s">
        <v>960</v>
      </c>
      <c r="H31" s="62"/>
      <c r="I31" s="62"/>
      <c r="J31" s="62"/>
      <c r="K31" s="108"/>
    </row>
    <row r="32" spans="1:11" ht="15" customHeight="1">
      <c r="A32" s="108"/>
      <c r="B32" s="207"/>
      <c r="C32" s="108"/>
      <c r="D32" s="108"/>
      <c r="E32" s="108"/>
      <c r="F32" s="108"/>
      <c r="G32" s="108"/>
      <c r="H32" s="108"/>
      <c r="I32" s="108"/>
      <c r="J32" s="108"/>
      <c r="K32" s="108"/>
    </row>
    <row r="33" spans="1:11" ht="15" customHeight="1">
      <c r="A33" s="108"/>
      <c r="B33" s="207"/>
      <c r="C33" s="108"/>
      <c r="D33" s="108"/>
      <c r="E33" s="316" t="s">
        <v>762</v>
      </c>
      <c r="F33" s="334"/>
      <c r="G33" s="108"/>
      <c r="H33" s="108"/>
      <c r="I33" s="108"/>
      <c r="J33" s="108"/>
      <c r="K33" s="108"/>
    </row>
    <row r="34" ht="15" customHeight="1">
      <c r="B34" s="376"/>
    </row>
    <row r="35" ht="15" customHeight="1">
      <c r="B35" s="376"/>
    </row>
    <row r="36" ht="15" customHeight="1">
      <c r="B36" s="376"/>
    </row>
    <row r="37" ht="15" customHeight="1">
      <c r="B37" s="376"/>
    </row>
    <row r="38" ht="15" customHeight="1">
      <c r="B38" s="376"/>
    </row>
    <row r="39" ht="15" customHeight="1">
      <c r="B39" s="376"/>
    </row>
    <row r="40" ht="15" customHeight="1">
      <c r="B40" s="376"/>
    </row>
    <row r="41" ht="15" customHeight="1">
      <c r="B41" s="376"/>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37.xml><?xml version="1.0" encoding="utf-8"?>
<worksheet xmlns="http://schemas.openxmlformats.org/spreadsheetml/2006/main" xmlns:r="http://schemas.openxmlformats.org/officeDocument/2006/relationships">
  <dimension ref="A1:A48"/>
  <sheetViews>
    <sheetView zoomScalePageLayoutView="0" workbookViewId="0" topLeftCell="A1">
      <selection activeCell="A1" sqref="A1"/>
    </sheetView>
  </sheetViews>
  <sheetFormatPr defaultColWidth="8.796875" defaultRowHeight="15"/>
  <cols>
    <col min="1" max="1" width="62.3984375" style="47" customWidth="1"/>
    <col min="2" max="16384" width="8.8984375" style="47" customWidth="1"/>
  </cols>
  <sheetData>
    <row r="1" ht="18.75">
      <c r="A1" s="48" t="s">
        <v>313</v>
      </c>
    </row>
    <row r="2" ht="15.75">
      <c r="A2" s="52"/>
    </row>
    <row r="3" ht="54.75" customHeight="1">
      <c r="A3" s="401" t="s">
        <v>314</v>
      </c>
    </row>
    <row r="4" ht="15.75">
      <c r="A4" s="402"/>
    </row>
    <row r="5" ht="51" customHeight="1">
      <c r="A5" s="401" t="s">
        <v>315</v>
      </c>
    </row>
    <row r="6" ht="15.75">
      <c r="A6" s="52"/>
    </row>
    <row r="7" ht="51.75" customHeight="1">
      <c r="A7" s="401" t="s">
        <v>316</v>
      </c>
    </row>
    <row r="8" ht="13.5" customHeight="1">
      <c r="A8" s="401"/>
    </row>
    <row r="9" ht="51.75" customHeight="1">
      <c r="A9" s="407" t="s">
        <v>74</v>
      </c>
    </row>
    <row r="10" ht="15.75">
      <c r="A10" s="402"/>
    </row>
    <row r="11" ht="36" customHeight="1">
      <c r="A11" s="401" t="s">
        <v>317</v>
      </c>
    </row>
    <row r="12" ht="15.75">
      <c r="A12" s="52"/>
    </row>
    <row r="13" ht="51.75" customHeight="1">
      <c r="A13" s="401" t="s">
        <v>318</v>
      </c>
    </row>
    <row r="14" ht="15.75">
      <c r="A14" s="402"/>
    </row>
    <row r="15" ht="33" customHeight="1">
      <c r="A15" s="401" t="s">
        <v>319</v>
      </c>
    </row>
    <row r="16" ht="15.75">
      <c r="A16" s="402"/>
    </row>
    <row r="17" ht="32.25" customHeight="1">
      <c r="A17" s="401" t="s">
        <v>320</v>
      </c>
    </row>
    <row r="18" ht="15.75">
      <c r="A18" s="402"/>
    </row>
    <row r="19" ht="53.25" customHeight="1">
      <c r="A19" s="401" t="s">
        <v>321</v>
      </c>
    </row>
    <row r="20" ht="15.75">
      <c r="A20" s="52"/>
    </row>
    <row r="21" ht="50.25" customHeight="1">
      <c r="A21" s="401" t="s">
        <v>322</v>
      </c>
    </row>
    <row r="22" ht="15.75">
      <c r="A22" s="52"/>
    </row>
    <row r="23" ht="15.75">
      <c r="A23" s="52"/>
    </row>
    <row r="24" ht="96" customHeight="1">
      <c r="A24" s="401" t="s">
        <v>323</v>
      </c>
    </row>
    <row r="25" ht="15.75">
      <c r="A25" s="52"/>
    </row>
    <row r="26" ht="30.75" customHeight="1">
      <c r="A26" s="55" t="s">
        <v>324</v>
      </c>
    </row>
    <row r="27" ht="15.75">
      <c r="A27" s="52"/>
    </row>
    <row r="28" ht="95.25" customHeight="1">
      <c r="A28" s="406" t="s">
        <v>75</v>
      </c>
    </row>
    <row r="29" ht="15.75">
      <c r="A29" s="52"/>
    </row>
    <row r="30" ht="34.5" customHeight="1">
      <c r="A30" s="401" t="s">
        <v>325</v>
      </c>
    </row>
    <row r="31" ht="15.75">
      <c r="A31" s="52"/>
    </row>
    <row r="32" ht="66" customHeight="1">
      <c r="A32" s="401" t="s">
        <v>326</v>
      </c>
    </row>
    <row r="33" ht="15.75">
      <c r="A33" s="402"/>
    </row>
    <row r="34" ht="57" customHeight="1">
      <c r="A34" s="401" t="s">
        <v>327</v>
      </c>
    </row>
    <row r="35" ht="15.75">
      <c r="A35" s="52"/>
    </row>
    <row r="36" ht="49.5" customHeight="1">
      <c r="A36" s="401" t="s">
        <v>328</v>
      </c>
    </row>
    <row r="37" ht="15.75">
      <c r="A37" s="52"/>
    </row>
    <row r="38" ht="74.25" customHeight="1">
      <c r="A38" s="406" t="s">
        <v>76</v>
      </c>
    </row>
    <row r="39" ht="15.75">
      <c r="A39" s="52"/>
    </row>
    <row r="40" ht="55.5" customHeight="1">
      <c r="A40" s="401" t="s">
        <v>329</v>
      </c>
    </row>
    <row r="41" ht="15.75">
      <c r="A41" s="52"/>
    </row>
    <row r="42" ht="53.25" customHeight="1">
      <c r="A42" s="401" t="s">
        <v>330</v>
      </c>
    </row>
    <row r="43" ht="15.75">
      <c r="A43" s="402"/>
    </row>
    <row r="44" ht="47.25" customHeight="1">
      <c r="A44" s="401" t="s">
        <v>331</v>
      </c>
    </row>
    <row r="45" ht="15.75">
      <c r="A45" s="402"/>
    </row>
    <row r="46" ht="49.5" customHeight="1">
      <c r="A46" s="401" t="s">
        <v>332</v>
      </c>
    </row>
    <row r="47" ht="15.75">
      <c r="A47" s="402"/>
    </row>
    <row r="48" ht="36" customHeight="1">
      <c r="A48" s="401" t="s">
        <v>333</v>
      </c>
    </row>
  </sheetData>
  <sheetProtection sheet="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selection activeCell="C52" sqref="C52"/>
    </sheetView>
  </sheetViews>
  <sheetFormatPr defaultColWidth="8.796875" defaultRowHeight="15"/>
  <cols>
    <col min="1" max="1" width="6.69921875" style="47" customWidth="1"/>
    <col min="2" max="2" width="21.19921875" style="47" customWidth="1"/>
    <col min="3" max="3" width="11.796875" style="47" customWidth="1"/>
    <col min="4" max="4" width="12.796875" style="47" customWidth="1"/>
    <col min="5" max="5" width="11.796875" style="47" customWidth="1"/>
    <col min="6" max="16384" width="8.8984375" style="47" customWidth="1"/>
  </cols>
  <sheetData>
    <row r="1" spans="1:6" ht="15.75">
      <c r="A1" s="200" t="str">
        <f>inputPrYr!C3</f>
        <v>Russell County</v>
      </c>
      <c r="B1" s="67"/>
      <c r="C1" s="67"/>
      <c r="D1" s="67"/>
      <c r="E1" s="67"/>
      <c r="F1" s="67">
        <f>inputPrYr!C5</f>
        <v>2013</v>
      </c>
    </row>
    <row r="2" spans="1:6" ht="15.75">
      <c r="A2" s="67"/>
      <c r="B2" s="67"/>
      <c r="C2" s="67"/>
      <c r="D2" s="67"/>
      <c r="E2" s="67"/>
      <c r="F2" s="67"/>
    </row>
    <row r="3" spans="1:6" ht="15.75">
      <c r="A3" s="67"/>
      <c r="B3" s="738" t="str">
        <f>CONCATENATE("",F1," Neighborhood Revitalization Rebate")</f>
        <v>2013 Neighborhood Revitalization Rebate</v>
      </c>
      <c r="C3" s="771"/>
      <c r="D3" s="771"/>
      <c r="E3" s="771"/>
      <c r="F3" s="67"/>
    </row>
    <row r="4" spans="1:6" ht="15.75">
      <c r="A4" s="67"/>
      <c r="B4" s="67"/>
      <c r="C4" s="67"/>
      <c r="D4" s="67"/>
      <c r="E4" s="67"/>
      <c r="F4" s="67"/>
    </row>
    <row r="5" spans="1:6" ht="51" customHeight="1">
      <c r="A5" s="67"/>
      <c r="B5" s="388" t="str">
        <f>CONCATENATE("Budgeted Funds                        for ",F1,"")</f>
        <v>Budgeted Funds                        for 2013</v>
      </c>
      <c r="C5" s="388" t="str">
        <f>CONCATENATE("",F1-1," Ad Valorem before Rebate**")</f>
        <v>2012 Ad Valorem before Rebate**</v>
      </c>
      <c r="D5" s="389" t="str">
        <f>CONCATENATE("",F1-1," Mil Rate before Rebate")</f>
        <v>2012 Mil Rate before Rebate</v>
      </c>
      <c r="E5" s="390" t="str">
        <f>CONCATENATE("Estimate ",F1," NR Rebate")</f>
        <v>Estimate 2013 NR Rebate</v>
      </c>
      <c r="F5" s="117"/>
    </row>
    <row r="6" spans="1:6" ht="15.75">
      <c r="A6" s="67"/>
      <c r="B6" s="86" t="str">
        <f>inputPrYr!B16</f>
        <v>General</v>
      </c>
      <c r="C6" s="391"/>
      <c r="D6" s="392">
        <f>IF(C6&gt;0,C6/$D$36,"")</f>
      </c>
      <c r="E6" s="273">
        <f aca="true" t="shared" si="0" ref="E6:E30">IF(C6&gt;0,ROUND(D6*$D$40,0),"")</f>
      </c>
      <c r="F6" s="117"/>
    </row>
    <row r="7" spans="1:6" ht="15.75">
      <c r="A7" s="67"/>
      <c r="B7" s="86" t="str">
        <f>inputPrYr!B17</f>
        <v>Debt Service</v>
      </c>
      <c r="C7" s="391"/>
      <c r="D7" s="392">
        <f aca="true" t="shared" si="1" ref="D7:D30">IF(C7&gt;0,C7/$D$36,"")</f>
      </c>
      <c r="E7" s="273">
        <f t="shared" si="0"/>
      </c>
      <c r="F7" s="117"/>
    </row>
    <row r="8" spans="1:6" ht="15.75">
      <c r="A8" s="67"/>
      <c r="B8" s="86" t="str">
        <f>inputPrYr!B18</f>
        <v>Road &amp; Bridge</v>
      </c>
      <c r="C8" s="391"/>
      <c r="D8" s="392">
        <f t="shared" si="1"/>
      </c>
      <c r="E8" s="273">
        <f t="shared" si="0"/>
      </c>
      <c r="F8" s="117"/>
    </row>
    <row r="9" spans="1:6" ht="15.75">
      <c r="A9" s="67"/>
      <c r="B9" s="86" t="str">
        <f>inputPrYr!B19</f>
        <v>Special Bridge</v>
      </c>
      <c r="C9" s="391"/>
      <c r="D9" s="392">
        <f t="shared" si="1"/>
      </c>
      <c r="E9" s="273">
        <f t="shared" si="0"/>
      </c>
      <c r="F9" s="117"/>
    </row>
    <row r="10" spans="1:6" ht="15.75">
      <c r="A10" s="67"/>
      <c r="B10" s="86" t="str">
        <f>inputPrYr!B20</f>
        <v>Noxious Weed</v>
      </c>
      <c r="C10" s="391"/>
      <c r="D10" s="392">
        <f t="shared" si="1"/>
      </c>
      <c r="E10" s="273">
        <f t="shared" si="0"/>
      </c>
      <c r="F10" s="117"/>
    </row>
    <row r="11" spans="1:6" ht="15.75">
      <c r="A11" s="67"/>
      <c r="B11" s="86" t="str">
        <f>inputPrYr!B21</f>
        <v>4-H Bldg Maintenance</v>
      </c>
      <c r="C11" s="391"/>
      <c r="D11" s="392">
        <f t="shared" si="1"/>
      </c>
      <c r="E11" s="273">
        <f t="shared" si="0"/>
      </c>
      <c r="F11" s="117"/>
    </row>
    <row r="12" spans="1:6" ht="15.75">
      <c r="A12" s="67"/>
      <c r="B12" s="86" t="str">
        <f>inputPrYr!B22</f>
        <v>Election Expense</v>
      </c>
      <c r="C12" s="393"/>
      <c r="D12" s="392">
        <f t="shared" si="1"/>
      </c>
      <c r="E12" s="273">
        <f t="shared" si="0"/>
      </c>
      <c r="F12" s="117"/>
    </row>
    <row r="13" spans="1:6" ht="15.75">
      <c r="A13" s="67"/>
      <c r="B13" s="86" t="str">
        <f>inputPrYr!B23</f>
        <v>Ambulance</v>
      </c>
      <c r="C13" s="393"/>
      <c r="D13" s="392">
        <f t="shared" si="1"/>
      </c>
      <c r="E13" s="273">
        <f t="shared" si="0"/>
      </c>
      <c r="F13" s="117"/>
    </row>
    <row r="14" spans="1:6" ht="15.75">
      <c r="A14" s="67"/>
      <c r="B14" s="86" t="str">
        <f>inputPrYr!B24</f>
        <v>Free Fair</v>
      </c>
      <c r="C14" s="393"/>
      <c r="D14" s="392">
        <f t="shared" si="1"/>
      </c>
      <c r="E14" s="273">
        <f t="shared" si="0"/>
      </c>
      <c r="F14" s="117"/>
    </row>
    <row r="15" spans="1:6" ht="15.75">
      <c r="A15" s="67"/>
      <c r="B15" s="86" t="str">
        <f>inputPrYr!B25</f>
        <v>Ag Extension Council</v>
      </c>
      <c r="C15" s="393"/>
      <c r="D15" s="392">
        <f t="shared" si="1"/>
      </c>
      <c r="E15" s="273">
        <f t="shared" si="0"/>
      </c>
      <c r="F15" s="117"/>
    </row>
    <row r="16" spans="1:6" ht="15.75">
      <c r="A16" s="67"/>
      <c r="B16" s="86" t="str">
        <f>inputPrYr!B26</f>
        <v>Mental Health</v>
      </c>
      <c r="C16" s="393"/>
      <c r="D16" s="392">
        <f t="shared" si="1"/>
      </c>
      <c r="E16" s="273">
        <f t="shared" si="0"/>
      </c>
      <c r="F16" s="117"/>
    </row>
    <row r="17" spans="1:6" ht="15.75">
      <c r="A17" s="67"/>
      <c r="B17" s="86" t="str">
        <f>inputPrYr!B27</f>
        <v>Service for the Elderly</v>
      </c>
      <c r="C17" s="393"/>
      <c r="D17" s="392">
        <f t="shared" si="1"/>
      </c>
      <c r="E17" s="273">
        <f t="shared" si="0"/>
      </c>
      <c r="F17" s="117"/>
    </row>
    <row r="18" spans="1:6" ht="15.75">
      <c r="A18" s="67"/>
      <c r="B18" s="86" t="str">
        <f>inputPrYr!B28</f>
        <v>County Health</v>
      </c>
      <c r="C18" s="393"/>
      <c r="D18" s="392">
        <f t="shared" si="1"/>
      </c>
      <c r="E18" s="273">
        <f t="shared" si="0"/>
      </c>
      <c r="F18" s="117"/>
    </row>
    <row r="19" spans="1:6" ht="15.75">
      <c r="A19" s="67"/>
      <c r="B19" s="86" t="str">
        <f>inputPrYr!B29</f>
        <v>Developmental Service</v>
      </c>
      <c r="C19" s="393"/>
      <c r="D19" s="392">
        <f t="shared" si="1"/>
      </c>
      <c r="E19" s="273">
        <f t="shared" si="0"/>
      </c>
      <c r="F19" s="117"/>
    </row>
    <row r="20" spans="1:6" ht="15.75">
      <c r="A20" s="67"/>
      <c r="B20" s="86" t="str">
        <f>inputPrYr!B30</f>
        <v>Appraiser</v>
      </c>
      <c r="C20" s="393"/>
      <c r="D20" s="392">
        <f t="shared" si="1"/>
      </c>
      <c r="E20" s="273">
        <f t="shared" si="0"/>
      </c>
      <c r="F20" s="117"/>
    </row>
    <row r="21" spans="1:6" ht="15.75">
      <c r="A21" s="67"/>
      <c r="B21" s="86" t="str">
        <f>inputPrYr!B31</f>
        <v>Special Road and Bridge</v>
      </c>
      <c r="C21" s="393"/>
      <c r="D21" s="392">
        <f t="shared" si="1"/>
      </c>
      <c r="E21" s="273">
        <f t="shared" si="0"/>
      </c>
      <c r="F21" s="117"/>
    </row>
    <row r="22" spans="1:6" ht="15.75">
      <c r="A22" s="67"/>
      <c r="B22" s="86" t="str">
        <f>inputPrYr!B32</f>
        <v>Employee Benefit</v>
      </c>
      <c r="C22" s="393"/>
      <c r="D22" s="392">
        <f t="shared" si="1"/>
      </c>
      <c r="E22" s="273">
        <f t="shared" si="0"/>
      </c>
      <c r="F22" s="117"/>
    </row>
    <row r="23" spans="1:6" ht="15.75">
      <c r="A23" s="67"/>
      <c r="B23" s="86" t="str">
        <f>inputPrYr!B33</f>
        <v>Historical Society</v>
      </c>
      <c r="C23" s="393"/>
      <c r="D23" s="392">
        <f t="shared" si="1"/>
      </c>
      <c r="E23" s="273">
        <f t="shared" si="0"/>
      </c>
      <c r="F23" s="117"/>
    </row>
    <row r="24" spans="1:6" ht="15.75">
      <c r="A24" s="67"/>
      <c r="B24" s="86" t="str">
        <f>inputPrYr!B34</f>
        <v>Hospital Board</v>
      </c>
      <c r="C24" s="393"/>
      <c r="D24" s="392">
        <f t="shared" si="1"/>
      </c>
      <c r="E24" s="273">
        <f t="shared" si="0"/>
      </c>
      <c r="F24" s="117"/>
    </row>
    <row r="25" spans="1:6" ht="15.75">
      <c r="A25" s="67"/>
      <c r="B25" s="86" t="str">
        <f>inputPrYr!B35</f>
        <v>Economic Development</v>
      </c>
      <c r="C25" s="393"/>
      <c r="D25" s="392">
        <f t="shared" si="1"/>
      </c>
      <c r="E25" s="273">
        <f t="shared" si="0"/>
      </c>
      <c r="F25" s="117"/>
    </row>
    <row r="26" spans="1:6" ht="15.75">
      <c r="A26" s="67"/>
      <c r="B26" s="86">
        <f>inputPrYr!B36</f>
        <v>0</v>
      </c>
      <c r="C26" s="393"/>
      <c r="D26" s="392">
        <f t="shared" si="1"/>
      </c>
      <c r="E26" s="273">
        <f t="shared" si="0"/>
      </c>
      <c r="F26" s="117"/>
    </row>
    <row r="27" spans="1:6" ht="15.75">
      <c r="A27" s="67"/>
      <c r="B27" s="86">
        <f>inputPrYr!B37</f>
        <v>0</v>
      </c>
      <c r="C27" s="393"/>
      <c r="D27" s="392">
        <f t="shared" si="1"/>
      </c>
      <c r="E27" s="273">
        <f t="shared" si="0"/>
      </c>
      <c r="F27" s="117"/>
    </row>
    <row r="28" spans="1:6" ht="15.75">
      <c r="A28" s="67"/>
      <c r="B28" s="86">
        <f>inputPrYr!B38</f>
        <v>0</v>
      </c>
      <c r="C28" s="393"/>
      <c r="D28" s="392">
        <f t="shared" si="1"/>
      </c>
      <c r="E28" s="273">
        <f t="shared" si="0"/>
      </c>
      <c r="F28" s="117"/>
    </row>
    <row r="29" spans="1:6" ht="15.75">
      <c r="A29" s="67"/>
      <c r="B29" s="86">
        <f>inputPrYr!B39</f>
        <v>0</v>
      </c>
      <c r="C29" s="393"/>
      <c r="D29" s="392">
        <f t="shared" si="1"/>
      </c>
      <c r="E29" s="273">
        <f t="shared" si="0"/>
      </c>
      <c r="F29" s="117"/>
    </row>
    <row r="30" spans="1:6" ht="15.75">
      <c r="A30" s="67"/>
      <c r="B30" s="86">
        <f>inputPrYr!B40</f>
        <v>0</v>
      </c>
      <c r="C30" s="393"/>
      <c r="D30" s="392">
        <f t="shared" si="1"/>
      </c>
      <c r="E30" s="273">
        <f t="shared" si="0"/>
      </c>
      <c r="F30" s="117"/>
    </row>
    <row r="31" spans="1:6" ht="16.5" thickBot="1">
      <c r="A31" s="67"/>
      <c r="B31" s="163" t="s">
        <v>717</v>
      </c>
      <c r="C31" s="394">
        <f>SUM(C6:C30)</f>
        <v>0</v>
      </c>
      <c r="D31" s="395">
        <f>SUM(D6:D30)</f>
        <v>0</v>
      </c>
      <c r="E31" s="394">
        <f>SUM(E6:E30)</f>
        <v>0</v>
      </c>
      <c r="F31" s="117"/>
    </row>
    <row r="32" spans="1:6" ht="16.5" thickTop="1">
      <c r="A32" s="67"/>
      <c r="B32" s="67"/>
      <c r="C32" s="67"/>
      <c r="D32" s="67"/>
      <c r="E32" s="67"/>
      <c r="F32" s="117"/>
    </row>
    <row r="33" spans="1:6" ht="15.75">
      <c r="A33" s="67"/>
      <c r="B33" s="67"/>
      <c r="C33" s="67"/>
      <c r="D33" s="67"/>
      <c r="E33" s="67"/>
      <c r="F33" s="117"/>
    </row>
    <row r="34" spans="1:6" ht="15.75">
      <c r="A34" s="772" t="str">
        <f>CONCATENATE("",F1-1," July 1 Valuation:")</f>
        <v>2012 July 1 Valuation:</v>
      </c>
      <c r="B34" s="752"/>
      <c r="C34" s="772"/>
      <c r="D34" s="232">
        <f>inputOth!E5</f>
        <v>112143509</v>
      </c>
      <c r="E34" s="67"/>
      <c r="F34" s="117"/>
    </row>
    <row r="35" spans="1:6" ht="15.75">
      <c r="A35" s="67"/>
      <c r="B35" s="67"/>
      <c r="C35" s="67"/>
      <c r="D35" s="67"/>
      <c r="E35" s="67"/>
      <c r="F35" s="117"/>
    </row>
    <row r="36" spans="1:6" ht="15.75">
      <c r="A36" s="67"/>
      <c r="B36" s="772" t="s">
        <v>353</v>
      </c>
      <c r="C36" s="772"/>
      <c r="D36" s="396">
        <f>IF(D34&gt;0,(D34*0.001),"")</f>
        <v>112143.509</v>
      </c>
      <c r="E36" s="67"/>
      <c r="F36" s="117"/>
    </row>
    <row r="37" spans="1:6" ht="15.75">
      <c r="A37" s="67"/>
      <c r="B37" s="281"/>
      <c r="C37" s="281"/>
      <c r="D37" s="397"/>
      <c r="E37" s="67"/>
      <c r="F37" s="117"/>
    </row>
    <row r="38" spans="1:6" ht="15.75">
      <c r="A38" s="770" t="s">
        <v>354</v>
      </c>
      <c r="B38" s="736"/>
      <c r="C38" s="736"/>
      <c r="D38" s="398">
        <f>inputOth!E11</f>
        <v>0</v>
      </c>
      <c r="E38" s="126"/>
      <c r="F38" s="126"/>
    </row>
    <row r="39" spans="1:6" ht="15">
      <c r="A39" s="126"/>
      <c r="B39" s="126"/>
      <c r="C39" s="126"/>
      <c r="D39" s="235"/>
      <c r="E39" s="126"/>
      <c r="F39" s="126"/>
    </row>
    <row r="40" spans="1:6" ht="15.75">
      <c r="A40" s="126"/>
      <c r="B40" s="770" t="s">
        <v>355</v>
      </c>
      <c r="C40" s="752"/>
      <c r="D40" s="399">
        <f>IF(D38&gt;0,(D38*0.001),"")</f>
      </c>
      <c r="E40" s="126"/>
      <c r="F40" s="126"/>
    </row>
    <row r="41" spans="1:6" ht="15">
      <c r="A41" s="126"/>
      <c r="B41" s="126"/>
      <c r="C41" s="126"/>
      <c r="D41" s="126"/>
      <c r="E41" s="126"/>
      <c r="F41" s="126"/>
    </row>
    <row r="42" spans="1:6" ht="15">
      <c r="A42" s="126"/>
      <c r="B42" s="126"/>
      <c r="C42" s="126"/>
      <c r="D42" s="126"/>
      <c r="E42" s="126"/>
      <c r="F42" s="126"/>
    </row>
    <row r="43" spans="1:6" ht="15">
      <c r="A43" s="126"/>
      <c r="B43" s="126"/>
      <c r="C43" s="126"/>
      <c r="D43" s="126"/>
      <c r="E43" s="126"/>
      <c r="F43" s="126"/>
    </row>
    <row r="44" spans="1:6" ht="15.75">
      <c r="A44" s="432" t="str">
        <f>CONCATENATE("**This information comes from the ",F1," Budget Summary page.  See instructions tab #11 for completing")</f>
        <v>**This information comes from the 2013 Budget Summary page.  See instructions tab #11 for completing</v>
      </c>
      <c r="B44" s="126"/>
      <c r="C44" s="126"/>
      <c r="D44" s="126"/>
      <c r="E44" s="126"/>
      <c r="F44" s="126"/>
    </row>
    <row r="45" spans="1:6" ht="15.75">
      <c r="A45" s="432" t="s">
        <v>44</v>
      </c>
      <c r="B45" s="126"/>
      <c r="C45" s="126"/>
      <c r="D45" s="126"/>
      <c r="E45" s="126"/>
      <c r="F45" s="126"/>
    </row>
    <row r="46" spans="1:6" ht="15.75">
      <c r="A46" s="432"/>
      <c r="B46" s="126"/>
      <c r="C46" s="126"/>
      <c r="D46" s="126"/>
      <c r="E46" s="126"/>
      <c r="F46" s="126"/>
    </row>
    <row r="47" spans="1:6" ht="15.75">
      <c r="A47" s="432"/>
      <c r="B47" s="126"/>
      <c r="C47" s="126"/>
      <c r="D47" s="126"/>
      <c r="E47" s="126"/>
      <c r="F47" s="126"/>
    </row>
    <row r="48" spans="1:6" ht="15.75">
      <c r="A48" s="432"/>
      <c r="B48" s="126"/>
      <c r="C48" s="126"/>
      <c r="D48" s="126"/>
      <c r="E48" s="126"/>
      <c r="F48" s="126"/>
    </row>
    <row r="49" spans="1:6" ht="15.75">
      <c r="A49" s="432"/>
      <c r="B49" s="126"/>
      <c r="C49" s="126"/>
      <c r="D49" s="126"/>
      <c r="E49" s="126"/>
      <c r="F49" s="126"/>
    </row>
    <row r="50" spans="1:6" ht="15.75">
      <c r="A50" s="432"/>
      <c r="B50" s="126"/>
      <c r="C50" s="126"/>
      <c r="D50" s="126"/>
      <c r="E50" s="126"/>
      <c r="F50" s="126"/>
    </row>
    <row r="51" spans="1:6" ht="15">
      <c r="A51" s="126"/>
      <c r="B51" s="126"/>
      <c r="C51" s="126"/>
      <c r="D51" s="126"/>
      <c r="E51" s="126"/>
      <c r="F51" s="126"/>
    </row>
    <row r="52" spans="1:6" ht="15.75">
      <c r="A52" s="126"/>
      <c r="B52" s="316" t="s">
        <v>762</v>
      </c>
      <c r="C52" s="334"/>
      <c r="D52" s="126"/>
      <c r="E52" s="126"/>
      <c r="F52" s="126"/>
    </row>
    <row r="53" spans="1:6" ht="15.75">
      <c r="A53" s="117"/>
      <c r="B53" s="67"/>
      <c r="C53" s="67"/>
      <c r="D53" s="177"/>
      <c r="E53" s="117"/>
      <c r="F53" s="117"/>
    </row>
  </sheetData>
  <sheetProtection sheet="1"/>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75" r:id="rId1"/>
  <headerFooter alignWithMargins="0">
    <oddHeader>&amp;RState of Kansas
County</oddHeader>
  </headerFooter>
</worksheet>
</file>

<file path=xl/worksheets/sheet39.xml><?xml version="1.0" encoding="utf-8"?>
<worksheet xmlns="http://schemas.openxmlformats.org/spreadsheetml/2006/main" xmlns:r="http://schemas.openxmlformats.org/officeDocument/2006/relationships">
  <dimension ref="A1:H70"/>
  <sheetViews>
    <sheetView zoomScalePageLayoutView="0" workbookViewId="0" topLeftCell="A1">
      <selection activeCell="H38" sqref="H38"/>
    </sheetView>
  </sheetViews>
  <sheetFormatPr defaultColWidth="9.796875" defaultRowHeight="15"/>
  <cols>
    <col min="1" max="16384" width="9.796875" style="34" customWidth="1"/>
  </cols>
  <sheetData>
    <row r="1" spans="1:8" ht="11.25" customHeight="1">
      <c r="A1" s="18"/>
      <c r="B1" s="32"/>
      <c r="C1" s="32"/>
      <c r="D1" s="32"/>
      <c r="E1" s="32"/>
      <c r="F1" s="32"/>
      <c r="G1" s="19"/>
      <c r="H1" s="33"/>
    </row>
    <row r="2" spans="1:8" ht="15.75" customHeight="1">
      <c r="A2" s="774" t="s">
        <v>864</v>
      </c>
      <c r="B2" s="774"/>
      <c r="C2" s="774"/>
      <c r="D2" s="774"/>
      <c r="E2" s="774"/>
      <c r="F2" s="774"/>
      <c r="G2" s="774"/>
      <c r="H2" s="774"/>
    </row>
    <row r="3" spans="1:8" ht="9" customHeight="1">
      <c r="A3" s="18"/>
      <c r="B3" s="23"/>
      <c r="C3" s="23"/>
      <c r="D3" s="23"/>
      <c r="E3" s="23"/>
      <c r="F3" s="23"/>
      <c r="G3" s="20"/>
      <c r="H3" s="35"/>
    </row>
    <row r="4" spans="1:8" ht="15.75" customHeight="1">
      <c r="A4" s="775" t="s">
        <v>861</v>
      </c>
      <c r="B4" s="775"/>
      <c r="C4" s="775"/>
      <c r="D4" s="775"/>
      <c r="E4" s="775"/>
      <c r="F4" s="775"/>
      <c r="G4" s="775"/>
      <c r="H4" s="775"/>
    </row>
    <row r="5" spans="1:8" ht="9" customHeight="1">
      <c r="A5" s="21"/>
      <c r="B5" s="23"/>
      <c r="C5" s="23"/>
      <c r="D5" s="23"/>
      <c r="E5" s="23"/>
      <c r="F5" s="23"/>
      <c r="G5" s="23"/>
      <c r="H5" s="35"/>
    </row>
    <row r="6" spans="1:8" ht="15.75" customHeight="1">
      <c r="A6" s="22" t="str">
        <f>CONCATENATE("A resolution expressing the property taxation policy of the Board of ",(inputPrYr!C3)," Commissioners")</f>
        <v>A resolution expressing the property taxation policy of the Board of Russell County Commissioners</v>
      </c>
      <c r="B6" s="23"/>
      <c r="C6" s="23"/>
      <c r="D6" s="23"/>
      <c r="E6" s="23"/>
      <c r="F6" s="23"/>
      <c r="G6" s="23"/>
      <c r="H6" s="35"/>
    </row>
    <row r="7" spans="1:8" ht="15.75" customHeight="1">
      <c r="A7" s="22" t="str">
        <f>CONCATENATE("with respect to financing the ",inputPrYr!C5," annual budget for ",(inputPrYr!E3)," .")</f>
        <v>with respect to financing the 2013 annual budget for  .</v>
      </c>
      <c r="B7" s="23"/>
      <c r="C7" s="23"/>
      <c r="D7" s="23"/>
      <c r="E7" s="23"/>
      <c r="F7" s="23"/>
      <c r="G7" s="23"/>
      <c r="H7" s="35"/>
    </row>
    <row r="8" spans="1:8" ht="9" customHeight="1">
      <c r="A8" s="18"/>
      <c r="B8" s="23"/>
      <c r="C8" s="23"/>
      <c r="D8" s="23"/>
      <c r="E8" s="23"/>
      <c r="F8" s="23"/>
      <c r="G8" s="23"/>
      <c r="H8" s="35"/>
    </row>
    <row r="9" spans="1:8" ht="15.75" customHeight="1">
      <c r="A9" s="26" t="str">
        <f>CONCATENATE("Whereas, K.S.A. 79-2925b provides that a resolution be adopted if property taxes levied to finance the ",inputPrYr!C5,"")</f>
        <v>Whereas, K.S.A. 79-2925b provides that a resolution be adopted if property taxes levied to finance the 2013</v>
      </c>
      <c r="B9" s="23"/>
      <c r="C9" s="23"/>
      <c r="D9" s="23"/>
      <c r="E9" s="23"/>
      <c r="F9" s="23"/>
      <c r="G9" s="23"/>
      <c r="H9" s="35"/>
    </row>
    <row r="10" spans="1:8" ht="15.75" customHeight="1">
      <c r="A10" s="777" t="str">
        <f>CONCATENATE("",(inputPrYr!C3)," budget exceed the amount levied to finance the ",inputPrYr!C5-1," ",(inputPrYr!C3)," ",A16,)</f>
        <v>Russell County budget exceed the amount levied to finance the 2012 Russell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777"/>
      <c r="C10" s="777"/>
      <c r="D10" s="777"/>
      <c r="E10" s="777"/>
      <c r="F10" s="777"/>
      <c r="G10" s="777"/>
      <c r="H10" s="777"/>
    </row>
    <row r="11" spans="1:8" ht="15.75" customHeight="1">
      <c r="A11" s="777"/>
      <c r="B11" s="777"/>
      <c r="C11" s="777"/>
      <c r="D11" s="777"/>
      <c r="E11" s="777"/>
      <c r="F11" s="777"/>
      <c r="G11" s="777"/>
      <c r="H11" s="777"/>
    </row>
    <row r="12" spans="1:8" ht="15.75" customHeight="1">
      <c r="A12" s="777"/>
      <c r="B12" s="777"/>
      <c r="C12" s="777"/>
      <c r="D12" s="777"/>
      <c r="E12" s="777"/>
      <c r="F12" s="777"/>
      <c r="G12" s="777"/>
      <c r="H12" s="777"/>
    </row>
    <row r="13" spans="1:8" ht="15.75" customHeight="1">
      <c r="A13" s="777"/>
      <c r="B13" s="777"/>
      <c r="C13" s="777"/>
      <c r="D13" s="777"/>
      <c r="E13" s="777"/>
      <c r="F13" s="777"/>
      <c r="G13" s="777"/>
      <c r="H13" s="777"/>
    </row>
    <row r="14" spans="1:8" ht="15.75" customHeight="1">
      <c r="A14" s="777"/>
      <c r="B14" s="777"/>
      <c r="C14" s="777"/>
      <c r="D14" s="777"/>
      <c r="E14" s="777"/>
      <c r="F14" s="777"/>
      <c r="G14" s="777"/>
      <c r="H14" s="777"/>
    </row>
    <row r="15" spans="1:8" ht="8.25" customHeight="1">
      <c r="A15" s="777"/>
      <c r="B15" s="777"/>
      <c r="C15" s="777"/>
      <c r="D15" s="777"/>
      <c r="E15" s="777"/>
      <c r="F15" s="777"/>
      <c r="G15" s="777"/>
      <c r="H15" s="777"/>
    </row>
    <row r="16" spans="1:8" ht="0.75" customHeight="1" hidden="1">
      <c r="A16" s="36" t="s">
        <v>890</v>
      </c>
      <c r="B16" s="23"/>
      <c r="C16" s="23"/>
      <c r="D16" s="23"/>
      <c r="E16" s="23"/>
      <c r="F16" s="23"/>
      <c r="G16" s="23"/>
      <c r="H16" s="35" t="s">
        <v>763</v>
      </c>
    </row>
    <row r="17" spans="1:8" ht="15.75" customHeight="1">
      <c r="A17" s="777" t="s">
        <v>869</v>
      </c>
      <c r="B17" s="777"/>
      <c r="C17" s="777"/>
      <c r="D17" s="777"/>
      <c r="E17" s="777"/>
      <c r="F17" s="777"/>
      <c r="G17" s="777"/>
      <c r="H17" s="777"/>
    </row>
    <row r="18" spans="1:8" ht="15.75" customHeight="1">
      <c r="A18" s="777"/>
      <c r="B18" s="777"/>
      <c r="C18" s="777"/>
      <c r="D18" s="777"/>
      <c r="E18" s="777"/>
      <c r="F18" s="777"/>
      <c r="G18" s="777"/>
      <c r="H18" s="777"/>
    </row>
    <row r="19" spans="1:8" ht="9" customHeight="1">
      <c r="A19" s="21"/>
      <c r="B19" s="23"/>
      <c r="C19" s="23"/>
      <c r="D19" s="23"/>
      <c r="E19" s="23"/>
      <c r="F19" s="23"/>
      <c r="G19" s="23"/>
      <c r="H19" s="35"/>
    </row>
    <row r="20" spans="1:8" ht="15.75" customHeight="1">
      <c r="A20" s="777" t="str">
        <f>CONCATENATE("Whereas, ",(inputPrYr!C3)," provides the essential services to protect the health, safety, and well being of the citizens of the county; and")</f>
        <v>Whereas, Russell County provides the essential services to protect the health, safety, and well being of the citizens of the county; and</v>
      </c>
      <c r="B20" s="777"/>
      <c r="C20" s="777"/>
      <c r="D20" s="777"/>
      <c r="E20" s="777"/>
      <c r="F20" s="777"/>
      <c r="G20" s="777"/>
      <c r="H20" s="777"/>
    </row>
    <row r="21" spans="1:8" ht="15.75" customHeight="1">
      <c r="A21" s="777"/>
      <c r="B21" s="777"/>
      <c r="C21" s="777"/>
      <c r="D21" s="777"/>
      <c r="E21" s="777"/>
      <c r="F21" s="777"/>
      <c r="G21" s="777"/>
      <c r="H21" s="777"/>
    </row>
    <row r="22" spans="1:8" ht="9" customHeight="1">
      <c r="A22" s="23"/>
      <c r="B22" s="23"/>
      <c r="C22" s="23"/>
      <c r="D22" s="23"/>
      <c r="E22" s="23"/>
      <c r="F22" s="23"/>
      <c r="G22" s="23"/>
      <c r="H22" s="35"/>
    </row>
    <row r="23" spans="1:8" ht="15.75" customHeight="1">
      <c r="A23" s="23" t="s">
        <v>870</v>
      </c>
      <c r="B23" s="23"/>
      <c r="C23" s="23"/>
      <c r="D23" s="23"/>
      <c r="E23" s="23"/>
      <c r="F23" s="23"/>
      <c r="G23" s="23"/>
      <c r="H23" s="35"/>
    </row>
    <row r="24" spans="1:8" ht="9" customHeight="1">
      <c r="A24" s="21"/>
      <c r="B24" s="23"/>
      <c r="C24" s="23"/>
      <c r="D24" s="23"/>
      <c r="E24" s="23"/>
      <c r="F24" s="23"/>
      <c r="G24" s="23"/>
      <c r="H24" s="35"/>
    </row>
    <row r="25" spans="1:8" ht="15.75" customHeight="1">
      <c r="A25" s="777" t="str">
        <f>CONCATENATE("Whereas, the ",inputPrYr!C5-1," Kansas State Legislature failed to fulfill its obligations in regard to the statutory funding of demand transfers and, by significantly ",A28," ",(inputPrYr!C3),B28)</f>
        <v>Whereas, the 2012 Kansas State Legislature failed to fulfill its obligations in regard to the statutory funding of demand transfers and, by significantly limiting state revenue sharing payments to counties, has contributed to higher county property tax levies to finance the 2013 Russell County budget.</v>
      </c>
      <c r="B25" s="777"/>
      <c r="C25" s="777"/>
      <c r="D25" s="777"/>
      <c r="E25" s="777"/>
      <c r="F25" s="777"/>
      <c r="G25" s="777"/>
      <c r="H25" s="777"/>
    </row>
    <row r="26" spans="1:8" ht="15.75" customHeight="1">
      <c r="A26" s="777"/>
      <c r="B26" s="777"/>
      <c r="C26" s="777"/>
      <c r="D26" s="777"/>
      <c r="E26" s="777"/>
      <c r="F26" s="777"/>
      <c r="G26" s="777"/>
      <c r="H26" s="777"/>
    </row>
    <row r="27" spans="1:8" ht="24.75" customHeight="1">
      <c r="A27" s="777"/>
      <c r="B27" s="777"/>
      <c r="C27" s="777"/>
      <c r="D27" s="777"/>
      <c r="E27" s="777"/>
      <c r="F27" s="777"/>
      <c r="G27" s="777"/>
      <c r="H27" s="777"/>
    </row>
    <row r="28" spans="1:8" ht="9" customHeight="1" hidden="1">
      <c r="A28" s="25" t="str">
        <f>CONCATENATE("limiting state revenue sharing payments to counties, has contributed to higher county property tax levies to finance the ",inputPrYr!C5,"")</f>
        <v>limiting state revenue sharing payments to counties, has contributed to higher county property tax levies to finance the 2013</v>
      </c>
      <c r="B28" s="25" t="s">
        <v>891</v>
      </c>
      <c r="C28" s="17"/>
      <c r="D28" s="17"/>
      <c r="E28" s="17"/>
      <c r="F28" s="17"/>
      <c r="G28" s="17"/>
      <c r="H28" s="37"/>
    </row>
    <row r="29" spans="1:8" ht="15.75" customHeight="1">
      <c r="A29" s="777" t="str">
        <f>CONCATENATE("NOW, THEREFORE, BE IT RESOLVED by the Board of ",(inputPrYr!C3)," Commissioners that is our desire to notify the public of the possibility of increased property taxes to finance the ",inputPrYr!C5," ",(inputPrYr!C3)," budget due to the above mentioned constraints, and that all persons are invited and encouraged to attend budget meeting conducted by the Board of ",(inputPrYr!C3)," Commissioners.  The date and time of budget hearings with the Board of ",(inputPrYr!C3),A70,)</f>
        <v>NOW, THEREFORE, BE IT RESOLVED by the Board of Russell County Commissioners that is our desire to notify the public of the possibility of increased property taxes to finance the 2013 Russell County budget due to the above mentioned constraints, and that all persons are invited and encouraged to attend budget meeting conducted by the Board of Russell County Commissioners.  The date and time of budget hearings with the Board of Russell CountyCommissioners will be published in the (newspaper). Interested persons can also address questions concerning the budget to (office) by calling (number) between the hours of ____a.m. to ____p.m., Monday through Friday, excluding holidays.</v>
      </c>
      <c r="B29" s="777"/>
      <c r="C29" s="777"/>
      <c r="D29" s="777"/>
      <c r="E29" s="777"/>
      <c r="F29" s="777"/>
      <c r="G29" s="777"/>
      <c r="H29" s="777"/>
    </row>
    <row r="30" spans="1:8" ht="15.75" customHeight="1">
      <c r="A30" s="777"/>
      <c r="B30" s="777"/>
      <c r="C30" s="777"/>
      <c r="D30" s="777"/>
      <c r="E30" s="777"/>
      <c r="F30" s="777"/>
      <c r="G30" s="777"/>
      <c r="H30" s="777"/>
    </row>
    <row r="31" spans="1:8" ht="15.75" customHeight="1">
      <c r="A31" s="777"/>
      <c r="B31" s="777"/>
      <c r="C31" s="777"/>
      <c r="D31" s="777"/>
      <c r="E31" s="777"/>
      <c r="F31" s="777"/>
      <c r="G31" s="777"/>
      <c r="H31" s="777"/>
    </row>
    <row r="32" spans="1:8" ht="15.75" customHeight="1">
      <c r="A32" s="777"/>
      <c r="B32" s="777"/>
      <c r="C32" s="777"/>
      <c r="D32" s="777"/>
      <c r="E32" s="777"/>
      <c r="F32" s="777"/>
      <c r="G32" s="777"/>
      <c r="H32" s="777"/>
    </row>
    <row r="33" spans="1:8" ht="15.75" customHeight="1">
      <c r="A33" s="777"/>
      <c r="B33" s="777"/>
      <c r="C33" s="777"/>
      <c r="D33" s="777"/>
      <c r="E33" s="777"/>
      <c r="F33" s="777"/>
      <c r="G33" s="777"/>
      <c r="H33" s="777"/>
    </row>
    <row r="34" spans="1:8" ht="15.75" customHeight="1">
      <c r="A34" s="777"/>
      <c r="B34" s="777"/>
      <c r="C34" s="777"/>
      <c r="D34" s="777"/>
      <c r="E34" s="777"/>
      <c r="F34" s="777"/>
      <c r="G34" s="777"/>
      <c r="H34" s="777"/>
    </row>
    <row r="35" spans="1:8" ht="15.75" customHeight="1">
      <c r="A35" s="777"/>
      <c r="B35" s="777"/>
      <c r="C35" s="777"/>
      <c r="D35" s="777"/>
      <c r="E35" s="777"/>
      <c r="F35" s="777"/>
      <c r="G35" s="777"/>
      <c r="H35" s="777"/>
    </row>
    <row r="36" spans="1:8" ht="15.75" customHeight="1">
      <c r="A36" s="777"/>
      <c r="B36" s="777"/>
      <c r="C36" s="777"/>
      <c r="D36" s="777"/>
      <c r="E36" s="777"/>
      <c r="F36" s="777"/>
      <c r="G36" s="777"/>
      <c r="H36" s="777"/>
    </row>
    <row r="37" spans="1:8" ht="15.75" customHeight="1">
      <c r="A37" s="777"/>
      <c r="B37" s="777"/>
      <c r="C37" s="777"/>
      <c r="D37" s="777"/>
      <c r="E37" s="777"/>
      <c r="F37" s="777"/>
      <c r="G37" s="777"/>
      <c r="H37" s="777"/>
    </row>
    <row r="38" spans="1:8" ht="15.75" customHeight="1">
      <c r="A38" s="24"/>
      <c r="B38" s="17"/>
      <c r="C38" s="17"/>
      <c r="D38" s="17"/>
      <c r="E38" s="17"/>
      <c r="F38" s="17"/>
      <c r="G38" s="17"/>
      <c r="H38" s="37"/>
    </row>
    <row r="39" spans="1:8" ht="15.75" customHeight="1">
      <c r="A39" s="776" t="str">
        <f>CONCATENATE("                                                 Adopted this _________ day of ___________, ",inputPrYr!C5-1," by the Board of ",(inputPrYr!C3)," Commissioners.")</f>
        <v>                                                 Adopted this _________ day of ___________, 2012 by the Board of Russell County Commissioners.</v>
      </c>
      <c r="B39" s="776"/>
      <c r="C39" s="776"/>
      <c r="D39" s="776"/>
      <c r="E39" s="776"/>
      <c r="F39" s="776"/>
      <c r="G39" s="776"/>
      <c r="H39" s="776"/>
    </row>
    <row r="40" spans="1:8" ht="15.75" customHeight="1">
      <c r="A40" s="776"/>
      <c r="B40" s="776"/>
      <c r="C40" s="776"/>
      <c r="D40" s="776"/>
      <c r="E40" s="776"/>
      <c r="F40" s="776"/>
      <c r="G40" s="776"/>
      <c r="H40" s="776"/>
    </row>
    <row r="41" spans="1:8" ht="15.75" customHeight="1">
      <c r="A41" s="17"/>
      <c r="B41" s="17"/>
      <c r="C41" s="17"/>
      <c r="D41" s="17"/>
      <c r="E41" s="773" t="s">
        <v>865</v>
      </c>
      <c r="F41" s="773"/>
      <c r="G41" s="773"/>
      <c r="H41" s="773"/>
    </row>
    <row r="42" spans="1:8" ht="15.75" customHeight="1">
      <c r="A42" s="17"/>
      <c r="B42" s="17"/>
      <c r="C42" s="17"/>
      <c r="D42" s="17"/>
      <c r="E42" s="773"/>
      <c r="F42" s="773"/>
      <c r="G42" s="773"/>
      <c r="H42" s="773"/>
    </row>
    <row r="43" spans="1:8" ht="15.75" customHeight="1">
      <c r="A43" s="17"/>
      <c r="B43" s="17"/>
      <c r="C43" s="17"/>
      <c r="D43" s="17"/>
      <c r="E43" s="773" t="s">
        <v>862</v>
      </c>
      <c r="F43" s="773"/>
      <c r="G43" s="773"/>
      <c r="H43" s="773"/>
    </row>
    <row r="44" spans="1:8" ht="15.75" customHeight="1">
      <c r="A44" s="17"/>
      <c r="B44" s="17"/>
      <c r="C44" s="17"/>
      <c r="D44" s="17"/>
      <c r="E44" s="773"/>
      <c r="F44" s="773"/>
      <c r="G44" s="773"/>
      <c r="H44" s="773"/>
    </row>
    <row r="45" spans="1:8" ht="15.75" customHeight="1">
      <c r="A45" s="17"/>
      <c r="B45" s="17"/>
      <c r="C45" s="17"/>
      <c r="D45" s="17"/>
      <c r="E45" s="773" t="s">
        <v>862</v>
      </c>
      <c r="F45" s="773"/>
      <c r="G45" s="773"/>
      <c r="H45" s="773"/>
    </row>
    <row r="46" spans="1:8" ht="15.75" customHeight="1">
      <c r="A46" s="17"/>
      <c r="B46" s="17"/>
      <c r="C46" s="17"/>
      <c r="D46" s="17"/>
      <c r="E46" s="773"/>
      <c r="F46" s="773"/>
      <c r="G46" s="773"/>
      <c r="H46" s="773"/>
    </row>
    <row r="47" spans="1:8" ht="15.75" customHeight="1">
      <c r="A47" s="17"/>
      <c r="B47" s="17"/>
      <c r="C47" s="17"/>
      <c r="D47" s="17"/>
      <c r="E47" s="773" t="s">
        <v>862</v>
      </c>
      <c r="F47" s="773"/>
      <c r="G47" s="773"/>
      <c r="H47" s="773"/>
    </row>
    <row r="48" spans="1:8" ht="15.75" customHeight="1">
      <c r="A48" s="17"/>
      <c r="B48" s="17"/>
      <c r="C48" s="17"/>
      <c r="D48" s="17"/>
      <c r="E48" s="17"/>
      <c r="F48" s="17"/>
      <c r="G48" s="17"/>
      <c r="H48" s="37"/>
    </row>
    <row r="49" spans="1:8" ht="15.75" customHeight="1">
      <c r="A49" s="17" t="s">
        <v>866</v>
      </c>
      <c r="B49" s="17"/>
      <c r="C49" s="17"/>
      <c r="D49" s="17"/>
      <c r="E49" s="17"/>
      <c r="F49" s="17"/>
      <c r="G49" s="17"/>
      <c r="H49" s="37"/>
    </row>
    <row r="50" spans="1:8" ht="15.75" customHeight="1">
      <c r="A50" s="17"/>
      <c r="B50" s="17"/>
      <c r="C50" s="17"/>
      <c r="D50" s="17"/>
      <c r="E50" s="17"/>
      <c r="F50" s="17"/>
      <c r="G50" s="17"/>
      <c r="H50" s="37"/>
    </row>
    <row r="51" spans="1:8" ht="15.75" customHeight="1">
      <c r="A51" s="16" t="s">
        <v>867</v>
      </c>
      <c r="B51" s="16"/>
      <c r="C51" s="16"/>
      <c r="D51" s="16"/>
      <c r="E51" s="16"/>
      <c r="F51" s="16"/>
      <c r="G51" s="17"/>
      <c r="H51" s="37"/>
    </row>
    <row r="52" spans="1:8" ht="15.75" customHeight="1">
      <c r="A52" s="773" t="s">
        <v>868</v>
      </c>
      <c r="B52" s="773"/>
      <c r="C52" s="773"/>
      <c r="D52" s="16"/>
      <c r="E52" s="16"/>
      <c r="F52" s="16"/>
      <c r="G52" s="17"/>
      <c r="H52" s="37"/>
    </row>
    <row r="53" spans="1:8" ht="15.75" customHeight="1">
      <c r="A53" s="16"/>
      <c r="B53" s="16"/>
      <c r="C53" s="16"/>
      <c r="D53" s="16"/>
      <c r="E53" s="16"/>
      <c r="F53" s="16"/>
      <c r="G53" s="17"/>
      <c r="H53" s="37"/>
    </row>
    <row r="54" spans="1:8" ht="15.75" customHeight="1">
      <c r="A54" s="16"/>
      <c r="B54" s="16"/>
      <c r="C54" s="16"/>
      <c r="D54" s="16"/>
      <c r="E54" s="16"/>
      <c r="F54" s="16"/>
      <c r="G54" s="17"/>
      <c r="H54" s="37"/>
    </row>
    <row r="55" spans="1:8" ht="15.75" customHeight="1">
      <c r="A55" s="16" t="s">
        <v>863</v>
      </c>
      <c r="B55" s="16"/>
      <c r="C55" s="16"/>
      <c r="D55" s="38" t="s">
        <v>762</v>
      </c>
      <c r="E55" s="45"/>
      <c r="F55" s="16"/>
      <c r="G55" s="17"/>
      <c r="H55" s="37"/>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c r="A70" s="46" t="s">
        <v>289</v>
      </c>
    </row>
    <row r="71" ht="15" customHeight="1"/>
    <row r="72" ht="15" customHeight="1"/>
  </sheetData>
  <sheetProtection sheet="1" objects="1" scenarios="1"/>
  <mergeCells count="16">
    <mergeCell ref="A2:H2"/>
    <mergeCell ref="A4:H4"/>
    <mergeCell ref="A39:H40"/>
    <mergeCell ref="A10:H15"/>
    <mergeCell ref="A29:H37"/>
    <mergeCell ref="A17:H18"/>
    <mergeCell ref="A20:H21"/>
    <mergeCell ref="A25:H27"/>
    <mergeCell ref="E47:H47"/>
    <mergeCell ref="A52:C52"/>
    <mergeCell ref="E41:H41"/>
    <mergeCell ref="E42:H42"/>
    <mergeCell ref="E43:H43"/>
    <mergeCell ref="E44:H44"/>
    <mergeCell ref="E45:H45"/>
    <mergeCell ref="E46:H46"/>
  </mergeCells>
  <printOptions/>
  <pageMargins left="0.37" right="0.27" top="0.5" bottom="0.51" header="0.5" footer="0.5"/>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F4" sqref="F4"/>
    </sheetView>
  </sheetViews>
  <sheetFormatPr defaultColWidth="8.796875" defaultRowHeight="15"/>
  <cols>
    <col min="1" max="1" width="13.796875" style="0" customWidth="1"/>
    <col min="2" max="2" width="16.09765625" style="0" customWidth="1"/>
  </cols>
  <sheetData>
    <row r="1" ht="15">
      <c r="J1" s="678" t="s">
        <v>212</v>
      </c>
    </row>
    <row r="2" spans="1:10" ht="54" customHeight="1">
      <c r="A2" s="717" t="s">
        <v>358</v>
      </c>
      <c r="B2" s="718"/>
      <c r="C2" s="718"/>
      <c r="D2" s="718"/>
      <c r="E2" s="718"/>
      <c r="F2" s="718"/>
      <c r="J2" s="678" t="s">
        <v>213</v>
      </c>
    </row>
    <row r="3" spans="1:10" ht="15.75">
      <c r="A3" s="1" t="s">
        <v>209</v>
      </c>
      <c r="B3" s="413" t="s">
        <v>2</v>
      </c>
      <c r="J3" s="678" t="s">
        <v>214</v>
      </c>
    </row>
    <row r="4" spans="1:10" ht="15.75">
      <c r="A4" s="410"/>
      <c r="B4" s="410"/>
      <c r="C4" s="410"/>
      <c r="D4" s="412"/>
      <c r="E4" s="410"/>
      <c r="F4" s="410"/>
      <c r="J4" s="678" t="s">
        <v>215</v>
      </c>
    </row>
    <row r="5" spans="1:10" ht="15.75">
      <c r="A5" s="411" t="s">
        <v>359</v>
      </c>
      <c r="B5" s="413" t="s">
        <v>0</v>
      </c>
      <c r="C5" s="414"/>
      <c r="D5" s="411" t="s">
        <v>211</v>
      </c>
      <c r="E5" s="410"/>
      <c r="F5" s="410"/>
      <c r="J5" s="678" t="s">
        <v>216</v>
      </c>
    </row>
    <row r="6" spans="1:10" ht="15.75">
      <c r="A6" s="411"/>
      <c r="B6" s="415"/>
      <c r="C6" s="416"/>
      <c r="D6" s="677" t="str">
        <f>IF(B5="","",CONCATENATE("Latest date for notice to be published in your newspaper: ",G18," ",G22,", ",G23))</f>
        <v>Latest date for notice to be published in your newspaper: July 27, 2012</v>
      </c>
      <c r="E6" s="410"/>
      <c r="F6" s="410"/>
      <c r="J6" s="678" t="s">
        <v>217</v>
      </c>
    </row>
    <row r="7" spans="1:10" ht="15.75">
      <c r="A7" s="411" t="s">
        <v>360</v>
      </c>
      <c r="B7" s="413" t="s">
        <v>1</v>
      </c>
      <c r="C7" s="417"/>
      <c r="D7" s="411"/>
      <c r="E7" s="410"/>
      <c r="F7" s="410"/>
      <c r="J7" s="678" t="s">
        <v>218</v>
      </c>
    </row>
    <row r="8" spans="1:10" ht="15.75">
      <c r="A8" s="411"/>
      <c r="B8" s="411"/>
      <c r="C8" s="411"/>
      <c r="D8" s="411"/>
      <c r="E8" s="410"/>
      <c r="F8" s="410"/>
      <c r="J8" s="678" t="s">
        <v>219</v>
      </c>
    </row>
    <row r="9" spans="1:10" ht="15.75">
      <c r="A9" s="411" t="s">
        <v>361</v>
      </c>
      <c r="B9" s="418" t="s">
        <v>4</v>
      </c>
      <c r="C9" s="418"/>
      <c r="D9" s="418"/>
      <c r="E9" s="419"/>
      <c r="F9" s="410"/>
      <c r="J9" s="678" t="s">
        <v>220</v>
      </c>
    </row>
    <row r="10" spans="1:10" ht="15.75">
      <c r="A10" s="411"/>
      <c r="B10" s="411"/>
      <c r="C10" s="411"/>
      <c r="D10" s="411"/>
      <c r="E10" s="410"/>
      <c r="F10" s="410"/>
      <c r="J10" s="678" t="s">
        <v>221</v>
      </c>
    </row>
    <row r="11" spans="1:10" ht="15.75">
      <c r="A11" s="411"/>
      <c r="B11" s="411"/>
      <c r="C11" s="411"/>
      <c r="D11" s="411"/>
      <c r="E11" s="410"/>
      <c r="F11" s="410"/>
      <c r="J11" s="678" t="s">
        <v>222</v>
      </c>
    </row>
    <row r="12" spans="1:10" ht="15.75">
      <c r="A12" s="411" t="s">
        <v>362</v>
      </c>
      <c r="B12" s="418" t="s">
        <v>3</v>
      </c>
      <c r="C12" s="418"/>
      <c r="D12" s="418"/>
      <c r="E12" s="419"/>
      <c r="F12" s="410"/>
      <c r="J12" s="678" t="s">
        <v>223</v>
      </c>
    </row>
    <row r="15" spans="1:6" ht="15.75">
      <c r="A15" s="719" t="s">
        <v>363</v>
      </c>
      <c r="B15" s="719"/>
      <c r="C15" s="411"/>
      <c r="D15" s="411"/>
      <c r="E15" s="411"/>
      <c r="F15" s="410"/>
    </row>
    <row r="16" spans="1:6" ht="15.75">
      <c r="A16" s="411"/>
      <c r="B16" s="411"/>
      <c r="C16" s="411"/>
      <c r="D16" s="411"/>
      <c r="E16" s="411"/>
      <c r="F16" s="410"/>
    </row>
    <row r="17" spans="1:5" ht="15.75">
      <c r="A17" s="411" t="s">
        <v>359</v>
      </c>
      <c r="B17" s="415" t="s">
        <v>364</v>
      </c>
      <c r="C17" s="411"/>
      <c r="D17" s="411"/>
      <c r="E17" s="411"/>
    </row>
    <row r="18" spans="1:7" ht="15.75">
      <c r="A18" s="411"/>
      <c r="B18" s="411"/>
      <c r="C18" s="411"/>
      <c r="D18" s="411"/>
      <c r="E18" s="411"/>
      <c r="G18" s="678" t="str">
        <f ca="1">IF(B5="","",INDIRECT(G19))</f>
        <v>July</v>
      </c>
    </row>
    <row r="19" spans="1:7" ht="15.75">
      <c r="A19" s="411" t="s">
        <v>360</v>
      </c>
      <c r="B19" s="411" t="s">
        <v>365</v>
      </c>
      <c r="C19" s="411"/>
      <c r="D19" s="411"/>
      <c r="E19" s="411"/>
      <c r="G19" s="681" t="str">
        <f>IF(B5="","",CONCATENATE("J",G21))</f>
        <v>J7</v>
      </c>
    </row>
    <row r="20" spans="1:7" ht="15.75">
      <c r="A20" s="411"/>
      <c r="B20" s="411"/>
      <c r="C20" s="411"/>
      <c r="D20" s="411"/>
      <c r="E20" s="411"/>
      <c r="G20" s="683">
        <f>B5-10</f>
        <v>41117</v>
      </c>
    </row>
    <row r="21" spans="1:7" ht="15.75">
      <c r="A21" s="411" t="s">
        <v>361</v>
      </c>
      <c r="B21" s="411" t="s">
        <v>366</v>
      </c>
      <c r="C21" s="411"/>
      <c r="D21" s="411"/>
      <c r="E21" s="411"/>
      <c r="G21" s="682">
        <f>IF(B5="","",MONTH(G20))</f>
        <v>7</v>
      </c>
    </row>
    <row r="22" spans="1:7" ht="15.75">
      <c r="A22" s="411"/>
      <c r="B22" s="411"/>
      <c r="C22" s="411"/>
      <c r="D22" s="411"/>
      <c r="E22" s="411"/>
      <c r="G22" s="679">
        <f>IF(B5="","",DAY(G20))</f>
        <v>27</v>
      </c>
    </row>
    <row r="23" spans="1:7" ht="15.75">
      <c r="A23" s="411" t="s">
        <v>362</v>
      </c>
      <c r="B23" s="411" t="s">
        <v>366</v>
      </c>
      <c r="C23" s="411"/>
      <c r="D23" s="411"/>
      <c r="E23" s="411"/>
      <c r="G23" s="680">
        <f>IF(B5="","",YEAR(G20))</f>
        <v>2012</v>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422" t="s">
        <v>371</v>
      </c>
      <c r="B3" s="422"/>
      <c r="C3" s="422"/>
      <c r="D3" s="422"/>
      <c r="E3" s="422"/>
      <c r="F3" s="422"/>
      <c r="G3" s="422"/>
      <c r="H3" s="422"/>
      <c r="I3" s="422"/>
      <c r="J3" s="422"/>
      <c r="K3" s="422"/>
      <c r="L3" s="422"/>
    </row>
    <row r="5" ht="15">
      <c r="A5" s="421" t="s">
        <v>372</v>
      </c>
    </row>
    <row r="6" ht="15">
      <c r="A6" s="421" t="str">
        <f>CONCATENATE(inputPrYr!C5-2," 'total expenditures' exceed your ",inputPrYr!C5-2," 'budget authority.'")</f>
        <v>2011 'total expenditures' exceed your 2011 'budget authority.'</v>
      </c>
    </row>
    <row r="7" ht="15">
      <c r="A7" s="421"/>
    </row>
    <row r="8" ht="15">
      <c r="A8" s="421" t="s">
        <v>373</v>
      </c>
    </row>
    <row r="9" ht="15">
      <c r="A9" s="421" t="s">
        <v>374</v>
      </c>
    </row>
    <row r="10" ht="15">
      <c r="A10" s="421" t="s">
        <v>375</v>
      </c>
    </row>
    <row r="11" ht="15">
      <c r="A11" s="421"/>
    </row>
    <row r="12" ht="15">
      <c r="A12" s="421"/>
    </row>
    <row r="13" ht="15">
      <c r="A13" s="420" t="s">
        <v>376</v>
      </c>
    </row>
    <row r="15" ht="15">
      <c r="A15" s="421" t="s">
        <v>377</v>
      </c>
    </row>
    <row r="16" ht="15">
      <c r="A16" s="421" t="str">
        <f>CONCATENATE("(i.e. an audit has not been completed, or the ",inputPrYr!C5," adopted")</f>
        <v>(i.e. an audit has not been completed, or the 2013 adopted</v>
      </c>
    </row>
    <row r="17" ht="15">
      <c r="A17" s="421" t="s">
        <v>378</v>
      </c>
    </row>
    <row r="18" ht="15">
      <c r="A18" s="421" t="s">
        <v>379</v>
      </c>
    </row>
    <row r="19" ht="15">
      <c r="A19" s="421" t="s">
        <v>380</v>
      </c>
    </row>
    <row r="21" ht="15">
      <c r="A21" s="420" t="s">
        <v>381</v>
      </c>
    </row>
    <row r="22" ht="15">
      <c r="A22" s="420"/>
    </row>
    <row r="23" ht="15">
      <c r="A23" s="421" t="s">
        <v>382</v>
      </c>
    </row>
    <row r="24" ht="15">
      <c r="A24" s="421" t="s">
        <v>383</v>
      </c>
    </row>
    <row r="25" ht="15">
      <c r="A25" s="421" t="str">
        <f>CONCATENATE("particular fund.  If your ",inputPrYr!C5-2," budget was amended, did you")</f>
        <v>particular fund.  If your 2011 budget was amended, did you</v>
      </c>
    </row>
    <row r="26" ht="15">
      <c r="A26" s="421" t="s">
        <v>384</v>
      </c>
    </row>
    <row r="27" ht="15">
      <c r="A27" s="421"/>
    </row>
    <row r="28" ht="15">
      <c r="A28" s="421" t="str">
        <f>CONCATENATE("Next, look to see if any of your ",inputPrYr!C5-2," expenditures can be")</f>
        <v>Next, look to see if any of your 2011 expenditures can be</v>
      </c>
    </row>
    <row r="29" ht="15">
      <c r="A29" s="421" t="s">
        <v>385</v>
      </c>
    </row>
    <row r="30" ht="15">
      <c r="A30" s="421" t="s">
        <v>386</v>
      </c>
    </row>
    <row r="31" ht="15">
      <c r="A31" s="421" t="s">
        <v>387</v>
      </c>
    </row>
    <row r="32" ht="15">
      <c r="A32" s="421"/>
    </row>
    <row r="33" ht="15">
      <c r="A33" s="421" t="str">
        <f>CONCATENATE("Additionally, do your ",inputPrYr!C5-2," receipts contain a reimbursement")</f>
        <v>Additionally, do your 2011 receipts contain a reimbursement</v>
      </c>
    </row>
    <row r="34" ht="15">
      <c r="A34" s="421" t="s">
        <v>388</v>
      </c>
    </row>
    <row r="35" ht="15">
      <c r="A35" s="421" t="s">
        <v>389</v>
      </c>
    </row>
    <row r="36" ht="15">
      <c r="A36" s="421"/>
    </row>
    <row r="37" ht="15">
      <c r="A37" s="421" t="s">
        <v>390</v>
      </c>
    </row>
    <row r="38" ht="15">
      <c r="A38" s="421" t="s">
        <v>628</v>
      </c>
    </row>
    <row r="39" ht="15">
      <c r="A39" s="421" t="s">
        <v>629</v>
      </c>
    </row>
    <row r="40" ht="15">
      <c r="A40" s="421" t="s">
        <v>630</v>
      </c>
    </row>
    <row r="41" ht="15">
      <c r="A41" s="421" t="s">
        <v>632</v>
      </c>
    </row>
    <row r="42" ht="15">
      <c r="A42" s="421" t="s">
        <v>631</v>
      </c>
    </row>
    <row r="43" ht="15">
      <c r="A43" s="421" t="s">
        <v>391</v>
      </c>
    </row>
    <row r="44" ht="15">
      <c r="A44" s="421" t="s">
        <v>392</v>
      </c>
    </row>
    <row r="45" ht="15">
      <c r="A45" s="421"/>
    </row>
    <row r="46" ht="15">
      <c r="A46" s="421" t="s">
        <v>393</v>
      </c>
    </row>
    <row r="47" ht="15">
      <c r="A47" s="421" t="s">
        <v>394</v>
      </c>
    </row>
    <row r="48" ht="15">
      <c r="A48" s="421" t="s">
        <v>395</v>
      </c>
    </row>
    <row r="49" ht="15">
      <c r="A49" s="421"/>
    </row>
    <row r="50" ht="15">
      <c r="A50" s="421" t="s">
        <v>420</v>
      </c>
    </row>
    <row r="51" ht="15">
      <c r="A51" s="421" t="s">
        <v>421</v>
      </c>
    </row>
    <row r="52" ht="15">
      <c r="A52" s="421" t="s">
        <v>422</v>
      </c>
    </row>
    <row r="53" ht="15">
      <c r="A53" s="421"/>
    </row>
    <row r="54" ht="15">
      <c r="A54" s="420" t="s">
        <v>423</v>
      </c>
    </row>
    <row r="55" ht="15">
      <c r="A55" s="421"/>
    </row>
    <row r="56" ht="15">
      <c r="A56" s="421" t="s">
        <v>424</v>
      </c>
    </row>
    <row r="57" ht="15">
      <c r="A57" s="421" t="s">
        <v>425</v>
      </c>
    </row>
    <row r="58" ht="15">
      <c r="A58" s="421" t="s">
        <v>459</v>
      </c>
    </row>
    <row r="59" ht="15">
      <c r="A59" s="421" t="s">
        <v>460</v>
      </c>
    </row>
    <row r="60" ht="15">
      <c r="A60" s="421" t="s">
        <v>461</v>
      </c>
    </row>
    <row r="61" ht="15">
      <c r="A61" s="421" t="s">
        <v>462</v>
      </c>
    </row>
    <row r="62" ht="15">
      <c r="A62" s="421" t="s">
        <v>463</v>
      </c>
    </row>
    <row r="63" ht="15">
      <c r="A63" s="421" t="s">
        <v>464</v>
      </c>
    </row>
    <row r="64" ht="15">
      <c r="A64" s="421" t="s">
        <v>465</v>
      </c>
    </row>
    <row r="65" ht="15">
      <c r="A65" s="421" t="s">
        <v>466</v>
      </c>
    </row>
    <row r="66" ht="15">
      <c r="A66" s="421" t="s">
        <v>467</v>
      </c>
    </row>
    <row r="67" ht="15">
      <c r="A67" s="421" t="s">
        <v>468</v>
      </c>
    </row>
    <row r="68" ht="15">
      <c r="A68" s="421" t="s">
        <v>469</v>
      </c>
    </row>
    <row r="69" ht="15">
      <c r="A69" s="421"/>
    </row>
    <row r="70" ht="15">
      <c r="A70" s="421" t="s">
        <v>470</v>
      </c>
    </row>
    <row r="71" ht="15">
      <c r="A71" s="421" t="s">
        <v>471</v>
      </c>
    </row>
    <row r="72" ht="15">
      <c r="A72" s="421" t="s">
        <v>472</v>
      </c>
    </row>
    <row r="73" ht="15">
      <c r="A73" s="421"/>
    </row>
    <row r="74" ht="15">
      <c r="A74" s="420" t="str">
        <f>CONCATENATE("What if the ",inputPrYr!C5-2," financial records have been closed?")</f>
        <v>What if the 2011 financial records have been closed?</v>
      </c>
    </row>
    <row r="76" ht="15">
      <c r="A76" s="421" t="s">
        <v>473</v>
      </c>
    </row>
    <row r="77" ht="15">
      <c r="A77" s="421" t="str">
        <f>CONCATENATE("(i.e. an audit for ",inputPrYr!C5-2," has been completed, or the ",inputPrYr!C5)</f>
        <v>(i.e. an audit for 2011 has been completed, or the 2013</v>
      </c>
    </row>
    <row r="78" ht="15">
      <c r="A78" s="421" t="s">
        <v>474</v>
      </c>
    </row>
    <row r="79" ht="15">
      <c r="A79" s="421" t="s">
        <v>475</v>
      </c>
    </row>
    <row r="80" ht="15">
      <c r="A80" s="421"/>
    </row>
    <row r="81" ht="15">
      <c r="A81" s="421" t="s">
        <v>476</v>
      </c>
    </row>
    <row r="82" ht="15">
      <c r="A82" s="421" t="s">
        <v>477</v>
      </c>
    </row>
    <row r="83" ht="15">
      <c r="A83" s="421" t="s">
        <v>478</v>
      </c>
    </row>
    <row r="84" ht="15">
      <c r="A84" s="421"/>
    </row>
    <row r="85" ht="15">
      <c r="A85" s="421" t="s">
        <v>479</v>
      </c>
    </row>
  </sheetData>
  <sheetProtection sheet="1"/>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 sqref="A3"/>
    </sheetView>
  </sheetViews>
  <sheetFormatPr defaultColWidth="8.796875" defaultRowHeight="15"/>
  <cols>
    <col min="1" max="1" width="71.296875" style="0" customWidth="1"/>
  </cols>
  <sheetData>
    <row r="3" spans="1:10" ht="15">
      <c r="A3" s="422" t="s">
        <v>480</v>
      </c>
      <c r="B3" s="422"/>
      <c r="C3" s="422"/>
      <c r="D3" s="422"/>
      <c r="E3" s="422"/>
      <c r="F3" s="422"/>
      <c r="G3" s="422"/>
      <c r="H3" s="423"/>
      <c r="I3" s="423"/>
      <c r="J3" s="423"/>
    </row>
    <row r="5" ht="15">
      <c r="A5" s="421" t="s">
        <v>481</v>
      </c>
    </row>
    <row r="6" ht="15">
      <c r="A6" t="str">
        <f>CONCATENATE(inputPrYr!C5-2," expenditures show that you finished the year with a ")</f>
        <v>2011 expenditures show that you finished the year with a </v>
      </c>
    </row>
    <row r="7" ht="15">
      <c r="A7" t="s">
        <v>482</v>
      </c>
    </row>
    <row r="9" ht="15">
      <c r="A9" t="s">
        <v>483</v>
      </c>
    </row>
    <row r="10" ht="15">
      <c r="A10" t="s">
        <v>484</v>
      </c>
    </row>
    <row r="11" ht="15">
      <c r="A11" t="s">
        <v>485</v>
      </c>
    </row>
    <row r="13" ht="15">
      <c r="A13" s="420" t="s">
        <v>486</v>
      </c>
    </row>
    <row r="14" ht="15">
      <c r="A14" s="420"/>
    </row>
    <row r="15" ht="15">
      <c r="A15" s="421" t="s">
        <v>487</v>
      </c>
    </row>
    <row r="16" ht="15">
      <c r="A16" s="421" t="s">
        <v>488</v>
      </c>
    </row>
    <row r="17" ht="15">
      <c r="A17" s="421" t="s">
        <v>489</v>
      </c>
    </row>
    <row r="18" ht="15">
      <c r="A18" s="421"/>
    </row>
    <row r="19" ht="15">
      <c r="A19" s="420" t="s">
        <v>490</v>
      </c>
    </row>
    <row r="20" ht="15">
      <c r="A20" s="420"/>
    </row>
    <row r="21" ht="15">
      <c r="A21" s="421" t="s">
        <v>491</v>
      </c>
    </row>
    <row r="22" ht="15">
      <c r="A22" s="421" t="s">
        <v>492</v>
      </c>
    </row>
    <row r="23" ht="15">
      <c r="A23" s="421" t="s">
        <v>493</v>
      </c>
    </row>
    <row r="24" ht="15">
      <c r="A24" s="421"/>
    </row>
    <row r="25" ht="15">
      <c r="A25" s="420" t="s">
        <v>494</v>
      </c>
    </row>
    <row r="26" ht="15">
      <c r="A26" s="420"/>
    </row>
    <row r="27" ht="15">
      <c r="A27" s="421" t="s">
        <v>495</v>
      </c>
    </row>
    <row r="28" ht="15">
      <c r="A28" s="421" t="s">
        <v>496</v>
      </c>
    </row>
    <row r="29" ht="15">
      <c r="A29" s="421" t="s">
        <v>497</v>
      </c>
    </row>
    <row r="30" ht="15">
      <c r="A30" s="421"/>
    </row>
    <row r="31" ht="15">
      <c r="A31" s="420" t="s">
        <v>498</v>
      </c>
    </row>
    <row r="32" ht="15">
      <c r="A32" s="420"/>
    </row>
    <row r="33" spans="1:8" ht="15">
      <c r="A33" s="421" t="str">
        <f>CONCATENATE("If your financial records for ",inputPrYr!C5-2," are not closed")</f>
        <v>If your financial records for 2011 are not closed</v>
      </c>
      <c r="B33" s="421"/>
      <c r="C33" s="421"/>
      <c r="D33" s="421"/>
      <c r="E33" s="421"/>
      <c r="F33" s="421"/>
      <c r="G33" s="421"/>
      <c r="H33" s="421"/>
    </row>
    <row r="34" spans="1:8" ht="15">
      <c r="A34" s="421" t="str">
        <f>CONCATENATE("(i.e. an audit has not been completed, or the ",inputPrYr!C5," adopted ")</f>
        <v>(i.e. an audit has not been completed, or the 2013 adopted </v>
      </c>
      <c r="B34" s="421"/>
      <c r="C34" s="421"/>
      <c r="D34" s="421"/>
      <c r="E34" s="421"/>
      <c r="F34" s="421"/>
      <c r="G34" s="421"/>
      <c r="H34" s="421"/>
    </row>
    <row r="35" spans="1:8" ht="15">
      <c r="A35" s="421" t="s">
        <v>499</v>
      </c>
      <c r="B35" s="421"/>
      <c r="C35" s="421"/>
      <c r="D35" s="421"/>
      <c r="E35" s="421"/>
      <c r="F35" s="421"/>
      <c r="G35" s="421"/>
      <c r="H35" s="421"/>
    </row>
    <row r="36" spans="1:8" ht="15">
      <c r="A36" s="421" t="s">
        <v>500</v>
      </c>
      <c r="B36" s="421"/>
      <c r="C36" s="421"/>
      <c r="D36" s="421"/>
      <c r="E36" s="421"/>
      <c r="F36" s="421"/>
      <c r="G36" s="421"/>
      <c r="H36" s="421"/>
    </row>
    <row r="37" spans="1:8" ht="15">
      <c r="A37" s="421" t="s">
        <v>501</v>
      </c>
      <c r="B37" s="421"/>
      <c r="C37" s="421"/>
      <c r="D37" s="421"/>
      <c r="E37" s="421"/>
      <c r="F37" s="421"/>
      <c r="G37" s="421"/>
      <c r="H37" s="421"/>
    </row>
    <row r="38" spans="1:8" ht="15">
      <c r="A38" s="421" t="s">
        <v>502</v>
      </c>
      <c r="B38" s="421"/>
      <c r="C38" s="421"/>
      <c r="D38" s="421"/>
      <c r="E38" s="421"/>
      <c r="F38" s="421"/>
      <c r="G38" s="421"/>
      <c r="H38" s="421"/>
    </row>
    <row r="39" spans="1:8" ht="15">
      <c r="A39" s="421" t="s">
        <v>503</v>
      </c>
      <c r="B39" s="421"/>
      <c r="C39" s="421"/>
      <c r="D39" s="421"/>
      <c r="E39" s="421"/>
      <c r="F39" s="421"/>
      <c r="G39" s="421"/>
      <c r="H39" s="421"/>
    </row>
    <row r="40" spans="1:8" ht="15">
      <c r="A40" s="421"/>
      <c r="B40" s="421"/>
      <c r="C40" s="421"/>
      <c r="D40" s="421"/>
      <c r="E40" s="421"/>
      <c r="F40" s="421"/>
      <c r="G40" s="421"/>
      <c r="H40" s="421"/>
    </row>
    <row r="41" spans="1:8" ht="15">
      <c r="A41" s="421" t="s">
        <v>504</v>
      </c>
      <c r="B41" s="421"/>
      <c r="C41" s="421"/>
      <c r="D41" s="421"/>
      <c r="E41" s="421"/>
      <c r="F41" s="421"/>
      <c r="G41" s="421"/>
      <c r="H41" s="421"/>
    </row>
    <row r="42" spans="1:8" ht="15">
      <c r="A42" s="421" t="s">
        <v>505</v>
      </c>
      <c r="B42" s="421"/>
      <c r="C42" s="421"/>
      <c r="D42" s="421"/>
      <c r="E42" s="421"/>
      <c r="F42" s="421"/>
      <c r="G42" s="421"/>
      <c r="H42" s="421"/>
    </row>
    <row r="43" spans="1:8" ht="15">
      <c r="A43" s="421" t="s">
        <v>506</v>
      </c>
      <c r="B43" s="421"/>
      <c r="C43" s="421"/>
      <c r="D43" s="421"/>
      <c r="E43" s="421"/>
      <c r="F43" s="421"/>
      <c r="G43" s="421"/>
      <c r="H43" s="421"/>
    </row>
    <row r="44" spans="1:8" ht="15">
      <c r="A44" s="421" t="s">
        <v>507</v>
      </c>
      <c r="B44" s="421"/>
      <c r="C44" s="421"/>
      <c r="D44" s="421"/>
      <c r="E44" s="421"/>
      <c r="F44" s="421"/>
      <c r="G44" s="421"/>
      <c r="H44" s="421"/>
    </row>
    <row r="45" spans="1:8" ht="15">
      <c r="A45" s="421"/>
      <c r="B45" s="421"/>
      <c r="C45" s="421"/>
      <c r="D45" s="421"/>
      <c r="E45" s="421"/>
      <c r="F45" s="421"/>
      <c r="G45" s="421"/>
      <c r="H45" s="421"/>
    </row>
    <row r="46" spans="1:8" ht="15">
      <c r="A46" s="421" t="s">
        <v>508</v>
      </c>
      <c r="B46" s="421"/>
      <c r="C46" s="421"/>
      <c r="D46" s="421"/>
      <c r="E46" s="421"/>
      <c r="F46" s="421"/>
      <c r="G46" s="421"/>
      <c r="H46" s="421"/>
    </row>
    <row r="47" spans="1:8" ht="15">
      <c r="A47" s="421" t="s">
        <v>509</v>
      </c>
      <c r="B47" s="421"/>
      <c r="C47" s="421"/>
      <c r="D47" s="421"/>
      <c r="E47" s="421"/>
      <c r="F47" s="421"/>
      <c r="G47" s="421"/>
      <c r="H47" s="421"/>
    </row>
    <row r="48" spans="1:8" ht="15">
      <c r="A48" s="421" t="s">
        <v>510</v>
      </c>
      <c r="B48" s="421"/>
      <c r="C48" s="421"/>
      <c r="D48" s="421"/>
      <c r="E48" s="421"/>
      <c r="F48" s="421"/>
      <c r="G48" s="421"/>
      <c r="H48" s="421"/>
    </row>
    <row r="49" spans="1:8" ht="15">
      <c r="A49" s="421" t="s">
        <v>511</v>
      </c>
      <c r="B49" s="421"/>
      <c r="C49" s="421"/>
      <c r="D49" s="421"/>
      <c r="E49" s="421"/>
      <c r="F49" s="421"/>
      <c r="G49" s="421"/>
      <c r="H49" s="421"/>
    </row>
    <row r="50" spans="1:8" ht="15">
      <c r="A50" s="421" t="s">
        <v>512</v>
      </c>
      <c r="B50" s="421"/>
      <c r="C50" s="421"/>
      <c r="D50" s="421"/>
      <c r="E50" s="421"/>
      <c r="F50" s="421"/>
      <c r="G50" s="421"/>
      <c r="H50" s="421"/>
    </row>
    <row r="51" spans="1:8" ht="15">
      <c r="A51" s="421"/>
      <c r="B51" s="421"/>
      <c r="C51" s="421"/>
      <c r="D51" s="421"/>
      <c r="E51" s="421"/>
      <c r="F51" s="421"/>
      <c r="G51" s="421"/>
      <c r="H51" s="421"/>
    </row>
    <row r="52" spans="1:8" ht="15">
      <c r="A52" s="420" t="s">
        <v>513</v>
      </c>
      <c r="B52" s="420"/>
      <c r="C52" s="420"/>
      <c r="D52" s="420"/>
      <c r="E52" s="420"/>
      <c r="F52" s="420"/>
      <c r="G52" s="420"/>
      <c r="H52" s="421"/>
    </row>
    <row r="53" spans="1:8" ht="15">
      <c r="A53" s="420" t="s">
        <v>514</v>
      </c>
      <c r="B53" s="420"/>
      <c r="C53" s="420"/>
      <c r="D53" s="420"/>
      <c r="E53" s="420"/>
      <c r="F53" s="420"/>
      <c r="G53" s="420"/>
      <c r="H53" s="421"/>
    </row>
    <row r="54" spans="1:8" ht="15">
      <c r="A54" s="421"/>
      <c r="B54" s="421"/>
      <c r="C54" s="421"/>
      <c r="D54" s="421"/>
      <c r="E54" s="421"/>
      <c r="F54" s="421"/>
      <c r="G54" s="421"/>
      <c r="H54" s="421"/>
    </row>
    <row r="55" spans="1:8" ht="15">
      <c r="A55" s="421" t="s">
        <v>515</v>
      </c>
      <c r="B55" s="421"/>
      <c r="C55" s="421"/>
      <c r="D55" s="421"/>
      <c r="E55" s="421"/>
      <c r="F55" s="421"/>
      <c r="G55" s="421"/>
      <c r="H55" s="421"/>
    </row>
    <row r="56" spans="1:8" ht="15">
      <c r="A56" s="421" t="s">
        <v>516</v>
      </c>
      <c r="B56" s="421"/>
      <c r="C56" s="421"/>
      <c r="D56" s="421"/>
      <c r="E56" s="421"/>
      <c r="F56" s="421"/>
      <c r="G56" s="421"/>
      <c r="H56" s="421"/>
    </row>
    <row r="57" spans="1:8" ht="15">
      <c r="A57" s="421" t="s">
        <v>517</v>
      </c>
      <c r="B57" s="421"/>
      <c r="C57" s="421"/>
      <c r="D57" s="421"/>
      <c r="E57" s="421"/>
      <c r="F57" s="421"/>
      <c r="G57" s="421"/>
      <c r="H57" s="421"/>
    </row>
    <row r="58" spans="1:8" ht="15">
      <c r="A58" s="421" t="s">
        <v>518</v>
      </c>
      <c r="B58" s="421"/>
      <c r="C58" s="421"/>
      <c r="D58" s="421"/>
      <c r="E58" s="421"/>
      <c r="F58" s="421"/>
      <c r="G58" s="421"/>
      <c r="H58" s="421"/>
    </row>
    <row r="59" spans="1:8" ht="15">
      <c r="A59" s="421"/>
      <c r="B59" s="421"/>
      <c r="C59" s="421"/>
      <c r="D59" s="421"/>
      <c r="E59" s="421"/>
      <c r="F59" s="421"/>
      <c r="G59" s="421"/>
      <c r="H59" s="421"/>
    </row>
    <row r="60" spans="1:8" ht="15">
      <c r="A60" s="421" t="s">
        <v>519</v>
      </c>
      <c r="B60" s="421"/>
      <c r="C60" s="421"/>
      <c r="D60" s="421"/>
      <c r="E60" s="421"/>
      <c r="F60" s="421"/>
      <c r="G60" s="421"/>
      <c r="H60" s="421"/>
    </row>
    <row r="61" spans="1:8" ht="15">
      <c r="A61" s="421" t="s">
        <v>520</v>
      </c>
      <c r="B61" s="421"/>
      <c r="C61" s="421"/>
      <c r="D61" s="421"/>
      <c r="E61" s="421"/>
      <c r="F61" s="421"/>
      <c r="G61" s="421"/>
      <c r="H61" s="421"/>
    </row>
    <row r="62" spans="1:8" ht="15">
      <c r="A62" s="421" t="s">
        <v>521</v>
      </c>
      <c r="B62" s="421"/>
      <c r="C62" s="421"/>
      <c r="D62" s="421"/>
      <c r="E62" s="421"/>
      <c r="F62" s="421"/>
      <c r="G62" s="421"/>
      <c r="H62" s="421"/>
    </row>
    <row r="63" spans="1:8" ht="15">
      <c r="A63" s="421" t="s">
        <v>522</v>
      </c>
      <c r="B63" s="421"/>
      <c r="C63" s="421"/>
      <c r="D63" s="421"/>
      <c r="E63" s="421"/>
      <c r="F63" s="421"/>
      <c r="G63" s="421"/>
      <c r="H63" s="421"/>
    </row>
    <row r="64" spans="1:8" ht="15">
      <c r="A64" s="421" t="s">
        <v>523</v>
      </c>
      <c r="B64" s="421"/>
      <c r="C64" s="421"/>
      <c r="D64" s="421"/>
      <c r="E64" s="421"/>
      <c r="F64" s="421"/>
      <c r="G64" s="421"/>
      <c r="H64" s="421"/>
    </row>
    <row r="65" spans="1:8" ht="15">
      <c r="A65" s="421" t="s">
        <v>524</v>
      </c>
      <c r="B65" s="421"/>
      <c r="C65" s="421"/>
      <c r="D65" s="421"/>
      <c r="E65" s="421"/>
      <c r="F65" s="421"/>
      <c r="G65" s="421"/>
      <c r="H65" s="421"/>
    </row>
    <row r="66" spans="1:8" ht="15">
      <c r="A66" s="421"/>
      <c r="B66" s="421"/>
      <c r="C66" s="421"/>
      <c r="D66" s="421"/>
      <c r="E66" s="421"/>
      <c r="F66" s="421"/>
      <c r="G66" s="421"/>
      <c r="H66" s="421"/>
    </row>
    <row r="67" spans="1:8" ht="15">
      <c r="A67" s="421" t="s">
        <v>525</v>
      </c>
      <c r="B67" s="421"/>
      <c r="C67" s="421"/>
      <c r="D67" s="421"/>
      <c r="E67" s="421"/>
      <c r="F67" s="421"/>
      <c r="G67" s="421"/>
      <c r="H67" s="421"/>
    </row>
    <row r="68" spans="1:8" ht="15">
      <c r="A68" s="421" t="s">
        <v>526</v>
      </c>
      <c r="B68" s="421"/>
      <c r="C68" s="421"/>
      <c r="D68" s="421"/>
      <c r="E68" s="421"/>
      <c r="F68" s="421"/>
      <c r="G68" s="421"/>
      <c r="H68" s="421"/>
    </row>
    <row r="69" spans="1:8" ht="15">
      <c r="A69" s="421" t="s">
        <v>527</v>
      </c>
      <c r="B69" s="421"/>
      <c r="C69" s="421"/>
      <c r="D69" s="421"/>
      <c r="E69" s="421"/>
      <c r="F69" s="421"/>
      <c r="G69" s="421"/>
      <c r="H69" s="421"/>
    </row>
    <row r="70" spans="1:8" ht="15">
      <c r="A70" s="421" t="s">
        <v>528</v>
      </c>
      <c r="B70" s="421"/>
      <c r="C70" s="421"/>
      <c r="D70" s="421"/>
      <c r="E70" s="421"/>
      <c r="F70" s="421"/>
      <c r="G70" s="421"/>
      <c r="H70" s="421"/>
    </row>
    <row r="71" spans="1:8" ht="15">
      <c r="A71" s="421" t="s">
        <v>529</v>
      </c>
      <c r="B71" s="421"/>
      <c r="C71" s="421"/>
      <c r="D71" s="421"/>
      <c r="E71" s="421"/>
      <c r="F71" s="421"/>
      <c r="G71" s="421"/>
      <c r="H71" s="421"/>
    </row>
    <row r="72" spans="1:8" ht="15">
      <c r="A72" s="421" t="s">
        <v>530</v>
      </c>
      <c r="B72" s="421"/>
      <c r="C72" s="421"/>
      <c r="D72" s="421"/>
      <c r="E72" s="421"/>
      <c r="F72" s="421"/>
      <c r="G72" s="421"/>
      <c r="H72" s="421"/>
    </row>
    <row r="73" spans="1:8" ht="15">
      <c r="A73" s="421" t="s">
        <v>531</v>
      </c>
      <c r="B73" s="421"/>
      <c r="C73" s="421"/>
      <c r="D73" s="421"/>
      <c r="E73" s="421"/>
      <c r="F73" s="421"/>
      <c r="G73" s="421"/>
      <c r="H73" s="421"/>
    </row>
    <row r="74" spans="1:8" ht="15">
      <c r="A74" s="421"/>
      <c r="B74" s="421"/>
      <c r="C74" s="421"/>
      <c r="D74" s="421"/>
      <c r="E74" s="421"/>
      <c r="F74" s="421"/>
      <c r="G74" s="421"/>
      <c r="H74" s="421"/>
    </row>
    <row r="75" spans="1:8" ht="15">
      <c r="A75" s="421" t="s">
        <v>532</v>
      </c>
      <c r="B75" s="421"/>
      <c r="C75" s="421"/>
      <c r="D75" s="421"/>
      <c r="E75" s="421"/>
      <c r="F75" s="421"/>
      <c r="G75" s="421"/>
      <c r="H75" s="421"/>
    </row>
    <row r="76" spans="1:8" ht="15">
      <c r="A76" s="421" t="s">
        <v>533</v>
      </c>
      <c r="B76" s="421"/>
      <c r="C76" s="421"/>
      <c r="D76" s="421"/>
      <c r="E76" s="421"/>
      <c r="F76" s="421"/>
      <c r="G76" s="421"/>
      <c r="H76" s="421"/>
    </row>
    <row r="77" spans="1:8" ht="15">
      <c r="A77" s="421" t="s">
        <v>534</v>
      </c>
      <c r="B77" s="421"/>
      <c r="C77" s="421"/>
      <c r="D77" s="421"/>
      <c r="E77" s="421"/>
      <c r="F77" s="421"/>
      <c r="G77" s="421"/>
      <c r="H77" s="421"/>
    </row>
    <row r="78" spans="1:8" ht="15">
      <c r="A78" s="421"/>
      <c r="B78" s="421"/>
      <c r="C78" s="421"/>
      <c r="D78" s="421"/>
      <c r="E78" s="421"/>
      <c r="F78" s="421"/>
      <c r="G78" s="421"/>
      <c r="H78" s="421"/>
    </row>
    <row r="79" ht="15">
      <c r="A79" s="421" t="s">
        <v>479</v>
      </c>
    </row>
    <row r="80" ht="15">
      <c r="A80" s="420"/>
    </row>
    <row r="81" ht="15">
      <c r="A81" s="421"/>
    </row>
    <row r="82" ht="15">
      <c r="A82" s="421"/>
    </row>
    <row r="83" ht="15">
      <c r="A83" s="421"/>
    </row>
    <row r="84" ht="15">
      <c r="A84" s="421"/>
    </row>
    <row r="85" ht="15">
      <c r="A85" s="421"/>
    </row>
    <row r="86" ht="15">
      <c r="A86" s="421"/>
    </row>
    <row r="87" ht="15">
      <c r="A87" s="421"/>
    </row>
    <row r="88" ht="15">
      <c r="A88" s="421"/>
    </row>
    <row r="89" ht="15">
      <c r="A89" s="421"/>
    </row>
    <row r="90" ht="15">
      <c r="A90" s="421"/>
    </row>
    <row r="91" ht="15">
      <c r="A91" s="421"/>
    </row>
    <row r="92" ht="15">
      <c r="A92" s="421"/>
    </row>
    <row r="93" ht="15">
      <c r="A93" s="421"/>
    </row>
    <row r="94" ht="15">
      <c r="A94" s="421"/>
    </row>
    <row r="95" ht="15">
      <c r="A95" s="421"/>
    </row>
    <row r="96" ht="15">
      <c r="A96" s="421"/>
    </row>
    <row r="97" ht="15">
      <c r="A97" s="421"/>
    </row>
    <row r="98" ht="15">
      <c r="A98" s="421"/>
    </row>
    <row r="99" ht="15">
      <c r="A99" s="421"/>
    </row>
    <row r="100" ht="15">
      <c r="A100" s="421"/>
    </row>
    <row r="101" ht="15">
      <c r="A101" s="421"/>
    </row>
    <row r="103" ht="15">
      <c r="A103" s="421"/>
    </row>
    <row r="104" ht="15">
      <c r="A104" s="421"/>
    </row>
    <row r="105" ht="15">
      <c r="A105" s="421"/>
    </row>
    <row r="107" ht="15">
      <c r="A107" s="420"/>
    </row>
    <row r="108" ht="15">
      <c r="A108" s="420"/>
    </row>
    <row r="109" ht="15">
      <c r="A109" s="420"/>
    </row>
  </sheetData>
  <sheetProtection sheet="1"/>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422" t="s">
        <v>535</v>
      </c>
      <c r="B3" s="422"/>
      <c r="C3" s="422"/>
      <c r="D3" s="422"/>
      <c r="E3" s="422"/>
      <c r="F3" s="422"/>
      <c r="G3" s="422"/>
      <c r="H3" s="422"/>
      <c r="I3" s="422"/>
      <c r="J3" s="422"/>
      <c r="K3" s="422"/>
      <c r="L3" s="422"/>
    </row>
    <row r="4" spans="1:12" ht="15">
      <c r="A4" s="422"/>
      <c r="B4" s="422"/>
      <c r="C4" s="422"/>
      <c r="D4" s="422"/>
      <c r="E4" s="422"/>
      <c r="F4" s="422"/>
      <c r="G4" s="422"/>
      <c r="H4" s="422"/>
      <c r="I4" s="422"/>
      <c r="J4" s="422"/>
      <c r="K4" s="422"/>
      <c r="L4" s="422"/>
    </row>
    <row r="5" spans="1:12" ht="15">
      <c r="A5" s="421" t="s">
        <v>372</v>
      </c>
      <c r="I5" s="422"/>
      <c r="J5" s="422"/>
      <c r="K5" s="422"/>
      <c r="L5" s="422"/>
    </row>
    <row r="6" spans="1:12" ht="15">
      <c r="A6" s="421" t="str">
        <f>CONCATENATE("estimated ",inputPrYr!C5-1," 'total expenditures' exceed your ",inputPrYr!C5-1,"")</f>
        <v>estimated 2012 'total expenditures' exceed your 2012</v>
      </c>
      <c r="I6" s="422"/>
      <c r="J6" s="422"/>
      <c r="K6" s="422"/>
      <c r="L6" s="422"/>
    </row>
    <row r="7" spans="1:12" ht="15">
      <c r="A7" s="424" t="s">
        <v>536</v>
      </c>
      <c r="I7" s="422"/>
      <c r="J7" s="422"/>
      <c r="K7" s="422"/>
      <c r="L7" s="422"/>
    </row>
    <row r="8" spans="1:12" ht="15">
      <c r="A8" s="421"/>
      <c r="I8" s="422"/>
      <c r="J8" s="422"/>
      <c r="K8" s="422"/>
      <c r="L8" s="422"/>
    </row>
    <row r="9" spans="1:12" ht="15">
      <c r="A9" s="421" t="s">
        <v>537</v>
      </c>
      <c r="I9" s="422"/>
      <c r="J9" s="422"/>
      <c r="K9" s="422"/>
      <c r="L9" s="422"/>
    </row>
    <row r="10" spans="1:12" ht="15">
      <c r="A10" s="421" t="s">
        <v>538</v>
      </c>
      <c r="I10" s="422"/>
      <c r="J10" s="422"/>
      <c r="K10" s="422"/>
      <c r="L10" s="422"/>
    </row>
    <row r="11" spans="1:12" ht="15">
      <c r="A11" s="421" t="s">
        <v>539</v>
      </c>
      <c r="I11" s="422"/>
      <c r="J11" s="422"/>
      <c r="K11" s="422"/>
      <c r="L11" s="422"/>
    </row>
    <row r="12" spans="1:12" ht="15">
      <c r="A12" s="421" t="s">
        <v>540</v>
      </c>
      <c r="I12" s="422"/>
      <c r="J12" s="422"/>
      <c r="K12" s="422"/>
      <c r="L12" s="422"/>
    </row>
    <row r="13" spans="1:12" ht="15">
      <c r="A13" s="421" t="s">
        <v>541</v>
      </c>
      <c r="I13" s="422"/>
      <c r="J13" s="422"/>
      <c r="K13" s="422"/>
      <c r="L13" s="422"/>
    </row>
    <row r="14" spans="1:12" ht="15">
      <c r="A14" s="422"/>
      <c r="B14" s="422"/>
      <c r="C14" s="422"/>
      <c r="D14" s="422"/>
      <c r="E14" s="422"/>
      <c r="F14" s="422"/>
      <c r="G14" s="422"/>
      <c r="H14" s="422"/>
      <c r="I14" s="422"/>
      <c r="J14" s="422"/>
      <c r="K14" s="422"/>
      <c r="L14" s="422"/>
    </row>
    <row r="15" ht="15">
      <c r="A15" s="420" t="s">
        <v>542</v>
      </c>
    </row>
    <row r="16" ht="15">
      <c r="A16" s="420" t="s">
        <v>543</v>
      </c>
    </row>
    <row r="17" ht="15">
      <c r="A17" s="420"/>
    </row>
    <row r="18" spans="1:7" ht="15">
      <c r="A18" s="421" t="s">
        <v>544</v>
      </c>
      <c r="B18" s="421"/>
      <c r="C18" s="421"/>
      <c r="D18" s="421"/>
      <c r="E18" s="421"/>
      <c r="F18" s="421"/>
      <c r="G18" s="421"/>
    </row>
    <row r="19" spans="1:7" ht="15">
      <c r="A19" s="421" t="str">
        <f>CONCATENATE("your ",inputPrYr!C5-1," numbers to see what steps might be necessary to")</f>
        <v>your 2012 numbers to see what steps might be necessary to</v>
      </c>
      <c r="B19" s="421"/>
      <c r="C19" s="421"/>
      <c r="D19" s="421"/>
      <c r="E19" s="421"/>
      <c r="F19" s="421"/>
      <c r="G19" s="421"/>
    </row>
    <row r="20" spans="1:7" ht="15">
      <c r="A20" s="421" t="s">
        <v>545</v>
      </c>
      <c r="B20" s="421"/>
      <c r="C20" s="421"/>
      <c r="D20" s="421"/>
      <c r="E20" s="421"/>
      <c r="F20" s="421"/>
      <c r="G20" s="421"/>
    </row>
    <row r="21" spans="1:7" ht="15">
      <c r="A21" s="421" t="s">
        <v>546</v>
      </c>
      <c r="B21" s="421"/>
      <c r="C21" s="421"/>
      <c r="D21" s="421"/>
      <c r="E21" s="421"/>
      <c r="F21" s="421"/>
      <c r="G21" s="421"/>
    </row>
    <row r="22" ht="15">
      <c r="A22" s="421"/>
    </row>
    <row r="23" ht="15">
      <c r="A23" s="420" t="s">
        <v>547</v>
      </c>
    </row>
    <row r="24" ht="15">
      <c r="A24" s="420"/>
    </row>
    <row r="25" ht="15">
      <c r="A25" s="421" t="s">
        <v>548</v>
      </c>
    </row>
    <row r="26" spans="1:6" ht="15">
      <c r="A26" s="421" t="s">
        <v>549</v>
      </c>
      <c r="B26" s="421"/>
      <c r="C26" s="421"/>
      <c r="D26" s="421"/>
      <c r="E26" s="421"/>
      <c r="F26" s="421"/>
    </row>
    <row r="27" spans="1:6" ht="15">
      <c r="A27" s="421" t="s">
        <v>550</v>
      </c>
      <c r="B27" s="421"/>
      <c r="C27" s="421"/>
      <c r="D27" s="421"/>
      <c r="E27" s="421"/>
      <c r="F27" s="421"/>
    </row>
    <row r="28" spans="1:6" ht="15">
      <c r="A28" s="421" t="s">
        <v>551</v>
      </c>
      <c r="B28" s="421"/>
      <c r="C28" s="421"/>
      <c r="D28" s="421"/>
      <c r="E28" s="421"/>
      <c r="F28" s="421"/>
    </row>
    <row r="29" spans="1:6" ht="15">
      <c r="A29" s="421"/>
      <c r="B29" s="421"/>
      <c r="C29" s="421"/>
      <c r="D29" s="421"/>
      <c r="E29" s="421"/>
      <c r="F29" s="421"/>
    </row>
    <row r="30" spans="1:7" ht="15">
      <c r="A30" s="420" t="s">
        <v>552</v>
      </c>
      <c r="B30" s="420"/>
      <c r="C30" s="420"/>
      <c r="D30" s="420"/>
      <c r="E30" s="420"/>
      <c r="F30" s="420"/>
      <c r="G30" s="420"/>
    </row>
    <row r="31" spans="1:7" ht="15">
      <c r="A31" s="420" t="s">
        <v>553</v>
      </c>
      <c r="B31" s="420"/>
      <c r="C31" s="420"/>
      <c r="D31" s="420"/>
      <c r="E31" s="420"/>
      <c r="F31" s="420"/>
      <c r="G31" s="420"/>
    </row>
    <row r="32" spans="1:6" ht="15">
      <c r="A32" s="421"/>
      <c r="B32" s="421"/>
      <c r="C32" s="421"/>
      <c r="D32" s="421"/>
      <c r="E32" s="421"/>
      <c r="F32" s="421"/>
    </row>
    <row r="33" spans="1:6" ht="15">
      <c r="A33" s="428" t="str">
        <f>CONCATENATE("Well, let's look to see if any of your ",inputPrYr!C5-1," expenditures can")</f>
        <v>Well, let's look to see if any of your 2012 expenditures can</v>
      </c>
      <c r="B33" s="421"/>
      <c r="C33" s="421"/>
      <c r="D33" s="421"/>
      <c r="E33" s="421"/>
      <c r="F33" s="421"/>
    </row>
    <row r="34" spans="1:6" ht="15">
      <c r="A34" s="428" t="s">
        <v>554</v>
      </c>
      <c r="B34" s="421"/>
      <c r="C34" s="421"/>
      <c r="D34" s="421"/>
      <c r="E34" s="421"/>
      <c r="F34" s="421"/>
    </row>
    <row r="35" spans="1:6" ht="15">
      <c r="A35" s="428" t="s">
        <v>386</v>
      </c>
      <c r="B35" s="421"/>
      <c r="C35" s="421"/>
      <c r="D35" s="421"/>
      <c r="E35" s="421"/>
      <c r="F35" s="421"/>
    </row>
    <row r="36" spans="1:6" ht="15">
      <c r="A36" s="428" t="s">
        <v>387</v>
      </c>
      <c r="B36" s="421"/>
      <c r="C36" s="421"/>
      <c r="D36" s="421"/>
      <c r="E36" s="421"/>
      <c r="F36" s="421"/>
    </row>
    <row r="37" spans="1:6" ht="15">
      <c r="A37" s="428"/>
      <c r="B37" s="421"/>
      <c r="C37" s="421"/>
      <c r="D37" s="421"/>
      <c r="E37" s="421"/>
      <c r="F37" s="421"/>
    </row>
    <row r="38" spans="1:6" ht="15">
      <c r="A38" s="428" t="str">
        <f>CONCATENATE("Additionally, do your ",inputPrYr!C5-1," receipts contain a reimbursement")</f>
        <v>Additionally, do your 2012 receipts contain a reimbursement</v>
      </c>
      <c r="B38" s="421"/>
      <c r="C38" s="421"/>
      <c r="D38" s="421"/>
      <c r="E38" s="421"/>
      <c r="F38" s="421"/>
    </row>
    <row r="39" spans="1:6" ht="15">
      <c r="A39" s="428" t="s">
        <v>388</v>
      </c>
      <c r="B39" s="421"/>
      <c r="C39" s="421"/>
      <c r="D39" s="421"/>
      <c r="E39" s="421"/>
      <c r="F39" s="421"/>
    </row>
    <row r="40" spans="1:6" ht="15">
      <c r="A40" s="428" t="s">
        <v>389</v>
      </c>
      <c r="B40" s="421"/>
      <c r="C40" s="421"/>
      <c r="D40" s="421"/>
      <c r="E40" s="421"/>
      <c r="F40" s="421"/>
    </row>
    <row r="41" spans="1:6" ht="15">
      <c r="A41" s="428"/>
      <c r="B41" s="421"/>
      <c r="C41" s="421"/>
      <c r="D41" s="421"/>
      <c r="E41" s="421"/>
      <c r="F41" s="421"/>
    </row>
    <row r="42" spans="1:6" ht="15">
      <c r="A42" s="428" t="s">
        <v>390</v>
      </c>
      <c r="B42" s="421"/>
      <c r="C42" s="421"/>
      <c r="D42" s="421"/>
      <c r="E42" s="421"/>
      <c r="F42" s="421"/>
    </row>
    <row r="43" spans="1:6" ht="15">
      <c r="A43" s="428" t="s">
        <v>628</v>
      </c>
      <c r="B43" s="421"/>
      <c r="C43" s="421"/>
      <c r="D43" s="421"/>
      <c r="E43" s="421"/>
      <c r="F43" s="421"/>
    </row>
    <row r="44" spans="1:6" ht="15">
      <c r="A44" s="428" t="s">
        <v>629</v>
      </c>
      <c r="B44" s="421"/>
      <c r="C44" s="421"/>
      <c r="D44" s="421"/>
      <c r="E44" s="421"/>
      <c r="F44" s="421"/>
    </row>
    <row r="45" spans="1:6" ht="15">
      <c r="A45" s="428" t="s">
        <v>634</v>
      </c>
      <c r="B45" s="421"/>
      <c r="C45" s="421"/>
      <c r="D45" s="421"/>
      <c r="E45" s="421"/>
      <c r="F45" s="421"/>
    </row>
    <row r="46" spans="1:6" ht="15">
      <c r="A46" s="428" t="s">
        <v>632</v>
      </c>
      <c r="B46" s="421"/>
      <c r="C46" s="421"/>
      <c r="D46" s="421"/>
      <c r="E46" s="421"/>
      <c r="F46" s="421"/>
    </row>
    <row r="47" spans="1:6" ht="15">
      <c r="A47" s="428" t="s">
        <v>633</v>
      </c>
      <c r="B47" s="421"/>
      <c r="C47" s="421"/>
      <c r="D47" s="421"/>
      <c r="E47" s="421"/>
      <c r="F47" s="421"/>
    </row>
    <row r="48" spans="1:6" ht="15">
      <c r="A48" s="428" t="s">
        <v>555</v>
      </c>
      <c r="B48" s="421"/>
      <c r="C48" s="421"/>
      <c r="D48" s="421"/>
      <c r="E48" s="421"/>
      <c r="F48" s="421"/>
    </row>
    <row r="49" spans="1:6" ht="15">
      <c r="A49" s="428" t="s">
        <v>392</v>
      </c>
      <c r="B49" s="421"/>
      <c r="C49" s="421"/>
      <c r="D49" s="421"/>
      <c r="E49" s="421"/>
      <c r="F49" s="421"/>
    </row>
    <row r="50" spans="1:6" ht="15">
      <c r="A50" s="428"/>
      <c r="B50" s="421"/>
      <c r="C50" s="421"/>
      <c r="D50" s="421"/>
      <c r="E50" s="421"/>
      <c r="F50" s="421"/>
    </row>
    <row r="51" spans="1:6" ht="15">
      <c r="A51" s="428" t="s">
        <v>393</v>
      </c>
      <c r="B51" s="421"/>
      <c r="C51" s="421"/>
      <c r="D51" s="421"/>
      <c r="E51" s="421"/>
      <c r="F51" s="421"/>
    </row>
    <row r="52" spans="1:6" ht="15">
      <c r="A52" s="428" t="s">
        <v>394</v>
      </c>
      <c r="B52" s="421"/>
      <c r="C52" s="421"/>
      <c r="D52" s="421"/>
      <c r="E52" s="421"/>
      <c r="F52" s="421"/>
    </row>
    <row r="53" spans="1:6" ht="15">
      <c r="A53" s="428" t="s">
        <v>395</v>
      </c>
      <c r="B53" s="421"/>
      <c r="C53" s="421"/>
      <c r="D53" s="421"/>
      <c r="E53" s="421"/>
      <c r="F53" s="421"/>
    </row>
    <row r="54" spans="1:6" ht="15">
      <c r="A54" s="428"/>
      <c r="B54" s="421"/>
      <c r="C54" s="421"/>
      <c r="D54" s="421"/>
      <c r="E54" s="421"/>
      <c r="F54" s="421"/>
    </row>
    <row r="55" spans="1:6" ht="15">
      <c r="A55" s="428" t="s">
        <v>556</v>
      </c>
      <c r="B55" s="421"/>
      <c r="C55" s="421"/>
      <c r="D55" s="421"/>
      <c r="E55" s="421"/>
      <c r="F55" s="421"/>
    </row>
    <row r="56" spans="1:6" ht="15">
      <c r="A56" s="428" t="s">
        <v>557</v>
      </c>
      <c r="B56" s="421"/>
      <c r="C56" s="421"/>
      <c r="D56" s="421"/>
      <c r="E56" s="421"/>
      <c r="F56" s="421"/>
    </row>
    <row r="57" spans="1:6" ht="15">
      <c r="A57" s="428" t="s">
        <v>558</v>
      </c>
      <c r="B57" s="421"/>
      <c r="C57" s="421"/>
      <c r="D57" s="421"/>
      <c r="E57" s="421"/>
      <c r="F57" s="421"/>
    </row>
    <row r="58" spans="1:6" ht="15">
      <c r="A58" s="428" t="s">
        <v>559</v>
      </c>
      <c r="B58" s="421"/>
      <c r="C58" s="421"/>
      <c r="D58" s="421"/>
      <c r="E58" s="421"/>
      <c r="F58" s="421"/>
    </row>
    <row r="59" spans="1:6" ht="15">
      <c r="A59" s="428" t="s">
        <v>560</v>
      </c>
      <c r="B59" s="421"/>
      <c r="C59" s="421"/>
      <c r="D59" s="421"/>
      <c r="E59" s="421"/>
      <c r="F59" s="421"/>
    </row>
    <row r="60" spans="1:6" ht="15">
      <c r="A60" s="428"/>
      <c r="B60" s="421"/>
      <c r="C60" s="421"/>
      <c r="D60" s="421"/>
      <c r="E60" s="421"/>
      <c r="F60" s="421"/>
    </row>
    <row r="61" spans="1:6" ht="15">
      <c r="A61" s="429" t="s">
        <v>561</v>
      </c>
      <c r="B61" s="421"/>
      <c r="C61" s="421"/>
      <c r="D61" s="421"/>
      <c r="E61" s="421"/>
      <c r="F61" s="421"/>
    </row>
    <row r="62" spans="1:6" ht="15">
      <c r="A62" s="429" t="s">
        <v>562</v>
      </c>
      <c r="B62" s="421"/>
      <c r="C62" s="421"/>
      <c r="D62" s="421"/>
      <c r="E62" s="421"/>
      <c r="F62" s="421"/>
    </row>
    <row r="63" spans="1:6" ht="15">
      <c r="A63" s="429" t="s">
        <v>563</v>
      </c>
      <c r="B63" s="421"/>
      <c r="C63" s="421"/>
      <c r="D63" s="421"/>
      <c r="E63" s="421"/>
      <c r="F63" s="421"/>
    </row>
    <row r="64" ht="15">
      <c r="A64" s="429" t="s">
        <v>564</v>
      </c>
    </row>
    <row r="65" ht="15">
      <c r="A65" s="429" t="s">
        <v>565</v>
      </c>
    </row>
    <row r="66" ht="15">
      <c r="A66" s="429" t="s">
        <v>566</v>
      </c>
    </row>
    <row r="68" ht="15">
      <c r="A68" s="421" t="s">
        <v>567</v>
      </c>
    </row>
    <row r="69" ht="15">
      <c r="A69" s="421" t="s">
        <v>568</v>
      </c>
    </row>
    <row r="70" ht="15">
      <c r="A70" s="421" t="s">
        <v>569</v>
      </c>
    </row>
    <row r="71" ht="15">
      <c r="A71" s="421" t="s">
        <v>570</v>
      </c>
    </row>
    <row r="72" ht="15">
      <c r="A72" s="421" t="s">
        <v>571</v>
      </c>
    </row>
    <row r="73" ht="15">
      <c r="A73" s="421" t="s">
        <v>572</v>
      </c>
    </row>
    <row r="75" ht="15">
      <c r="A75" s="421" t="s">
        <v>479</v>
      </c>
    </row>
  </sheetData>
  <sheetProtection sheet="1"/>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422" t="s">
        <v>573</v>
      </c>
      <c r="B3" s="422"/>
      <c r="C3" s="422"/>
      <c r="D3" s="422"/>
      <c r="E3" s="422"/>
      <c r="F3" s="422"/>
      <c r="G3" s="422"/>
    </row>
    <row r="4" spans="1:7" ht="15">
      <c r="A4" s="422"/>
      <c r="B4" s="422"/>
      <c r="C4" s="422"/>
      <c r="D4" s="422"/>
      <c r="E4" s="422"/>
      <c r="F4" s="422"/>
      <c r="G4" s="422"/>
    </row>
    <row r="5" ht="15">
      <c r="A5" s="421" t="s">
        <v>481</v>
      </c>
    </row>
    <row r="6" ht="15">
      <c r="A6" s="421" t="str">
        <f>CONCATENATE(inputPrYr!C5," estimated expenditures show that at the end of this year")</f>
        <v>2013 estimated expenditures show that at the end of this year</v>
      </c>
    </row>
    <row r="7" ht="15">
      <c r="A7" s="421" t="s">
        <v>574</v>
      </c>
    </row>
    <row r="8" ht="15">
      <c r="A8" s="421" t="s">
        <v>575</v>
      </c>
    </row>
    <row r="10" ht="15">
      <c r="A10" t="s">
        <v>483</v>
      </c>
    </row>
    <row r="11" ht="15">
      <c r="A11" t="s">
        <v>484</v>
      </c>
    </row>
    <row r="12" ht="15">
      <c r="A12" t="s">
        <v>485</v>
      </c>
    </row>
    <row r="13" spans="1:7" ht="15">
      <c r="A13" s="422"/>
      <c r="B13" s="422"/>
      <c r="C13" s="422"/>
      <c r="D13" s="422"/>
      <c r="E13" s="422"/>
      <c r="F13" s="422"/>
      <c r="G13" s="422"/>
    </row>
    <row r="14" ht="15">
      <c r="A14" s="420" t="s">
        <v>576</v>
      </c>
    </row>
    <row r="15" ht="15">
      <c r="A15" s="421"/>
    </row>
    <row r="16" ht="15">
      <c r="A16" s="421" t="s">
        <v>577</v>
      </c>
    </row>
    <row r="17" ht="15">
      <c r="A17" s="421" t="s">
        <v>578</v>
      </c>
    </row>
    <row r="18" ht="15">
      <c r="A18" s="421" t="s">
        <v>579</v>
      </c>
    </row>
    <row r="19" ht="15">
      <c r="A19" s="421"/>
    </row>
    <row r="20" ht="15">
      <c r="A20" s="421" t="s">
        <v>580</v>
      </c>
    </row>
    <row r="21" ht="15">
      <c r="A21" s="421" t="s">
        <v>581</v>
      </c>
    </row>
    <row r="22" ht="15">
      <c r="A22" s="421" t="s">
        <v>582</v>
      </c>
    </row>
    <row r="23" ht="15">
      <c r="A23" s="421" t="s">
        <v>583</v>
      </c>
    </row>
    <row r="24" ht="15">
      <c r="A24" s="421"/>
    </row>
    <row r="25" ht="15">
      <c r="A25" s="420" t="s">
        <v>547</v>
      </c>
    </row>
    <row r="26" ht="15">
      <c r="A26" s="420"/>
    </row>
    <row r="27" ht="15">
      <c r="A27" s="421" t="s">
        <v>548</v>
      </c>
    </row>
    <row r="28" spans="1:6" ht="15">
      <c r="A28" s="421" t="s">
        <v>549</v>
      </c>
      <c r="B28" s="421"/>
      <c r="C28" s="421"/>
      <c r="D28" s="421"/>
      <c r="E28" s="421"/>
      <c r="F28" s="421"/>
    </row>
    <row r="29" spans="1:6" ht="15">
      <c r="A29" s="421" t="s">
        <v>550</v>
      </c>
      <c r="B29" s="421"/>
      <c r="C29" s="421"/>
      <c r="D29" s="421"/>
      <c r="E29" s="421"/>
      <c r="F29" s="421"/>
    </row>
    <row r="30" spans="1:6" ht="15">
      <c r="A30" s="421" t="s">
        <v>551</v>
      </c>
      <c r="B30" s="421"/>
      <c r="C30" s="421"/>
      <c r="D30" s="421"/>
      <c r="E30" s="421"/>
      <c r="F30" s="421"/>
    </row>
    <row r="31" ht="15">
      <c r="A31" s="421"/>
    </row>
    <row r="32" spans="1:7" ht="15">
      <c r="A32" s="420" t="s">
        <v>552</v>
      </c>
      <c r="B32" s="420"/>
      <c r="C32" s="420"/>
      <c r="D32" s="420"/>
      <c r="E32" s="420"/>
      <c r="F32" s="420"/>
      <c r="G32" s="420"/>
    </row>
    <row r="33" spans="1:7" ht="15">
      <c r="A33" s="420" t="s">
        <v>553</v>
      </c>
      <c r="B33" s="420"/>
      <c r="C33" s="420"/>
      <c r="D33" s="420"/>
      <c r="E33" s="420"/>
      <c r="F33" s="420"/>
      <c r="G33" s="420"/>
    </row>
    <row r="34" spans="1:7" ht="15">
      <c r="A34" s="420"/>
      <c r="B34" s="420"/>
      <c r="C34" s="420"/>
      <c r="D34" s="420"/>
      <c r="E34" s="420"/>
      <c r="F34" s="420"/>
      <c r="G34" s="420"/>
    </row>
    <row r="35" spans="1:7" ht="15">
      <c r="A35" s="421" t="s">
        <v>584</v>
      </c>
      <c r="B35" s="421"/>
      <c r="C35" s="421"/>
      <c r="D35" s="421"/>
      <c r="E35" s="421"/>
      <c r="F35" s="421"/>
      <c r="G35" s="421"/>
    </row>
    <row r="36" spans="1:7" ht="15">
      <c r="A36" s="421" t="s">
        <v>585</v>
      </c>
      <c r="B36" s="421"/>
      <c r="C36" s="421"/>
      <c r="D36" s="421"/>
      <c r="E36" s="421"/>
      <c r="F36" s="421"/>
      <c r="G36" s="421"/>
    </row>
    <row r="37" spans="1:7" ht="15">
      <c r="A37" s="421" t="s">
        <v>586</v>
      </c>
      <c r="B37" s="421"/>
      <c r="C37" s="421"/>
      <c r="D37" s="421"/>
      <c r="E37" s="421"/>
      <c r="F37" s="421"/>
      <c r="G37" s="421"/>
    </row>
    <row r="38" spans="1:7" ht="15">
      <c r="A38" s="421" t="s">
        <v>587</v>
      </c>
      <c r="B38" s="421"/>
      <c r="C38" s="421"/>
      <c r="D38" s="421"/>
      <c r="E38" s="421"/>
      <c r="F38" s="421"/>
      <c r="G38" s="421"/>
    </row>
    <row r="39" spans="1:7" ht="15">
      <c r="A39" s="421" t="s">
        <v>588</v>
      </c>
      <c r="B39" s="421"/>
      <c r="C39" s="421"/>
      <c r="D39" s="421"/>
      <c r="E39" s="421"/>
      <c r="F39" s="421"/>
      <c r="G39" s="421"/>
    </row>
    <row r="40" spans="1:7" ht="15">
      <c r="A40" s="420"/>
      <c r="B40" s="420"/>
      <c r="C40" s="420"/>
      <c r="D40" s="420"/>
      <c r="E40" s="420"/>
      <c r="F40" s="420"/>
      <c r="G40" s="420"/>
    </row>
    <row r="41" spans="1:6" ht="15">
      <c r="A41" s="428" t="str">
        <f>CONCATENATE("So, let's look to see if any of your ",inputPrYr!C5-1," expenditures can")</f>
        <v>So, let's look to see if any of your 2012 expenditures can</v>
      </c>
      <c r="B41" s="421"/>
      <c r="C41" s="421"/>
      <c r="D41" s="421"/>
      <c r="E41" s="421"/>
      <c r="F41" s="421"/>
    </row>
    <row r="42" spans="1:6" ht="15">
      <c r="A42" s="428" t="s">
        <v>554</v>
      </c>
      <c r="B42" s="421"/>
      <c r="C42" s="421"/>
      <c r="D42" s="421"/>
      <c r="E42" s="421"/>
      <c r="F42" s="421"/>
    </row>
    <row r="43" spans="1:6" ht="15">
      <c r="A43" s="428" t="s">
        <v>386</v>
      </c>
      <c r="B43" s="421"/>
      <c r="C43" s="421"/>
      <c r="D43" s="421"/>
      <c r="E43" s="421"/>
      <c r="F43" s="421"/>
    </row>
    <row r="44" spans="1:6" ht="15">
      <c r="A44" s="428" t="s">
        <v>387</v>
      </c>
      <c r="B44" s="421"/>
      <c r="C44" s="421"/>
      <c r="D44" s="421"/>
      <c r="E44" s="421"/>
      <c r="F44" s="421"/>
    </row>
    <row r="45" ht="15">
      <c r="A45" s="421"/>
    </row>
    <row r="46" spans="1:6" ht="15">
      <c r="A46" s="428" t="str">
        <f>CONCATENATE("Additionally, do your ",inputPrYr!C5-1," receipts contain a reimbursement")</f>
        <v>Additionally, do your 2012 receipts contain a reimbursement</v>
      </c>
      <c r="B46" s="421"/>
      <c r="C46" s="421"/>
      <c r="D46" s="421"/>
      <c r="E46" s="421"/>
      <c r="F46" s="421"/>
    </row>
    <row r="47" spans="1:6" ht="15">
      <c r="A47" s="428" t="s">
        <v>388</v>
      </c>
      <c r="B47" s="421"/>
      <c r="C47" s="421"/>
      <c r="D47" s="421"/>
      <c r="E47" s="421"/>
      <c r="F47" s="421"/>
    </row>
    <row r="48" spans="1:6" ht="15">
      <c r="A48" s="428" t="s">
        <v>389</v>
      </c>
      <c r="B48" s="421"/>
      <c r="C48" s="421"/>
      <c r="D48" s="421"/>
      <c r="E48" s="421"/>
      <c r="F48" s="421"/>
    </row>
    <row r="49" spans="1:7" ht="15">
      <c r="A49" s="421"/>
      <c r="B49" s="421"/>
      <c r="C49" s="421"/>
      <c r="D49" s="421"/>
      <c r="E49" s="421"/>
      <c r="F49" s="421"/>
      <c r="G49" s="421"/>
    </row>
    <row r="50" spans="1:7" ht="15">
      <c r="A50" s="421" t="s">
        <v>508</v>
      </c>
      <c r="B50" s="421"/>
      <c r="C50" s="421"/>
      <c r="D50" s="421"/>
      <c r="E50" s="421"/>
      <c r="F50" s="421"/>
      <c r="G50" s="421"/>
    </row>
    <row r="51" spans="1:7" ht="15">
      <c r="A51" s="421" t="s">
        <v>509</v>
      </c>
      <c r="B51" s="421"/>
      <c r="C51" s="421"/>
      <c r="D51" s="421"/>
      <c r="E51" s="421"/>
      <c r="F51" s="421"/>
      <c r="G51" s="421"/>
    </row>
    <row r="52" spans="1:7" ht="15">
      <c r="A52" s="421" t="s">
        <v>510</v>
      </c>
      <c r="B52" s="421"/>
      <c r="C52" s="421"/>
      <c r="D52" s="421"/>
      <c r="E52" s="421"/>
      <c r="F52" s="421"/>
      <c r="G52" s="421"/>
    </row>
    <row r="53" spans="1:7" ht="15">
      <c r="A53" s="421" t="s">
        <v>511</v>
      </c>
      <c r="B53" s="421"/>
      <c r="C53" s="421"/>
      <c r="D53" s="421"/>
      <c r="E53" s="421"/>
      <c r="F53" s="421"/>
      <c r="G53" s="421"/>
    </row>
    <row r="54" spans="1:7" ht="15">
      <c r="A54" s="421" t="s">
        <v>512</v>
      </c>
      <c r="B54" s="421"/>
      <c r="C54" s="421"/>
      <c r="D54" s="421"/>
      <c r="E54" s="421"/>
      <c r="F54" s="421"/>
      <c r="G54" s="421"/>
    </row>
    <row r="55" spans="1:7" ht="15">
      <c r="A55" s="421"/>
      <c r="B55" s="421"/>
      <c r="C55" s="421"/>
      <c r="D55" s="421"/>
      <c r="E55" s="421"/>
      <c r="F55" s="421"/>
      <c r="G55" s="421"/>
    </row>
    <row r="56" spans="1:6" ht="15">
      <c r="A56" s="428" t="s">
        <v>393</v>
      </c>
      <c r="B56" s="421"/>
      <c r="C56" s="421"/>
      <c r="D56" s="421"/>
      <c r="E56" s="421"/>
      <c r="F56" s="421"/>
    </row>
    <row r="57" spans="1:6" ht="15">
      <c r="A57" s="428" t="s">
        <v>394</v>
      </c>
      <c r="B57" s="421"/>
      <c r="C57" s="421"/>
      <c r="D57" s="421"/>
      <c r="E57" s="421"/>
      <c r="F57" s="421"/>
    </row>
    <row r="58" spans="1:6" ht="15">
      <c r="A58" s="428" t="s">
        <v>395</v>
      </c>
      <c r="B58" s="421"/>
      <c r="C58" s="421"/>
      <c r="D58" s="421"/>
      <c r="E58" s="421"/>
      <c r="F58" s="421"/>
    </row>
    <row r="59" spans="1:6" ht="15">
      <c r="A59" s="428"/>
      <c r="B59" s="421"/>
      <c r="C59" s="421"/>
      <c r="D59" s="421"/>
      <c r="E59" s="421"/>
      <c r="F59" s="421"/>
    </row>
    <row r="60" spans="1:7" ht="15">
      <c r="A60" s="421" t="s">
        <v>589</v>
      </c>
      <c r="B60" s="421"/>
      <c r="C60" s="421"/>
      <c r="D60" s="421"/>
      <c r="E60" s="421"/>
      <c r="F60" s="421"/>
      <c r="G60" s="421"/>
    </row>
    <row r="61" spans="1:7" ht="15">
      <c r="A61" s="421" t="s">
        <v>590</v>
      </c>
      <c r="B61" s="421"/>
      <c r="C61" s="421"/>
      <c r="D61" s="421"/>
      <c r="E61" s="421"/>
      <c r="F61" s="421"/>
      <c r="G61" s="421"/>
    </row>
    <row r="62" spans="1:7" ht="15">
      <c r="A62" s="421" t="s">
        <v>591</v>
      </c>
      <c r="B62" s="421"/>
      <c r="C62" s="421"/>
      <c r="D62" s="421"/>
      <c r="E62" s="421"/>
      <c r="F62" s="421"/>
      <c r="G62" s="421"/>
    </row>
    <row r="63" spans="1:7" ht="15">
      <c r="A63" s="421" t="s">
        <v>592</v>
      </c>
      <c r="B63" s="421"/>
      <c r="C63" s="421"/>
      <c r="D63" s="421"/>
      <c r="E63" s="421"/>
      <c r="F63" s="421"/>
      <c r="G63" s="421"/>
    </row>
    <row r="64" spans="1:7" ht="15">
      <c r="A64" s="421" t="s">
        <v>593</v>
      </c>
      <c r="B64" s="421"/>
      <c r="C64" s="421"/>
      <c r="D64" s="421"/>
      <c r="E64" s="421"/>
      <c r="F64" s="421"/>
      <c r="G64" s="421"/>
    </row>
    <row r="66" spans="1:6" ht="15">
      <c r="A66" s="428" t="s">
        <v>556</v>
      </c>
      <c r="B66" s="421"/>
      <c r="C66" s="421"/>
      <c r="D66" s="421"/>
      <c r="E66" s="421"/>
      <c r="F66" s="421"/>
    </row>
    <row r="67" spans="1:6" ht="15">
      <c r="A67" s="428" t="s">
        <v>557</v>
      </c>
      <c r="B67" s="421"/>
      <c r="C67" s="421"/>
      <c r="D67" s="421"/>
      <c r="E67" s="421"/>
      <c r="F67" s="421"/>
    </row>
    <row r="68" spans="1:6" ht="15">
      <c r="A68" s="428" t="s">
        <v>558</v>
      </c>
      <c r="B68" s="421"/>
      <c r="C68" s="421"/>
      <c r="D68" s="421"/>
      <c r="E68" s="421"/>
      <c r="F68" s="421"/>
    </row>
    <row r="69" spans="1:6" ht="15">
      <c r="A69" s="428" t="s">
        <v>559</v>
      </c>
      <c r="B69" s="421"/>
      <c r="C69" s="421"/>
      <c r="D69" s="421"/>
      <c r="E69" s="421"/>
      <c r="F69" s="421"/>
    </row>
    <row r="70" spans="1:6" ht="15">
      <c r="A70" s="428" t="s">
        <v>560</v>
      </c>
      <c r="B70" s="421"/>
      <c r="C70" s="421"/>
      <c r="D70" s="421"/>
      <c r="E70" s="421"/>
      <c r="F70" s="421"/>
    </row>
    <row r="71" ht="15">
      <c r="A71" s="421"/>
    </row>
    <row r="72" ht="15">
      <c r="A72" s="421" t="s">
        <v>479</v>
      </c>
    </row>
    <row r="73" ht="15">
      <c r="A73" s="421"/>
    </row>
    <row r="74" ht="15">
      <c r="A74" s="421"/>
    </row>
    <row r="75" ht="15">
      <c r="A75" s="421"/>
    </row>
    <row r="78" ht="15">
      <c r="A78" s="420"/>
    </row>
    <row r="80" ht="15">
      <c r="A80" s="421"/>
    </row>
    <row r="81" ht="15">
      <c r="A81" s="421"/>
    </row>
    <row r="82" ht="15">
      <c r="A82" s="421"/>
    </row>
    <row r="83" ht="15">
      <c r="A83" s="421"/>
    </row>
    <row r="84" ht="15">
      <c r="A84" s="421"/>
    </row>
    <row r="85" ht="15">
      <c r="A85" s="421"/>
    </row>
    <row r="86" ht="15">
      <c r="A86" s="421"/>
    </row>
    <row r="87" ht="15">
      <c r="A87" s="421"/>
    </row>
    <row r="88" ht="15">
      <c r="A88" s="421"/>
    </row>
    <row r="89" ht="15">
      <c r="A89" s="421"/>
    </row>
    <row r="90" ht="15">
      <c r="A90" s="421"/>
    </row>
    <row r="92" ht="15">
      <c r="A92" s="421"/>
    </row>
    <row r="93" ht="15">
      <c r="A93" s="421"/>
    </row>
    <row r="94" ht="15">
      <c r="A94" s="421"/>
    </row>
    <row r="95" ht="15">
      <c r="A95" s="421"/>
    </row>
    <row r="96" ht="15">
      <c r="A96" s="421"/>
    </row>
    <row r="97" ht="15">
      <c r="A97" s="421"/>
    </row>
    <row r="98" ht="15">
      <c r="A98" s="421"/>
    </row>
    <row r="99" ht="15">
      <c r="A99" s="421"/>
    </row>
    <row r="100" ht="15">
      <c r="A100" s="421"/>
    </row>
    <row r="101" ht="15">
      <c r="A101" s="421"/>
    </row>
    <row r="102" ht="15">
      <c r="A102" s="421"/>
    </row>
    <row r="103" ht="15">
      <c r="A103" s="421"/>
    </row>
    <row r="104" ht="15">
      <c r="A104" s="421"/>
    </row>
    <row r="105" ht="15">
      <c r="A105" s="421"/>
    </row>
    <row r="106" ht="15">
      <c r="A106" s="421"/>
    </row>
  </sheetData>
  <sheetProtection sheet="1"/>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422" t="s">
        <v>594</v>
      </c>
      <c r="B3" s="422"/>
      <c r="C3" s="422"/>
      <c r="D3" s="422"/>
      <c r="E3" s="422"/>
      <c r="F3" s="422"/>
      <c r="G3" s="422"/>
    </row>
    <row r="4" spans="1:7" ht="15">
      <c r="A4" s="422" t="s">
        <v>595</v>
      </c>
      <c r="B4" s="422"/>
      <c r="C4" s="422"/>
      <c r="D4" s="422"/>
      <c r="E4" s="422"/>
      <c r="F4" s="422"/>
      <c r="G4" s="422"/>
    </row>
    <row r="5" spans="1:7" ht="15">
      <c r="A5" s="422"/>
      <c r="B5" s="422"/>
      <c r="C5" s="422"/>
      <c r="D5" s="422"/>
      <c r="E5" s="422"/>
      <c r="F5" s="422"/>
      <c r="G5" s="422"/>
    </row>
    <row r="6" spans="1:7" ht="15">
      <c r="A6" s="422"/>
      <c r="B6" s="422"/>
      <c r="C6" s="422"/>
      <c r="D6" s="422"/>
      <c r="E6" s="422"/>
      <c r="F6" s="422"/>
      <c r="G6" s="422"/>
    </row>
    <row r="7" ht="15">
      <c r="A7" s="421" t="s">
        <v>372</v>
      </c>
    </row>
    <row r="8" ht="15">
      <c r="A8" s="421" t="str">
        <f>CONCATENATE("estimated ",inputPrYr!C5," 'total expenditures' exceed your ",inputPrYr!C5,"")</f>
        <v>estimated 2013 'total expenditures' exceed your 2013</v>
      </c>
    </row>
    <row r="9" ht="15">
      <c r="A9" s="424" t="s">
        <v>596</v>
      </c>
    </row>
    <row r="10" ht="15">
      <c r="A10" s="421"/>
    </row>
    <row r="11" ht="15">
      <c r="A11" s="421" t="s">
        <v>597</v>
      </c>
    </row>
    <row r="12" ht="15">
      <c r="A12" s="421" t="s">
        <v>598</v>
      </c>
    </row>
    <row r="13" ht="15">
      <c r="A13" s="421" t="s">
        <v>599</v>
      </c>
    </row>
    <row r="14" ht="15">
      <c r="A14" s="421"/>
    </row>
    <row r="15" ht="15">
      <c r="A15" s="420" t="s">
        <v>600</v>
      </c>
    </row>
    <row r="16" spans="1:7" ht="15">
      <c r="A16" s="422"/>
      <c r="B16" s="422"/>
      <c r="C16" s="422"/>
      <c r="D16" s="422"/>
      <c r="E16" s="422"/>
      <c r="F16" s="422"/>
      <c r="G16" s="422"/>
    </row>
    <row r="17" spans="1:8" ht="15">
      <c r="A17" s="425" t="s">
        <v>601</v>
      </c>
      <c r="B17" s="409"/>
      <c r="C17" s="409"/>
      <c r="D17" s="409"/>
      <c r="E17" s="409"/>
      <c r="F17" s="409"/>
      <c r="G17" s="409"/>
      <c r="H17" s="409"/>
    </row>
    <row r="18" spans="1:7" ht="15">
      <c r="A18" s="421" t="s">
        <v>602</v>
      </c>
      <c r="B18" s="426"/>
      <c r="C18" s="426"/>
      <c r="D18" s="426"/>
      <c r="E18" s="426"/>
      <c r="F18" s="426"/>
      <c r="G18" s="426"/>
    </row>
    <row r="19" ht="15">
      <c r="A19" s="421" t="s">
        <v>603</v>
      </c>
    </row>
    <row r="20" ht="15">
      <c r="A20" s="421" t="s">
        <v>604</v>
      </c>
    </row>
    <row r="22" ht="15">
      <c r="A22" s="420" t="s">
        <v>605</v>
      </c>
    </row>
    <row r="24" ht="15">
      <c r="A24" s="421" t="s">
        <v>606</v>
      </c>
    </row>
    <row r="25" ht="15">
      <c r="A25" s="421" t="s">
        <v>607</v>
      </c>
    </row>
    <row r="26" ht="15">
      <c r="A26" s="421" t="s">
        <v>608</v>
      </c>
    </row>
    <row r="28" ht="15">
      <c r="A28" s="420" t="s">
        <v>609</v>
      </c>
    </row>
    <row r="30" ht="15">
      <c r="A30" t="s">
        <v>610</v>
      </c>
    </row>
    <row r="31" ht="15">
      <c r="A31" t="s">
        <v>611</v>
      </c>
    </row>
    <row r="32" ht="15">
      <c r="A32" t="s">
        <v>612</v>
      </c>
    </row>
    <row r="33" ht="15">
      <c r="A33" s="421" t="s">
        <v>613</v>
      </c>
    </row>
    <row r="35" ht="15">
      <c r="A35" t="s">
        <v>614</v>
      </c>
    </row>
    <row r="36" ht="15">
      <c r="A36" t="s">
        <v>615</v>
      </c>
    </row>
    <row r="37" ht="15">
      <c r="A37" t="s">
        <v>616</v>
      </c>
    </row>
    <row r="38" ht="15">
      <c r="A38" t="s">
        <v>617</v>
      </c>
    </row>
    <row r="40" ht="15">
      <c r="A40" t="s">
        <v>618</v>
      </c>
    </row>
    <row r="41" ht="15">
      <c r="A41" t="s">
        <v>619</v>
      </c>
    </row>
    <row r="42" ht="15">
      <c r="A42" t="s">
        <v>620</v>
      </c>
    </row>
    <row r="43" ht="15">
      <c r="A43" t="s">
        <v>621</v>
      </c>
    </row>
    <row r="44" ht="15">
      <c r="A44" t="s">
        <v>622</v>
      </c>
    </row>
    <row r="45" ht="15">
      <c r="A45" t="s">
        <v>623</v>
      </c>
    </row>
    <row r="47" ht="15">
      <c r="A47" t="s">
        <v>624</v>
      </c>
    </row>
    <row r="48" ht="15">
      <c r="A48" t="s">
        <v>625</v>
      </c>
    </row>
    <row r="49" ht="15">
      <c r="A49" s="421" t="s">
        <v>626</v>
      </c>
    </row>
    <row r="50" ht="15">
      <c r="A50" s="421" t="s">
        <v>627</v>
      </c>
    </row>
    <row r="52" ht="15">
      <c r="A52" t="s">
        <v>479</v>
      </c>
    </row>
  </sheetData>
  <sheetProtection sheet="1"/>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77" customWidth="1"/>
    <col min="2" max="2" width="11.19921875" style="546" customWidth="1"/>
    <col min="3" max="3" width="7.3984375" style="546" customWidth="1"/>
    <col min="4" max="4" width="8.8984375" style="546" customWidth="1"/>
    <col min="5" max="5" width="1.59765625" style="546" customWidth="1"/>
    <col min="6" max="6" width="14.296875" style="546" customWidth="1"/>
    <col min="7" max="7" width="2.59765625" style="546" customWidth="1"/>
    <col min="8" max="8" width="9.796875" style="546" customWidth="1"/>
    <col min="9" max="9" width="2" style="546" customWidth="1"/>
    <col min="10" max="10" width="8.59765625" style="546" customWidth="1"/>
    <col min="11" max="11" width="11.69921875" style="546" customWidth="1"/>
    <col min="12" max="12" width="7.59765625" style="477" customWidth="1"/>
    <col min="13" max="14" width="8.8984375" style="477" customWidth="1"/>
    <col min="15" max="15" width="9.8984375" style="477" bestFit="1" customWidth="1"/>
    <col min="16" max="16384" width="8.8984375" style="477" customWidth="1"/>
  </cols>
  <sheetData>
    <row r="1" spans="1:12" ht="14.25">
      <c r="A1" s="545"/>
      <c r="B1" s="545"/>
      <c r="C1" s="545"/>
      <c r="D1" s="545"/>
      <c r="E1" s="545"/>
      <c r="F1" s="545"/>
      <c r="G1" s="545"/>
      <c r="H1" s="545"/>
      <c r="I1" s="545"/>
      <c r="J1" s="545"/>
      <c r="K1" s="545"/>
      <c r="L1" s="545"/>
    </row>
    <row r="2" spans="1:12" ht="14.25">
      <c r="A2" s="545"/>
      <c r="B2" s="545"/>
      <c r="C2" s="545"/>
      <c r="D2" s="545"/>
      <c r="E2" s="545"/>
      <c r="F2" s="545"/>
      <c r="G2" s="545"/>
      <c r="H2" s="545"/>
      <c r="I2" s="545"/>
      <c r="J2" s="545"/>
      <c r="K2" s="545"/>
      <c r="L2" s="545"/>
    </row>
    <row r="3" spans="1:12" ht="14.25">
      <c r="A3" s="545"/>
      <c r="B3" s="545"/>
      <c r="C3" s="545"/>
      <c r="D3" s="545"/>
      <c r="E3" s="545"/>
      <c r="F3" s="545"/>
      <c r="G3" s="545"/>
      <c r="H3" s="545"/>
      <c r="I3" s="545"/>
      <c r="J3" s="545"/>
      <c r="K3" s="545"/>
      <c r="L3" s="545"/>
    </row>
    <row r="4" spans="1:12" ht="14.25">
      <c r="A4" s="545"/>
      <c r="L4" s="545"/>
    </row>
    <row r="5" spans="1:12" ht="15" customHeight="1">
      <c r="A5" s="545"/>
      <c r="L5" s="545"/>
    </row>
    <row r="6" spans="1:12" ht="33" customHeight="1">
      <c r="A6" s="545"/>
      <c r="B6" s="784" t="s">
        <v>100</v>
      </c>
      <c r="C6" s="785"/>
      <c r="D6" s="785"/>
      <c r="E6" s="785"/>
      <c r="F6" s="785"/>
      <c r="G6" s="785"/>
      <c r="H6" s="785"/>
      <c r="I6" s="785"/>
      <c r="J6" s="785"/>
      <c r="K6" s="785"/>
      <c r="L6" s="547"/>
    </row>
    <row r="7" spans="1:12" ht="40.5" customHeight="1">
      <c r="A7" s="545"/>
      <c r="B7" s="786" t="s">
        <v>101</v>
      </c>
      <c r="C7" s="787"/>
      <c r="D7" s="787"/>
      <c r="E7" s="787"/>
      <c r="F7" s="787"/>
      <c r="G7" s="787"/>
      <c r="H7" s="787"/>
      <c r="I7" s="787"/>
      <c r="J7" s="787"/>
      <c r="K7" s="787"/>
      <c r="L7" s="545"/>
    </row>
    <row r="8" spans="1:12" ht="14.25">
      <c r="A8" s="545"/>
      <c r="B8" s="783" t="s">
        <v>102</v>
      </c>
      <c r="C8" s="783"/>
      <c r="D8" s="783"/>
      <c r="E8" s="783"/>
      <c r="F8" s="783"/>
      <c r="G8" s="783"/>
      <c r="H8" s="783"/>
      <c r="I8" s="783"/>
      <c r="J8" s="783"/>
      <c r="K8" s="783"/>
      <c r="L8" s="545"/>
    </row>
    <row r="9" spans="1:12" ht="14.25">
      <c r="A9" s="545"/>
      <c r="L9" s="545"/>
    </row>
    <row r="10" spans="1:12" ht="14.25">
      <c r="A10" s="545"/>
      <c r="B10" s="783" t="s">
        <v>103</v>
      </c>
      <c r="C10" s="783"/>
      <c r="D10" s="783"/>
      <c r="E10" s="783"/>
      <c r="F10" s="783"/>
      <c r="G10" s="783"/>
      <c r="H10" s="783"/>
      <c r="I10" s="783"/>
      <c r="J10" s="783"/>
      <c r="K10" s="783"/>
      <c r="L10" s="545"/>
    </row>
    <row r="11" spans="1:12" ht="14.25">
      <c r="A11" s="545"/>
      <c r="B11" s="613"/>
      <c r="C11" s="613"/>
      <c r="D11" s="613"/>
      <c r="E11" s="613"/>
      <c r="F11" s="613"/>
      <c r="G11" s="613"/>
      <c r="H11" s="613"/>
      <c r="I11" s="613"/>
      <c r="J11" s="613"/>
      <c r="K11" s="613"/>
      <c r="L11" s="545"/>
    </row>
    <row r="12" spans="1:12" ht="32.25" customHeight="1">
      <c r="A12" s="545"/>
      <c r="B12" s="780" t="s">
        <v>104</v>
      </c>
      <c r="C12" s="780"/>
      <c r="D12" s="780"/>
      <c r="E12" s="780"/>
      <c r="F12" s="780"/>
      <c r="G12" s="780"/>
      <c r="H12" s="780"/>
      <c r="I12" s="780"/>
      <c r="J12" s="780"/>
      <c r="K12" s="780"/>
      <c r="L12" s="545"/>
    </row>
    <row r="13" spans="1:12" ht="14.25">
      <c r="A13" s="545"/>
      <c r="L13" s="545"/>
    </row>
    <row r="14" spans="1:12" ht="14.25">
      <c r="A14" s="545"/>
      <c r="B14" s="528" t="s">
        <v>105</v>
      </c>
      <c r="L14" s="545"/>
    </row>
    <row r="15" spans="1:12" ht="14.25">
      <c r="A15" s="545"/>
      <c r="L15" s="545"/>
    </row>
    <row r="16" spans="1:12" ht="14.25">
      <c r="A16" s="545"/>
      <c r="B16" s="546" t="s">
        <v>106</v>
      </c>
      <c r="L16" s="545"/>
    </row>
    <row r="17" spans="1:12" ht="14.25">
      <c r="A17" s="545"/>
      <c r="B17" s="546" t="s">
        <v>107</v>
      </c>
      <c r="L17" s="545"/>
    </row>
    <row r="18" spans="1:12" ht="14.25">
      <c r="A18" s="545"/>
      <c r="L18" s="545"/>
    </row>
    <row r="19" spans="1:12" ht="14.25">
      <c r="A19" s="545"/>
      <c r="B19" s="528" t="s">
        <v>202</v>
      </c>
      <c r="L19" s="545"/>
    </row>
    <row r="20" spans="1:12" ht="14.25">
      <c r="A20" s="545"/>
      <c r="B20" s="528"/>
      <c r="L20" s="545"/>
    </row>
    <row r="21" spans="1:12" ht="14.25">
      <c r="A21" s="545"/>
      <c r="B21" s="546" t="s">
        <v>203</v>
      </c>
      <c r="L21" s="545"/>
    </row>
    <row r="22" spans="1:12" ht="14.25">
      <c r="A22" s="545"/>
      <c r="L22" s="545"/>
    </row>
    <row r="23" spans="1:12" ht="14.25">
      <c r="A23" s="545"/>
      <c r="B23" s="546" t="s">
        <v>108</v>
      </c>
      <c r="E23" s="546" t="s">
        <v>109</v>
      </c>
      <c r="F23" s="778">
        <v>312000000</v>
      </c>
      <c r="G23" s="778"/>
      <c r="L23" s="545"/>
    </row>
    <row r="24" spans="1:12" ht="14.25">
      <c r="A24" s="545"/>
      <c r="L24" s="545"/>
    </row>
    <row r="25" spans="1:12" ht="14.25">
      <c r="A25" s="545"/>
      <c r="C25" s="790">
        <f>F23</f>
        <v>312000000</v>
      </c>
      <c r="D25" s="790"/>
      <c r="E25" s="546" t="s">
        <v>110</v>
      </c>
      <c r="F25" s="548">
        <v>1000</v>
      </c>
      <c r="G25" s="548" t="s">
        <v>109</v>
      </c>
      <c r="H25" s="614">
        <f>F23/F25</f>
        <v>312000</v>
      </c>
      <c r="L25" s="545"/>
    </row>
    <row r="26" spans="1:12" ht="15" thickBot="1">
      <c r="A26" s="545"/>
      <c r="L26" s="545"/>
    </row>
    <row r="27" spans="1:12" ht="14.25">
      <c r="A27" s="545"/>
      <c r="B27" s="529" t="s">
        <v>105</v>
      </c>
      <c r="C27" s="549"/>
      <c r="D27" s="549"/>
      <c r="E27" s="549"/>
      <c r="F27" s="549"/>
      <c r="G27" s="549"/>
      <c r="H27" s="549"/>
      <c r="I27" s="549"/>
      <c r="J27" s="549"/>
      <c r="K27" s="550"/>
      <c r="L27" s="545"/>
    </row>
    <row r="28" spans="1:12" ht="14.25">
      <c r="A28" s="545"/>
      <c r="B28" s="551">
        <f>F23</f>
        <v>312000000</v>
      </c>
      <c r="C28" s="552" t="s">
        <v>111</v>
      </c>
      <c r="D28" s="552"/>
      <c r="E28" s="552" t="s">
        <v>110</v>
      </c>
      <c r="F28" s="618">
        <v>1000</v>
      </c>
      <c r="G28" s="618" t="s">
        <v>109</v>
      </c>
      <c r="H28" s="553">
        <f>B28/F28</f>
        <v>312000</v>
      </c>
      <c r="I28" s="552" t="s">
        <v>112</v>
      </c>
      <c r="J28" s="552"/>
      <c r="K28" s="554"/>
      <c r="L28" s="545"/>
    </row>
    <row r="29" spans="1:12" ht="15" thickBot="1">
      <c r="A29" s="545"/>
      <c r="B29" s="555"/>
      <c r="C29" s="556"/>
      <c r="D29" s="556"/>
      <c r="E29" s="556"/>
      <c r="F29" s="556"/>
      <c r="G29" s="556"/>
      <c r="H29" s="556"/>
      <c r="I29" s="556"/>
      <c r="J29" s="556"/>
      <c r="K29" s="557"/>
      <c r="L29" s="545"/>
    </row>
    <row r="30" spans="1:12" ht="40.5" customHeight="1">
      <c r="A30" s="545"/>
      <c r="B30" s="782" t="s">
        <v>101</v>
      </c>
      <c r="C30" s="782"/>
      <c r="D30" s="782"/>
      <c r="E30" s="782"/>
      <c r="F30" s="782"/>
      <c r="G30" s="782"/>
      <c r="H30" s="782"/>
      <c r="I30" s="782"/>
      <c r="J30" s="782"/>
      <c r="K30" s="782"/>
      <c r="L30" s="545"/>
    </row>
    <row r="31" spans="1:12" ht="14.25">
      <c r="A31" s="545"/>
      <c r="B31" s="783" t="s">
        <v>113</v>
      </c>
      <c r="C31" s="783"/>
      <c r="D31" s="783"/>
      <c r="E31" s="783"/>
      <c r="F31" s="783"/>
      <c r="G31" s="783"/>
      <c r="H31" s="783"/>
      <c r="I31" s="783"/>
      <c r="J31" s="783"/>
      <c r="K31" s="783"/>
      <c r="L31" s="545"/>
    </row>
    <row r="32" spans="1:12" ht="14.25">
      <c r="A32" s="545"/>
      <c r="L32" s="545"/>
    </row>
    <row r="33" spans="1:12" ht="14.25">
      <c r="A33" s="545"/>
      <c r="B33" s="783" t="s">
        <v>114</v>
      </c>
      <c r="C33" s="783"/>
      <c r="D33" s="783"/>
      <c r="E33" s="783"/>
      <c r="F33" s="783"/>
      <c r="G33" s="783"/>
      <c r="H33" s="783"/>
      <c r="I33" s="783"/>
      <c r="J33" s="783"/>
      <c r="K33" s="783"/>
      <c r="L33" s="545"/>
    </row>
    <row r="34" spans="1:12" ht="14.25">
      <c r="A34" s="545"/>
      <c r="L34" s="545"/>
    </row>
    <row r="35" spans="1:12" ht="89.25" customHeight="1">
      <c r="A35" s="545"/>
      <c r="B35" s="780" t="s">
        <v>115</v>
      </c>
      <c r="C35" s="781"/>
      <c r="D35" s="781"/>
      <c r="E35" s="781"/>
      <c r="F35" s="781"/>
      <c r="G35" s="781"/>
      <c r="H35" s="781"/>
      <c r="I35" s="781"/>
      <c r="J35" s="781"/>
      <c r="K35" s="781"/>
      <c r="L35" s="545"/>
    </row>
    <row r="36" spans="1:12" ht="14.25">
      <c r="A36" s="545"/>
      <c r="L36" s="545"/>
    </row>
    <row r="37" spans="1:12" ht="14.25">
      <c r="A37" s="545"/>
      <c r="B37" s="528" t="s">
        <v>116</v>
      </c>
      <c r="L37" s="545"/>
    </row>
    <row r="38" spans="1:12" ht="14.25">
      <c r="A38" s="545"/>
      <c r="L38" s="545"/>
    </row>
    <row r="39" spans="1:12" ht="14.25">
      <c r="A39" s="545"/>
      <c r="B39" s="546" t="s">
        <v>117</v>
      </c>
      <c r="L39" s="545"/>
    </row>
    <row r="40" spans="1:12" ht="14.25">
      <c r="A40" s="545"/>
      <c r="L40" s="545"/>
    </row>
    <row r="41" spans="1:12" ht="14.25">
      <c r="A41" s="545"/>
      <c r="C41" s="791">
        <v>312000000</v>
      </c>
      <c r="D41" s="791"/>
      <c r="E41" s="546" t="s">
        <v>110</v>
      </c>
      <c r="F41" s="548">
        <v>1000</v>
      </c>
      <c r="G41" s="548" t="s">
        <v>109</v>
      </c>
      <c r="H41" s="558">
        <f>C41/F41</f>
        <v>312000</v>
      </c>
      <c r="L41" s="545"/>
    </row>
    <row r="42" spans="1:12" ht="14.25">
      <c r="A42" s="545"/>
      <c r="L42" s="545"/>
    </row>
    <row r="43" spans="1:12" ht="14.25">
      <c r="A43" s="545"/>
      <c r="B43" s="546" t="s">
        <v>118</v>
      </c>
      <c r="L43" s="545"/>
    </row>
    <row r="44" spans="1:12" ht="14.25">
      <c r="A44" s="545"/>
      <c r="L44" s="545"/>
    </row>
    <row r="45" spans="1:12" ht="14.25">
      <c r="A45" s="545"/>
      <c r="B45" s="546" t="s">
        <v>119</v>
      </c>
      <c r="L45" s="545"/>
    </row>
    <row r="46" spans="1:12" ht="15" thickBot="1">
      <c r="A46" s="545"/>
      <c r="L46" s="545"/>
    </row>
    <row r="47" spans="1:12" ht="14.25">
      <c r="A47" s="545"/>
      <c r="B47" s="559" t="s">
        <v>105</v>
      </c>
      <c r="C47" s="549"/>
      <c r="D47" s="549"/>
      <c r="E47" s="549"/>
      <c r="F47" s="549"/>
      <c r="G47" s="549"/>
      <c r="H47" s="549"/>
      <c r="I47" s="549"/>
      <c r="J47" s="549"/>
      <c r="K47" s="550"/>
      <c r="L47" s="545"/>
    </row>
    <row r="48" spans="1:12" ht="14.25">
      <c r="A48" s="545"/>
      <c r="B48" s="792">
        <v>312000000</v>
      </c>
      <c r="C48" s="778"/>
      <c r="D48" s="552" t="s">
        <v>120</v>
      </c>
      <c r="E48" s="552" t="s">
        <v>110</v>
      </c>
      <c r="F48" s="618">
        <v>1000</v>
      </c>
      <c r="G48" s="618" t="s">
        <v>109</v>
      </c>
      <c r="H48" s="553">
        <f>B48/F48</f>
        <v>312000</v>
      </c>
      <c r="I48" s="552" t="s">
        <v>121</v>
      </c>
      <c r="J48" s="552"/>
      <c r="K48" s="554"/>
      <c r="L48" s="545"/>
    </row>
    <row r="49" spans="1:12" ht="14.25">
      <c r="A49" s="545"/>
      <c r="B49" s="560"/>
      <c r="C49" s="552"/>
      <c r="D49" s="552"/>
      <c r="E49" s="552"/>
      <c r="F49" s="552"/>
      <c r="G49" s="552"/>
      <c r="H49" s="552"/>
      <c r="I49" s="552"/>
      <c r="J49" s="552"/>
      <c r="K49" s="554"/>
      <c r="L49" s="545"/>
    </row>
    <row r="50" spans="1:12" ht="14.25">
      <c r="A50" s="545"/>
      <c r="B50" s="561">
        <v>50000</v>
      </c>
      <c r="C50" s="552" t="s">
        <v>122</v>
      </c>
      <c r="D50" s="552"/>
      <c r="E50" s="552" t="s">
        <v>110</v>
      </c>
      <c r="F50" s="553">
        <f>H48</f>
        <v>312000</v>
      </c>
      <c r="G50" s="793" t="s">
        <v>123</v>
      </c>
      <c r="H50" s="794"/>
      <c r="I50" s="618" t="s">
        <v>109</v>
      </c>
      <c r="J50" s="562">
        <f>B50/F50</f>
        <v>0.16025641025641027</v>
      </c>
      <c r="K50" s="554"/>
      <c r="L50" s="545"/>
    </row>
    <row r="51" spans="1:15" ht="15" thickBot="1">
      <c r="A51" s="545"/>
      <c r="B51" s="555"/>
      <c r="C51" s="556"/>
      <c r="D51" s="556"/>
      <c r="E51" s="556"/>
      <c r="F51" s="556"/>
      <c r="G51" s="556"/>
      <c r="H51" s="556"/>
      <c r="I51" s="788" t="s">
        <v>124</v>
      </c>
      <c r="J51" s="788"/>
      <c r="K51" s="789"/>
      <c r="L51" s="545"/>
      <c r="O51" s="563"/>
    </row>
    <row r="52" spans="1:12" ht="40.5" customHeight="1">
      <c r="A52" s="545"/>
      <c r="B52" s="782" t="s">
        <v>101</v>
      </c>
      <c r="C52" s="782"/>
      <c r="D52" s="782"/>
      <c r="E52" s="782"/>
      <c r="F52" s="782"/>
      <c r="G52" s="782"/>
      <c r="H52" s="782"/>
      <c r="I52" s="782"/>
      <c r="J52" s="782"/>
      <c r="K52" s="782"/>
      <c r="L52" s="545"/>
    </row>
    <row r="53" spans="1:12" ht="14.25">
      <c r="A53" s="545"/>
      <c r="B53" s="783" t="s">
        <v>125</v>
      </c>
      <c r="C53" s="783"/>
      <c r="D53" s="783"/>
      <c r="E53" s="783"/>
      <c r="F53" s="783"/>
      <c r="G53" s="783"/>
      <c r="H53" s="783"/>
      <c r="I53" s="783"/>
      <c r="J53" s="783"/>
      <c r="K53" s="783"/>
      <c r="L53" s="545"/>
    </row>
    <row r="54" spans="1:12" ht="14.25">
      <c r="A54" s="545"/>
      <c r="B54" s="613"/>
      <c r="C54" s="613"/>
      <c r="D54" s="613"/>
      <c r="E54" s="613"/>
      <c r="F54" s="613"/>
      <c r="G54" s="613"/>
      <c r="H54" s="613"/>
      <c r="I54" s="613"/>
      <c r="J54" s="613"/>
      <c r="K54" s="613"/>
      <c r="L54" s="545"/>
    </row>
    <row r="55" spans="1:12" ht="14.25">
      <c r="A55" s="545"/>
      <c r="B55" s="784" t="s">
        <v>126</v>
      </c>
      <c r="C55" s="784"/>
      <c r="D55" s="784"/>
      <c r="E55" s="784"/>
      <c r="F55" s="784"/>
      <c r="G55" s="784"/>
      <c r="H55" s="784"/>
      <c r="I55" s="784"/>
      <c r="J55" s="784"/>
      <c r="K55" s="784"/>
      <c r="L55" s="545"/>
    </row>
    <row r="56" spans="1:12" ht="15" customHeight="1">
      <c r="A56" s="545"/>
      <c r="L56" s="545"/>
    </row>
    <row r="57" spans="1:24" ht="74.25" customHeight="1">
      <c r="A57" s="545"/>
      <c r="B57" s="780" t="s">
        <v>127</v>
      </c>
      <c r="C57" s="781"/>
      <c r="D57" s="781"/>
      <c r="E57" s="781"/>
      <c r="F57" s="781"/>
      <c r="G57" s="781"/>
      <c r="H57" s="781"/>
      <c r="I57" s="781"/>
      <c r="J57" s="781"/>
      <c r="K57" s="781"/>
      <c r="L57" s="545"/>
      <c r="M57" s="530"/>
      <c r="N57" s="478"/>
      <c r="O57" s="478"/>
      <c r="P57" s="478"/>
      <c r="Q57" s="478"/>
      <c r="R57" s="478"/>
      <c r="S57" s="478"/>
      <c r="T57" s="478"/>
      <c r="U57" s="478"/>
      <c r="V57" s="478"/>
      <c r="W57" s="478"/>
      <c r="X57" s="478"/>
    </row>
    <row r="58" spans="1:24" ht="15" customHeight="1">
      <c r="A58" s="545"/>
      <c r="B58" s="780"/>
      <c r="C58" s="781"/>
      <c r="D58" s="781"/>
      <c r="E58" s="781"/>
      <c r="F58" s="781"/>
      <c r="G58" s="781"/>
      <c r="H58" s="781"/>
      <c r="I58" s="781"/>
      <c r="J58" s="781"/>
      <c r="K58" s="781"/>
      <c r="L58" s="545"/>
      <c r="M58" s="530"/>
      <c r="N58" s="478"/>
      <c r="O58" s="478"/>
      <c r="P58" s="478"/>
      <c r="Q58" s="478"/>
      <c r="R58" s="478"/>
      <c r="S58" s="478"/>
      <c r="T58" s="478"/>
      <c r="U58" s="478"/>
      <c r="V58" s="478"/>
      <c r="W58" s="478"/>
      <c r="X58" s="478"/>
    </row>
    <row r="59" spans="1:24" ht="14.25">
      <c r="A59" s="545"/>
      <c r="B59" s="528" t="s">
        <v>116</v>
      </c>
      <c r="L59" s="545"/>
      <c r="M59" s="478"/>
      <c r="N59" s="478"/>
      <c r="O59" s="478"/>
      <c r="P59" s="478"/>
      <c r="Q59" s="478"/>
      <c r="R59" s="478"/>
      <c r="S59" s="478"/>
      <c r="T59" s="478"/>
      <c r="U59" s="478"/>
      <c r="V59" s="478"/>
      <c r="W59" s="478"/>
      <c r="X59" s="478"/>
    </row>
    <row r="60" spans="1:24" ht="14.25">
      <c r="A60" s="545"/>
      <c r="L60" s="545"/>
      <c r="M60" s="478"/>
      <c r="N60" s="478"/>
      <c r="O60" s="478"/>
      <c r="P60" s="478"/>
      <c r="Q60" s="478"/>
      <c r="R60" s="478"/>
      <c r="S60" s="478"/>
      <c r="T60" s="478"/>
      <c r="U60" s="478"/>
      <c r="V60" s="478"/>
      <c r="W60" s="478"/>
      <c r="X60" s="478"/>
    </row>
    <row r="61" spans="1:24" ht="14.25">
      <c r="A61" s="545"/>
      <c r="B61" s="546" t="s">
        <v>128</v>
      </c>
      <c r="L61" s="545"/>
      <c r="M61" s="478"/>
      <c r="N61" s="478"/>
      <c r="O61" s="478"/>
      <c r="P61" s="478"/>
      <c r="Q61" s="478"/>
      <c r="R61" s="478"/>
      <c r="S61" s="478"/>
      <c r="T61" s="478"/>
      <c r="U61" s="478"/>
      <c r="V61" s="478"/>
      <c r="W61" s="478"/>
      <c r="X61" s="478"/>
    </row>
    <row r="62" spans="1:24" ht="14.25">
      <c r="A62" s="545"/>
      <c r="B62" s="546" t="s">
        <v>204</v>
      </c>
      <c r="L62" s="545"/>
      <c r="M62" s="478"/>
      <c r="N62" s="478"/>
      <c r="O62" s="478"/>
      <c r="P62" s="478"/>
      <c r="Q62" s="478"/>
      <c r="R62" s="478"/>
      <c r="S62" s="478"/>
      <c r="T62" s="478"/>
      <c r="U62" s="478"/>
      <c r="V62" s="478"/>
      <c r="W62" s="478"/>
      <c r="X62" s="478"/>
    </row>
    <row r="63" spans="1:24" ht="14.25">
      <c r="A63" s="545"/>
      <c r="B63" s="546" t="s">
        <v>205</v>
      </c>
      <c r="L63" s="545"/>
      <c r="M63" s="478"/>
      <c r="N63" s="478"/>
      <c r="O63" s="478"/>
      <c r="P63" s="478"/>
      <c r="Q63" s="478"/>
      <c r="R63" s="478"/>
      <c r="S63" s="478"/>
      <c r="T63" s="478"/>
      <c r="U63" s="478"/>
      <c r="V63" s="478"/>
      <c r="W63" s="478"/>
      <c r="X63" s="478"/>
    </row>
    <row r="64" spans="1:24" ht="14.25">
      <c r="A64" s="545"/>
      <c r="L64" s="545"/>
      <c r="M64" s="478"/>
      <c r="N64" s="478"/>
      <c r="O64" s="478"/>
      <c r="P64" s="478"/>
      <c r="Q64" s="478"/>
      <c r="R64" s="478"/>
      <c r="S64" s="478"/>
      <c r="T64" s="478"/>
      <c r="U64" s="478"/>
      <c r="V64" s="478"/>
      <c r="W64" s="478"/>
      <c r="X64" s="478"/>
    </row>
    <row r="65" spans="1:24" ht="14.25">
      <c r="A65" s="545"/>
      <c r="B65" s="546" t="s">
        <v>129</v>
      </c>
      <c r="L65" s="545"/>
      <c r="M65" s="478"/>
      <c r="N65" s="478"/>
      <c r="O65" s="478"/>
      <c r="P65" s="478"/>
      <c r="Q65" s="478"/>
      <c r="R65" s="478"/>
      <c r="S65" s="478"/>
      <c r="T65" s="478"/>
      <c r="U65" s="478"/>
      <c r="V65" s="478"/>
      <c r="W65" s="478"/>
      <c r="X65" s="478"/>
    </row>
    <row r="66" spans="1:24" ht="14.25">
      <c r="A66" s="545"/>
      <c r="B66" s="546" t="s">
        <v>130</v>
      </c>
      <c r="L66" s="545"/>
      <c r="M66" s="478"/>
      <c r="N66" s="478"/>
      <c r="O66" s="478"/>
      <c r="P66" s="478"/>
      <c r="Q66" s="478"/>
      <c r="R66" s="478"/>
      <c r="S66" s="478"/>
      <c r="T66" s="478"/>
      <c r="U66" s="478"/>
      <c r="V66" s="478"/>
      <c r="W66" s="478"/>
      <c r="X66" s="478"/>
    </row>
    <row r="67" spans="1:24" ht="14.25">
      <c r="A67" s="545"/>
      <c r="L67" s="545"/>
      <c r="M67" s="478"/>
      <c r="N67" s="478"/>
      <c r="O67" s="478"/>
      <c r="P67" s="478"/>
      <c r="Q67" s="478"/>
      <c r="R67" s="478"/>
      <c r="S67" s="478"/>
      <c r="T67" s="478"/>
      <c r="U67" s="478"/>
      <c r="V67" s="478"/>
      <c r="W67" s="478"/>
      <c r="X67" s="478"/>
    </row>
    <row r="68" spans="1:24" ht="14.25">
      <c r="A68" s="545"/>
      <c r="B68" s="546" t="s">
        <v>131</v>
      </c>
      <c r="L68" s="545"/>
      <c r="M68" s="531"/>
      <c r="N68" s="479"/>
      <c r="O68" s="479"/>
      <c r="P68" s="479"/>
      <c r="Q68" s="479"/>
      <c r="R68" s="479"/>
      <c r="S68" s="479"/>
      <c r="T68" s="479"/>
      <c r="U68" s="479"/>
      <c r="V68" s="479"/>
      <c r="W68" s="479"/>
      <c r="X68" s="478"/>
    </row>
    <row r="69" spans="1:24" ht="14.25">
      <c r="A69" s="545"/>
      <c r="B69" s="546" t="s">
        <v>206</v>
      </c>
      <c r="L69" s="545"/>
      <c r="M69" s="478"/>
      <c r="N69" s="478"/>
      <c r="O69" s="478"/>
      <c r="P69" s="478"/>
      <c r="Q69" s="478"/>
      <c r="R69" s="478"/>
      <c r="S69" s="478"/>
      <c r="T69" s="478"/>
      <c r="U69" s="478"/>
      <c r="V69" s="478"/>
      <c r="W69" s="478"/>
      <c r="X69" s="478"/>
    </row>
    <row r="70" spans="1:24" ht="14.25">
      <c r="A70" s="545"/>
      <c r="B70" s="546" t="s">
        <v>207</v>
      </c>
      <c r="L70" s="545"/>
      <c r="M70" s="478"/>
      <c r="N70" s="478"/>
      <c r="O70" s="478"/>
      <c r="P70" s="478"/>
      <c r="Q70" s="478"/>
      <c r="R70" s="478"/>
      <c r="S70" s="478"/>
      <c r="T70" s="478"/>
      <c r="U70" s="478"/>
      <c r="V70" s="478"/>
      <c r="W70" s="478"/>
      <c r="X70" s="478"/>
    </row>
    <row r="71" spans="1:12" ht="15" thickBot="1">
      <c r="A71" s="545"/>
      <c r="B71" s="552"/>
      <c r="C71" s="552"/>
      <c r="D71" s="552"/>
      <c r="E71" s="552"/>
      <c r="F71" s="552"/>
      <c r="G71" s="552"/>
      <c r="H71" s="552"/>
      <c r="I71" s="552"/>
      <c r="J71" s="552"/>
      <c r="K71" s="552"/>
      <c r="L71" s="545"/>
    </row>
    <row r="72" spans="1:12" ht="14.25">
      <c r="A72" s="545"/>
      <c r="B72" s="529" t="s">
        <v>105</v>
      </c>
      <c r="C72" s="549"/>
      <c r="D72" s="549"/>
      <c r="E72" s="549"/>
      <c r="F72" s="549"/>
      <c r="G72" s="549"/>
      <c r="H72" s="549"/>
      <c r="I72" s="549"/>
      <c r="J72" s="549"/>
      <c r="K72" s="550"/>
      <c r="L72" s="564"/>
    </row>
    <row r="73" spans="1:12" ht="14.25">
      <c r="A73" s="545"/>
      <c r="B73" s="560"/>
      <c r="C73" s="552" t="s">
        <v>111</v>
      </c>
      <c r="D73" s="552"/>
      <c r="E73" s="552"/>
      <c r="F73" s="552"/>
      <c r="G73" s="552"/>
      <c r="H73" s="552"/>
      <c r="I73" s="552"/>
      <c r="J73" s="552"/>
      <c r="K73" s="554"/>
      <c r="L73" s="564"/>
    </row>
    <row r="74" spans="1:12" ht="14.25">
      <c r="A74" s="545"/>
      <c r="B74" s="560" t="s">
        <v>132</v>
      </c>
      <c r="C74" s="778">
        <v>312000000</v>
      </c>
      <c r="D74" s="778"/>
      <c r="E74" s="618" t="s">
        <v>110</v>
      </c>
      <c r="F74" s="618">
        <v>1000</v>
      </c>
      <c r="G74" s="618" t="s">
        <v>109</v>
      </c>
      <c r="H74" s="617">
        <f>C74/F74</f>
        <v>312000</v>
      </c>
      <c r="I74" s="552" t="s">
        <v>133</v>
      </c>
      <c r="J74" s="552"/>
      <c r="K74" s="554"/>
      <c r="L74" s="564"/>
    </row>
    <row r="75" spans="1:12" ht="14.25">
      <c r="A75" s="545"/>
      <c r="B75" s="560"/>
      <c r="C75" s="552"/>
      <c r="D75" s="552"/>
      <c r="E75" s="618"/>
      <c r="F75" s="552"/>
      <c r="G75" s="552"/>
      <c r="H75" s="552"/>
      <c r="I75" s="552"/>
      <c r="J75" s="552"/>
      <c r="K75" s="554"/>
      <c r="L75" s="564"/>
    </row>
    <row r="76" spans="1:12" ht="14.25">
      <c r="A76" s="545"/>
      <c r="B76" s="560"/>
      <c r="C76" s="552" t="s">
        <v>134</v>
      </c>
      <c r="D76" s="552"/>
      <c r="E76" s="618"/>
      <c r="F76" s="552" t="s">
        <v>133</v>
      </c>
      <c r="G76" s="552"/>
      <c r="H76" s="552"/>
      <c r="I76" s="552"/>
      <c r="J76" s="552"/>
      <c r="K76" s="554"/>
      <c r="L76" s="564"/>
    </row>
    <row r="77" spans="1:12" ht="14.25">
      <c r="A77" s="545"/>
      <c r="B77" s="560" t="s">
        <v>137</v>
      </c>
      <c r="C77" s="778">
        <v>50000</v>
      </c>
      <c r="D77" s="778"/>
      <c r="E77" s="618" t="s">
        <v>110</v>
      </c>
      <c r="F77" s="617">
        <f>H74</f>
        <v>312000</v>
      </c>
      <c r="G77" s="618" t="s">
        <v>109</v>
      </c>
      <c r="H77" s="562">
        <f>C77/F77</f>
        <v>0.16025641025641027</v>
      </c>
      <c r="I77" s="552" t="s">
        <v>135</v>
      </c>
      <c r="J77" s="552"/>
      <c r="K77" s="554"/>
      <c r="L77" s="564"/>
    </row>
    <row r="78" spans="1:12" ht="14.25">
      <c r="A78" s="545"/>
      <c r="B78" s="560"/>
      <c r="C78" s="552"/>
      <c r="D78" s="552"/>
      <c r="E78" s="618"/>
      <c r="F78" s="552"/>
      <c r="G78" s="552"/>
      <c r="H78" s="552"/>
      <c r="I78" s="552"/>
      <c r="J78" s="552"/>
      <c r="K78" s="554"/>
      <c r="L78" s="564"/>
    </row>
    <row r="79" spans="1:12" ht="14.25">
      <c r="A79" s="545"/>
      <c r="B79" s="565"/>
      <c r="C79" s="566" t="s">
        <v>136</v>
      </c>
      <c r="D79" s="566"/>
      <c r="E79" s="619"/>
      <c r="F79" s="566"/>
      <c r="G79" s="566"/>
      <c r="H79" s="566"/>
      <c r="I79" s="566"/>
      <c r="J79" s="566"/>
      <c r="K79" s="567"/>
      <c r="L79" s="564"/>
    </row>
    <row r="80" spans="1:12" ht="14.25">
      <c r="A80" s="545"/>
      <c r="B80" s="560" t="s">
        <v>675</v>
      </c>
      <c r="C80" s="778">
        <v>100000</v>
      </c>
      <c r="D80" s="778"/>
      <c r="E80" s="618" t="s">
        <v>711</v>
      </c>
      <c r="F80" s="618">
        <v>0.115</v>
      </c>
      <c r="G80" s="618" t="s">
        <v>109</v>
      </c>
      <c r="H80" s="617">
        <f>C80*F80</f>
        <v>11500</v>
      </c>
      <c r="I80" s="552" t="s">
        <v>138</v>
      </c>
      <c r="J80" s="552"/>
      <c r="K80" s="554"/>
      <c r="L80" s="564"/>
    </row>
    <row r="81" spans="1:12" ht="14.25">
      <c r="A81" s="545"/>
      <c r="B81" s="560"/>
      <c r="C81" s="552"/>
      <c r="D81" s="552"/>
      <c r="E81" s="618"/>
      <c r="F81" s="552"/>
      <c r="G81" s="552"/>
      <c r="H81" s="552"/>
      <c r="I81" s="552"/>
      <c r="J81" s="552"/>
      <c r="K81" s="554"/>
      <c r="L81" s="564"/>
    </row>
    <row r="82" spans="1:12" ht="14.25">
      <c r="A82" s="545"/>
      <c r="B82" s="565"/>
      <c r="C82" s="566" t="s">
        <v>139</v>
      </c>
      <c r="D82" s="566"/>
      <c r="E82" s="619"/>
      <c r="F82" s="566" t="s">
        <v>135</v>
      </c>
      <c r="G82" s="566"/>
      <c r="H82" s="566"/>
      <c r="I82" s="566"/>
      <c r="J82" s="566" t="s">
        <v>140</v>
      </c>
      <c r="K82" s="567"/>
      <c r="L82" s="564"/>
    </row>
    <row r="83" spans="1:12" ht="14.25">
      <c r="A83" s="545"/>
      <c r="B83" s="560" t="s">
        <v>676</v>
      </c>
      <c r="C83" s="779">
        <f>H80</f>
        <v>11500</v>
      </c>
      <c r="D83" s="779"/>
      <c r="E83" s="618" t="s">
        <v>711</v>
      </c>
      <c r="F83" s="562">
        <f>H77</f>
        <v>0.16025641025641027</v>
      </c>
      <c r="G83" s="618" t="s">
        <v>110</v>
      </c>
      <c r="H83" s="618">
        <v>1000</v>
      </c>
      <c r="I83" s="618" t="s">
        <v>109</v>
      </c>
      <c r="J83" s="620">
        <f>C83*F83/H83</f>
        <v>1.842948717948718</v>
      </c>
      <c r="K83" s="554"/>
      <c r="L83" s="564"/>
    </row>
    <row r="84" spans="1:12" ht="15" thickBot="1">
      <c r="A84" s="545"/>
      <c r="B84" s="555"/>
      <c r="C84" s="568"/>
      <c r="D84" s="568"/>
      <c r="E84" s="569"/>
      <c r="F84" s="570"/>
      <c r="G84" s="569"/>
      <c r="H84" s="569"/>
      <c r="I84" s="569"/>
      <c r="J84" s="571"/>
      <c r="K84" s="557"/>
      <c r="L84" s="564"/>
    </row>
    <row r="85" spans="1:12" ht="40.5" customHeight="1">
      <c r="A85" s="545"/>
      <c r="B85" s="782" t="s">
        <v>101</v>
      </c>
      <c r="C85" s="782"/>
      <c r="D85" s="782"/>
      <c r="E85" s="782"/>
      <c r="F85" s="782"/>
      <c r="G85" s="782"/>
      <c r="H85" s="782"/>
      <c r="I85" s="782"/>
      <c r="J85" s="782"/>
      <c r="K85" s="782"/>
      <c r="L85" s="545"/>
    </row>
    <row r="86" spans="1:12" ht="14.25">
      <c r="A86" s="545"/>
      <c r="B86" s="784" t="s">
        <v>141</v>
      </c>
      <c r="C86" s="784"/>
      <c r="D86" s="784"/>
      <c r="E86" s="784"/>
      <c r="F86" s="784"/>
      <c r="G86" s="784"/>
      <c r="H86" s="784"/>
      <c r="I86" s="784"/>
      <c r="J86" s="784"/>
      <c r="K86" s="784"/>
      <c r="L86" s="545"/>
    </row>
    <row r="87" spans="1:12" ht="14.25">
      <c r="A87" s="545"/>
      <c r="B87" s="572"/>
      <c r="C87" s="572"/>
      <c r="D87" s="572"/>
      <c r="E87" s="572"/>
      <c r="F87" s="572"/>
      <c r="G87" s="572"/>
      <c r="H87" s="572"/>
      <c r="I87" s="572"/>
      <c r="J87" s="572"/>
      <c r="K87" s="572"/>
      <c r="L87" s="545"/>
    </row>
    <row r="88" spans="1:12" ht="14.25">
      <c r="A88" s="545"/>
      <c r="B88" s="784" t="s">
        <v>142</v>
      </c>
      <c r="C88" s="784"/>
      <c r="D88" s="784"/>
      <c r="E88" s="784"/>
      <c r="F88" s="784"/>
      <c r="G88" s="784"/>
      <c r="H88" s="784"/>
      <c r="I88" s="784"/>
      <c r="J88" s="784"/>
      <c r="K88" s="784"/>
      <c r="L88" s="545"/>
    </row>
    <row r="89" spans="1:12" ht="14.25">
      <c r="A89" s="545"/>
      <c r="B89" s="612"/>
      <c r="C89" s="612"/>
      <c r="D89" s="612"/>
      <c r="E89" s="612"/>
      <c r="F89" s="612"/>
      <c r="G89" s="612"/>
      <c r="H89" s="612"/>
      <c r="I89" s="612"/>
      <c r="J89" s="612"/>
      <c r="K89" s="612"/>
      <c r="L89" s="545"/>
    </row>
    <row r="90" spans="1:12" ht="45" customHeight="1">
      <c r="A90" s="545"/>
      <c r="B90" s="780" t="s">
        <v>143</v>
      </c>
      <c r="C90" s="780"/>
      <c r="D90" s="780"/>
      <c r="E90" s="780"/>
      <c r="F90" s="780"/>
      <c r="G90" s="780"/>
      <c r="H90" s="780"/>
      <c r="I90" s="780"/>
      <c r="J90" s="780"/>
      <c r="K90" s="780"/>
      <c r="L90" s="545"/>
    </row>
    <row r="91" spans="1:12" ht="15" customHeight="1" thickBot="1">
      <c r="A91" s="545"/>
      <c r="L91" s="545"/>
    </row>
    <row r="92" spans="1:12" ht="15" customHeight="1">
      <c r="A92" s="545"/>
      <c r="B92" s="532" t="s">
        <v>105</v>
      </c>
      <c r="C92" s="573"/>
      <c r="D92" s="573"/>
      <c r="E92" s="573"/>
      <c r="F92" s="573"/>
      <c r="G92" s="573"/>
      <c r="H92" s="573"/>
      <c r="I92" s="573"/>
      <c r="J92" s="573"/>
      <c r="K92" s="574"/>
      <c r="L92" s="545"/>
    </row>
    <row r="93" spans="1:12" ht="15" customHeight="1">
      <c r="A93" s="545"/>
      <c r="B93" s="575"/>
      <c r="C93" s="615" t="s">
        <v>111</v>
      </c>
      <c r="D93" s="615"/>
      <c r="E93" s="615"/>
      <c r="F93" s="615"/>
      <c r="G93" s="615"/>
      <c r="H93" s="615"/>
      <c r="I93" s="615"/>
      <c r="J93" s="615"/>
      <c r="K93" s="576"/>
      <c r="L93" s="545"/>
    </row>
    <row r="94" spans="1:12" ht="15" customHeight="1">
      <c r="A94" s="545"/>
      <c r="B94" s="575" t="s">
        <v>132</v>
      </c>
      <c r="C94" s="778">
        <v>312000000</v>
      </c>
      <c r="D94" s="778"/>
      <c r="E94" s="618" t="s">
        <v>110</v>
      </c>
      <c r="F94" s="618">
        <v>1000</v>
      </c>
      <c r="G94" s="618" t="s">
        <v>109</v>
      </c>
      <c r="H94" s="617">
        <f>C94/F94</f>
        <v>312000</v>
      </c>
      <c r="I94" s="615" t="s">
        <v>133</v>
      </c>
      <c r="J94" s="615"/>
      <c r="K94" s="576"/>
      <c r="L94" s="545"/>
    </row>
    <row r="95" spans="1:12" ht="15" customHeight="1">
      <c r="A95" s="545"/>
      <c r="B95" s="575"/>
      <c r="C95" s="615"/>
      <c r="D95" s="615"/>
      <c r="E95" s="618"/>
      <c r="F95" s="615"/>
      <c r="G95" s="615"/>
      <c r="H95" s="615"/>
      <c r="I95" s="615"/>
      <c r="J95" s="615"/>
      <c r="K95" s="576"/>
      <c r="L95" s="545"/>
    </row>
    <row r="96" spans="1:12" ht="15" customHeight="1">
      <c r="A96" s="545"/>
      <c r="B96" s="575"/>
      <c r="C96" s="615" t="s">
        <v>134</v>
      </c>
      <c r="D96" s="615"/>
      <c r="E96" s="618"/>
      <c r="F96" s="615" t="s">
        <v>133</v>
      </c>
      <c r="G96" s="615"/>
      <c r="H96" s="615"/>
      <c r="I96" s="615"/>
      <c r="J96" s="615"/>
      <c r="K96" s="576"/>
      <c r="L96" s="545"/>
    </row>
    <row r="97" spans="1:12" ht="15" customHeight="1">
      <c r="A97" s="545"/>
      <c r="B97" s="575" t="s">
        <v>137</v>
      </c>
      <c r="C97" s="778">
        <v>50000</v>
      </c>
      <c r="D97" s="778"/>
      <c r="E97" s="618" t="s">
        <v>110</v>
      </c>
      <c r="F97" s="617">
        <f>H94</f>
        <v>312000</v>
      </c>
      <c r="G97" s="618" t="s">
        <v>109</v>
      </c>
      <c r="H97" s="562">
        <f>C97/F97</f>
        <v>0.16025641025641027</v>
      </c>
      <c r="I97" s="615" t="s">
        <v>135</v>
      </c>
      <c r="J97" s="615"/>
      <c r="K97" s="576"/>
      <c r="L97" s="545"/>
    </row>
    <row r="98" spans="1:12" ht="15" customHeight="1">
      <c r="A98" s="545"/>
      <c r="B98" s="575"/>
      <c r="C98" s="615"/>
      <c r="D98" s="615"/>
      <c r="E98" s="618"/>
      <c r="F98" s="615"/>
      <c r="G98" s="615"/>
      <c r="H98" s="615"/>
      <c r="I98" s="615"/>
      <c r="J98" s="615"/>
      <c r="K98" s="576"/>
      <c r="L98" s="545"/>
    </row>
    <row r="99" spans="1:12" ht="15" customHeight="1">
      <c r="A99" s="545"/>
      <c r="B99" s="577"/>
      <c r="C99" s="578" t="s">
        <v>144</v>
      </c>
      <c r="D99" s="578"/>
      <c r="E99" s="619"/>
      <c r="F99" s="578"/>
      <c r="G99" s="578"/>
      <c r="H99" s="578"/>
      <c r="I99" s="578"/>
      <c r="J99" s="578"/>
      <c r="K99" s="579"/>
      <c r="L99" s="545"/>
    </row>
    <row r="100" spans="1:12" ht="15" customHeight="1">
      <c r="A100" s="545"/>
      <c r="B100" s="575" t="s">
        <v>675</v>
      </c>
      <c r="C100" s="778">
        <v>2500000</v>
      </c>
      <c r="D100" s="778"/>
      <c r="E100" s="618" t="s">
        <v>711</v>
      </c>
      <c r="F100" s="580">
        <v>0.3</v>
      </c>
      <c r="G100" s="618" t="s">
        <v>109</v>
      </c>
      <c r="H100" s="617">
        <f>C100*F100</f>
        <v>750000</v>
      </c>
      <c r="I100" s="615" t="s">
        <v>138</v>
      </c>
      <c r="J100" s="615"/>
      <c r="K100" s="576"/>
      <c r="L100" s="545"/>
    </row>
    <row r="101" spans="1:12" ht="15" customHeight="1">
      <c r="A101" s="545"/>
      <c r="B101" s="575"/>
      <c r="C101" s="615"/>
      <c r="D101" s="615"/>
      <c r="E101" s="618"/>
      <c r="F101" s="615"/>
      <c r="G101" s="615"/>
      <c r="H101" s="615"/>
      <c r="I101" s="615"/>
      <c r="J101" s="615"/>
      <c r="K101" s="576"/>
      <c r="L101" s="545"/>
    </row>
    <row r="102" spans="1:12" ht="15" customHeight="1">
      <c r="A102" s="545"/>
      <c r="B102" s="577"/>
      <c r="C102" s="578" t="s">
        <v>139</v>
      </c>
      <c r="D102" s="578"/>
      <c r="E102" s="619"/>
      <c r="F102" s="578" t="s">
        <v>135</v>
      </c>
      <c r="G102" s="578"/>
      <c r="H102" s="578"/>
      <c r="I102" s="578"/>
      <c r="J102" s="578" t="s">
        <v>140</v>
      </c>
      <c r="K102" s="579"/>
      <c r="L102" s="545"/>
    </row>
    <row r="103" spans="1:12" ht="15" customHeight="1">
      <c r="A103" s="545"/>
      <c r="B103" s="575" t="s">
        <v>676</v>
      </c>
      <c r="C103" s="779">
        <f>H100</f>
        <v>750000</v>
      </c>
      <c r="D103" s="779"/>
      <c r="E103" s="618" t="s">
        <v>711</v>
      </c>
      <c r="F103" s="562">
        <f>H97</f>
        <v>0.16025641025641027</v>
      </c>
      <c r="G103" s="618" t="s">
        <v>110</v>
      </c>
      <c r="H103" s="618">
        <v>1000</v>
      </c>
      <c r="I103" s="618" t="s">
        <v>109</v>
      </c>
      <c r="J103" s="620">
        <f>C103*F103/H103</f>
        <v>120.19230769230771</v>
      </c>
      <c r="K103" s="576"/>
      <c r="L103" s="545"/>
    </row>
    <row r="104" spans="1:12" ht="15" customHeight="1" thickBot="1">
      <c r="A104" s="545"/>
      <c r="B104" s="581"/>
      <c r="C104" s="568"/>
      <c r="D104" s="568"/>
      <c r="E104" s="569"/>
      <c r="F104" s="570"/>
      <c r="G104" s="569"/>
      <c r="H104" s="569"/>
      <c r="I104" s="569"/>
      <c r="J104" s="571"/>
      <c r="K104" s="616"/>
      <c r="L104" s="545"/>
    </row>
    <row r="105" spans="1:12" ht="40.5" customHeight="1">
      <c r="A105" s="545"/>
      <c r="B105" s="782" t="s">
        <v>101</v>
      </c>
      <c r="C105" s="806"/>
      <c r="D105" s="806"/>
      <c r="E105" s="806"/>
      <c r="F105" s="806"/>
      <c r="G105" s="806"/>
      <c r="H105" s="806"/>
      <c r="I105" s="806"/>
      <c r="J105" s="806"/>
      <c r="K105" s="806"/>
      <c r="L105" s="545"/>
    </row>
    <row r="106" spans="1:12" ht="15" customHeight="1">
      <c r="A106" s="545"/>
      <c r="B106" s="807" t="s">
        <v>145</v>
      </c>
      <c r="C106" s="785"/>
      <c r="D106" s="785"/>
      <c r="E106" s="785"/>
      <c r="F106" s="785"/>
      <c r="G106" s="785"/>
      <c r="H106" s="785"/>
      <c r="I106" s="785"/>
      <c r="J106" s="785"/>
      <c r="K106" s="785"/>
      <c r="L106" s="545"/>
    </row>
    <row r="107" spans="1:12" ht="15" customHeight="1">
      <c r="A107" s="545"/>
      <c r="B107" s="615"/>
      <c r="C107" s="582"/>
      <c r="D107" s="582"/>
      <c r="E107" s="618"/>
      <c r="F107" s="562"/>
      <c r="G107" s="618"/>
      <c r="H107" s="618"/>
      <c r="I107" s="618"/>
      <c r="J107" s="620"/>
      <c r="K107" s="615"/>
      <c r="L107" s="545"/>
    </row>
    <row r="108" spans="1:12" ht="15" customHeight="1">
      <c r="A108" s="545"/>
      <c r="B108" s="807" t="s">
        <v>146</v>
      </c>
      <c r="C108" s="808"/>
      <c r="D108" s="808"/>
      <c r="E108" s="808"/>
      <c r="F108" s="808"/>
      <c r="G108" s="808"/>
      <c r="H108" s="808"/>
      <c r="I108" s="808"/>
      <c r="J108" s="808"/>
      <c r="K108" s="808"/>
      <c r="L108" s="545"/>
    </row>
    <row r="109" spans="1:12" ht="15" customHeight="1">
      <c r="A109" s="545"/>
      <c r="B109" s="615"/>
      <c r="C109" s="582"/>
      <c r="D109" s="582"/>
      <c r="E109" s="618"/>
      <c r="F109" s="562"/>
      <c r="G109" s="618"/>
      <c r="H109" s="618"/>
      <c r="I109" s="618"/>
      <c r="J109" s="620"/>
      <c r="K109" s="615"/>
      <c r="L109" s="545"/>
    </row>
    <row r="110" spans="1:12" ht="59.25" customHeight="1">
      <c r="A110" s="545"/>
      <c r="B110" s="795" t="s">
        <v>147</v>
      </c>
      <c r="C110" s="781"/>
      <c r="D110" s="781"/>
      <c r="E110" s="781"/>
      <c r="F110" s="781"/>
      <c r="G110" s="781"/>
      <c r="H110" s="781"/>
      <c r="I110" s="781"/>
      <c r="J110" s="781"/>
      <c r="K110" s="781"/>
      <c r="L110" s="545"/>
    </row>
    <row r="111" spans="1:12" ht="15" thickBot="1">
      <c r="A111" s="545"/>
      <c r="B111" s="613"/>
      <c r="C111" s="613"/>
      <c r="D111" s="613"/>
      <c r="E111" s="613"/>
      <c r="F111" s="613"/>
      <c r="G111" s="613"/>
      <c r="H111" s="613"/>
      <c r="I111" s="613"/>
      <c r="J111" s="613"/>
      <c r="K111" s="613"/>
      <c r="L111" s="583"/>
    </row>
    <row r="112" spans="1:12" ht="14.25">
      <c r="A112" s="545"/>
      <c r="B112" s="529" t="s">
        <v>105</v>
      </c>
      <c r="C112" s="549"/>
      <c r="D112" s="549"/>
      <c r="E112" s="549"/>
      <c r="F112" s="549"/>
      <c r="G112" s="549"/>
      <c r="H112" s="549"/>
      <c r="I112" s="549"/>
      <c r="J112" s="549"/>
      <c r="K112" s="550"/>
      <c r="L112" s="545"/>
    </row>
    <row r="113" spans="1:12" ht="14.25">
      <c r="A113" s="545"/>
      <c r="B113" s="560"/>
      <c r="C113" s="552" t="s">
        <v>111</v>
      </c>
      <c r="D113" s="552"/>
      <c r="E113" s="552"/>
      <c r="F113" s="552"/>
      <c r="G113" s="552"/>
      <c r="H113" s="552"/>
      <c r="I113" s="552"/>
      <c r="J113" s="552"/>
      <c r="K113" s="554"/>
      <c r="L113" s="545"/>
    </row>
    <row r="114" spans="1:12" ht="14.25">
      <c r="A114" s="545"/>
      <c r="B114" s="560" t="s">
        <v>132</v>
      </c>
      <c r="C114" s="778">
        <v>312000000</v>
      </c>
      <c r="D114" s="778"/>
      <c r="E114" s="618" t="s">
        <v>110</v>
      </c>
      <c r="F114" s="618">
        <v>1000</v>
      </c>
      <c r="G114" s="618" t="s">
        <v>109</v>
      </c>
      <c r="H114" s="617">
        <f>C114/F114</f>
        <v>312000</v>
      </c>
      <c r="I114" s="552" t="s">
        <v>133</v>
      </c>
      <c r="J114" s="552"/>
      <c r="K114" s="554"/>
      <c r="L114" s="545"/>
    </row>
    <row r="115" spans="1:12" ht="14.25">
      <c r="A115" s="545"/>
      <c r="B115" s="560"/>
      <c r="C115" s="552"/>
      <c r="D115" s="552"/>
      <c r="E115" s="618"/>
      <c r="F115" s="552"/>
      <c r="G115" s="552"/>
      <c r="H115" s="552"/>
      <c r="I115" s="552"/>
      <c r="J115" s="552"/>
      <c r="K115" s="554"/>
      <c r="L115" s="545"/>
    </row>
    <row r="116" spans="1:12" ht="14.25">
      <c r="A116" s="545"/>
      <c r="B116" s="560"/>
      <c r="C116" s="552" t="s">
        <v>134</v>
      </c>
      <c r="D116" s="552"/>
      <c r="E116" s="618"/>
      <c r="F116" s="552" t="s">
        <v>133</v>
      </c>
      <c r="G116" s="552"/>
      <c r="H116" s="552"/>
      <c r="I116" s="552"/>
      <c r="J116" s="552"/>
      <c r="K116" s="554"/>
      <c r="L116" s="545"/>
    </row>
    <row r="117" spans="1:12" ht="14.25">
      <c r="A117" s="545"/>
      <c r="B117" s="560" t="s">
        <v>137</v>
      </c>
      <c r="C117" s="778">
        <v>50000</v>
      </c>
      <c r="D117" s="778"/>
      <c r="E117" s="618" t="s">
        <v>110</v>
      </c>
      <c r="F117" s="617">
        <f>H114</f>
        <v>312000</v>
      </c>
      <c r="G117" s="618" t="s">
        <v>109</v>
      </c>
      <c r="H117" s="562">
        <f>C117/F117</f>
        <v>0.16025641025641027</v>
      </c>
      <c r="I117" s="552" t="s">
        <v>135</v>
      </c>
      <c r="J117" s="552"/>
      <c r="K117" s="554"/>
      <c r="L117" s="545"/>
    </row>
    <row r="118" spans="1:12" ht="14.25">
      <c r="A118" s="545"/>
      <c r="B118" s="560"/>
      <c r="C118" s="552"/>
      <c r="D118" s="552"/>
      <c r="E118" s="618"/>
      <c r="F118" s="552"/>
      <c r="G118" s="552"/>
      <c r="H118" s="552"/>
      <c r="I118" s="552"/>
      <c r="J118" s="552"/>
      <c r="K118" s="554"/>
      <c r="L118" s="545"/>
    </row>
    <row r="119" spans="1:12" ht="14.25">
      <c r="A119" s="545"/>
      <c r="B119" s="565"/>
      <c r="C119" s="566" t="s">
        <v>144</v>
      </c>
      <c r="D119" s="566"/>
      <c r="E119" s="619"/>
      <c r="F119" s="566"/>
      <c r="G119" s="566"/>
      <c r="H119" s="566"/>
      <c r="I119" s="566"/>
      <c r="J119" s="566"/>
      <c r="K119" s="567"/>
      <c r="L119" s="545"/>
    </row>
    <row r="120" spans="1:12" ht="14.25">
      <c r="A120" s="545"/>
      <c r="B120" s="560" t="s">
        <v>675</v>
      </c>
      <c r="C120" s="778">
        <v>2500000</v>
      </c>
      <c r="D120" s="778"/>
      <c r="E120" s="618" t="s">
        <v>711</v>
      </c>
      <c r="F120" s="580">
        <v>0.25</v>
      </c>
      <c r="G120" s="618" t="s">
        <v>109</v>
      </c>
      <c r="H120" s="617">
        <f>C120*F120</f>
        <v>625000</v>
      </c>
      <c r="I120" s="552" t="s">
        <v>138</v>
      </c>
      <c r="J120" s="552"/>
      <c r="K120" s="554"/>
      <c r="L120" s="545"/>
    </row>
    <row r="121" spans="1:12" ht="14.25">
      <c r="A121" s="545"/>
      <c r="B121" s="560"/>
      <c r="C121" s="552"/>
      <c r="D121" s="552"/>
      <c r="E121" s="618"/>
      <c r="F121" s="552"/>
      <c r="G121" s="552"/>
      <c r="H121" s="552"/>
      <c r="I121" s="552"/>
      <c r="J121" s="552"/>
      <c r="K121" s="554"/>
      <c r="L121" s="545"/>
    </row>
    <row r="122" spans="1:12" ht="14.25">
      <c r="A122" s="545"/>
      <c r="B122" s="565"/>
      <c r="C122" s="566" t="s">
        <v>139</v>
      </c>
      <c r="D122" s="566"/>
      <c r="E122" s="619"/>
      <c r="F122" s="566" t="s">
        <v>135</v>
      </c>
      <c r="G122" s="566"/>
      <c r="H122" s="566"/>
      <c r="I122" s="566"/>
      <c r="J122" s="566" t="s">
        <v>140</v>
      </c>
      <c r="K122" s="567"/>
      <c r="L122" s="545"/>
    </row>
    <row r="123" spans="1:12" ht="14.25">
      <c r="A123" s="545"/>
      <c r="B123" s="560" t="s">
        <v>676</v>
      </c>
      <c r="C123" s="779">
        <f>H120</f>
        <v>625000</v>
      </c>
      <c r="D123" s="779"/>
      <c r="E123" s="618" t="s">
        <v>711</v>
      </c>
      <c r="F123" s="562">
        <f>H117</f>
        <v>0.16025641025641027</v>
      </c>
      <c r="G123" s="618" t="s">
        <v>110</v>
      </c>
      <c r="H123" s="618">
        <v>1000</v>
      </c>
      <c r="I123" s="618" t="s">
        <v>109</v>
      </c>
      <c r="J123" s="620">
        <f>C123*F123/H123</f>
        <v>100.16025641025642</v>
      </c>
      <c r="K123" s="554"/>
      <c r="L123" s="545"/>
    </row>
    <row r="124" spans="1:12" ht="15" thickBot="1">
      <c r="A124" s="545"/>
      <c r="B124" s="555"/>
      <c r="C124" s="568"/>
      <c r="D124" s="568"/>
      <c r="E124" s="569"/>
      <c r="F124" s="570"/>
      <c r="G124" s="569"/>
      <c r="H124" s="569"/>
      <c r="I124" s="569"/>
      <c r="J124" s="571"/>
      <c r="K124" s="557"/>
      <c r="L124" s="545"/>
    </row>
    <row r="125" spans="1:12" ht="40.5" customHeight="1">
      <c r="A125" s="545"/>
      <c r="B125" s="782" t="s">
        <v>101</v>
      </c>
      <c r="C125" s="782"/>
      <c r="D125" s="782"/>
      <c r="E125" s="782"/>
      <c r="F125" s="782"/>
      <c r="G125" s="782"/>
      <c r="H125" s="782"/>
      <c r="I125" s="782"/>
      <c r="J125" s="782"/>
      <c r="K125" s="782"/>
      <c r="L125" s="583"/>
    </row>
    <row r="126" spans="1:12" ht="14.25">
      <c r="A126" s="545"/>
      <c r="B126" s="784" t="s">
        <v>148</v>
      </c>
      <c r="C126" s="784"/>
      <c r="D126" s="784"/>
      <c r="E126" s="784"/>
      <c r="F126" s="784"/>
      <c r="G126" s="784"/>
      <c r="H126" s="784"/>
      <c r="I126" s="784"/>
      <c r="J126" s="784"/>
      <c r="K126" s="784"/>
      <c r="L126" s="583"/>
    </row>
    <row r="127" spans="1:12" ht="14.25">
      <c r="A127" s="545"/>
      <c r="B127" s="613"/>
      <c r="C127" s="613"/>
      <c r="D127" s="613"/>
      <c r="E127" s="613"/>
      <c r="F127" s="613"/>
      <c r="G127" s="613"/>
      <c r="H127" s="613"/>
      <c r="I127" s="613"/>
      <c r="J127" s="613"/>
      <c r="K127" s="613"/>
      <c r="L127" s="583"/>
    </row>
    <row r="128" spans="1:12" ht="14.25">
      <c r="A128" s="545"/>
      <c r="B128" s="784" t="s">
        <v>149</v>
      </c>
      <c r="C128" s="784"/>
      <c r="D128" s="784"/>
      <c r="E128" s="784"/>
      <c r="F128" s="784"/>
      <c r="G128" s="784"/>
      <c r="H128" s="784"/>
      <c r="I128" s="784"/>
      <c r="J128" s="784"/>
      <c r="K128" s="784"/>
      <c r="L128" s="583"/>
    </row>
    <row r="129" spans="1:12" ht="14.25">
      <c r="A129" s="545"/>
      <c r="B129" s="612"/>
      <c r="C129" s="612"/>
      <c r="D129" s="612"/>
      <c r="E129" s="612"/>
      <c r="F129" s="612"/>
      <c r="G129" s="612"/>
      <c r="H129" s="612"/>
      <c r="I129" s="612"/>
      <c r="J129" s="612"/>
      <c r="K129" s="612"/>
      <c r="L129" s="583"/>
    </row>
    <row r="130" spans="1:12" ht="74.25" customHeight="1">
      <c r="A130" s="545"/>
      <c r="B130" s="780" t="s">
        <v>677</v>
      </c>
      <c r="C130" s="780"/>
      <c r="D130" s="780"/>
      <c r="E130" s="780"/>
      <c r="F130" s="780"/>
      <c r="G130" s="780"/>
      <c r="H130" s="780"/>
      <c r="I130" s="780"/>
      <c r="J130" s="780"/>
      <c r="K130" s="780"/>
      <c r="L130" s="583"/>
    </row>
    <row r="131" spans="1:12" ht="15" thickBot="1">
      <c r="A131" s="545"/>
      <c r="L131" s="545"/>
    </row>
    <row r="132" spans="1:12" ht="14.25">
      <c r="A132" s="545"/>
      <c r="B132" s="529" t="s">
        <v>105</v>
      </c>
      <c r="C132" s="549"/>
      <c r="D132" s="549"/>
      <c r="E132" s="549"/>
      <c r="F132" s="549"/>
      <c r="G132" s="549"/>
      <c r="H132" s="549"/>
      <c r="I132" s="549"/>
      <c r="J132" s="549"/>
      <c r="K132" s="550"/>
      <c r="L132" s="545"/>
    </row>
    <row r="133" spans="1:12" ht="14.25">
      <c r="A133" s="545"/>
      <c r="B133" s="560"/>
      <c r="C133" s="799" t="s">
        <v>150</v>
      </c>
      <c r="D133" s="799"/>
      <c r="E133" s="552"/>
      <c r="F133" s="618" t="s">
        <v>151</v>
      </c>
      <c r="G133" s="552"/>
      <c r="H133" s="799" t="s">
        <v>138</v>
      </c>
      <c r="I133" s="799"/>
      <c r="J133" s="552"/>
      <c r="K133" s="554"/>
      <c r="L133" s="545"/>
    </row>
    <row r="134" spans="1:12" ht="14.25">
      <c r="A134" s="545"/>
      <c r="B134" s="560" t="s">
        <v>132</v>
      </c>
      <c r="C134" s="778">
        <v>100000</v>
      </c>
      <c r="D134" s="778"/>
      <c r="E134" s="618" t="s">
        <v>711</v>
      </c>
      <c r="F134" s="618">
        <v>0.115</v>
      </c>
      <c r="G134" s="618" t="s">
        <v>109</v>
      </c>
      <c r="H134" s="800">
        <f>C134*F134</f>
        <v>11500</v>
      </c>
      <c r="I134" s="800"/>
      <c r="J134" s="552"/>
      <c r="K134" s="554"/>
      <c r="L134" s="545"/>
    </row>
    <row r="135" spans="1:12" ht="14.25">
      <c r="A135" s="545"/>
      <c r="B135" s="560"/>
      <c r="C135" s="552"/>
      <c r="D135" s="552"/>
      <c r="E135" s="552"/>
      <c r="F135" s="552"/>
      <c r="G135" s="552"/>
      <c r="H135" s="552"/>
      <c r="I135" s="552"/>
      <c r="J135" s="552"/>
      <c r="K135" s="554"/>
      <c r="L135" s="545"/>
    </row>
    <row r="136" spans="1:12" ht="14.25">
      <c r="A136" s="545"/>
      <c r="B136" s="565"/>
      <c r="C136" s="801" t="s">
        <v>138</v>
      </c>
      <c r="D136" s="801"/>
      <c r="E136" s="566"/>
      <c r="F136" s="619" t="s">
        <v>152</v>
      </c>
      <c r="G136" s="619"/>
      <c r="H136" s="566"/>
      <c r="I136" s="566"/>
      <c r="J136" s="566" t="s">
        <v>153</v>
      </c>
      <c r="K136" s="567"/>
      <c r="L136" s="545"/>
    </row>
    <row r="137" spans="1:12" ht="14.25">
      <c r="A137" s="545"/>
      <c r="B137" s="560" t="s">
        <v>137</v>
      </c>
      <c r="C137" s="800">
        <f>H134</f>
        <v>11500</v>
      </c>
      <c r="D137" s="800"/>
      <c r="E137" s="618" t="s">
        <v>711</v>
      </c>
      <c r="F137" s="584">
        <v>52.869</v>
      </c>
      <c r="G137" s="618" t="s">
        <v>110</v>
      </c>
      <c r="H137" s="618">
        <v>1000</v>
      </c>
      <c r="I137" s="618" t="s">
        <v>109</v>
      </c>
      <c r="J137" s="585">
        <f>C137*F137/H137</f>
        <v>607.9935</v>
      </c>
      <c r="K137" s="554"/>
      <c r="L137" s="545"/>
    </row>
    <row r="138" spans="1:12" ht="15" thickBot="1">
      <c r="A138" s="545"/>
      <c r="B138" s="555"/>
      <c r="C138" s="586"/>
      <c r="D138" s="586"/>
      <c r="E138" s="569"/>
      <c r="F138" s="587"/>
      <c r="G138" s="569"/>
      <c r="H138" s="569"/>
      <c r="I138" s="569"/>
      <c r="J138" s="588"/>
      <c r="K138" s="557"/>
      <c r="L138" s="545"/>
    </row>
    <row r="139" spans="1:12" ht="40.5" customHeight="1">
      <c r="A139" s="545"/>
      <c r="B139" s="533" t="s">
        <v>101</v>
      </c>
      <c r="C139" s="534"/>
      <c r="D139" s="534"/>
      <c r="E139" s="535"/>
      <c r="F139" s="536"/>
      <c r="G139" s="535"/>
      <c r="H139" s="535"/>
      <c r="I139" s="535"/>
      <c r="J139" s="537"/>
      <c r="K139" s="538"/>
      <c r="L139" s="545"/>
    </row>
    <row r="140" spans="1:12" ht="14.25">
      <c r="A140" s="545"/>
      <c r="B140" s="539" t="s">
        <v>678</v>
      </c>
      <c r="C140" s="540"/>
      <c r="D140" s="540"/>
      <c r="E140" s="541"/>
      <c r="F140" s="542"/>
      <c r="G140" s="541"/>
      <c r="H140" s="541"/>
      <c r="I140" s="541"/>
      <c r="J140" s="543"/>
      <c r="K140" s="544"/>
      <c r="L140" s="545"/>
    </row>
    <row r="141" spans="1:12" ht="14.25">
      <c r="A141" s="545"/>
      <c r="B141" s="560"/>
      <c r="C141" s="617"/>
      <c r="D141" s="617"/>
      <c r="E141" s="618"/>
      <c r="F141" s="589"/>
      <c r="G141" s="618"/>
      <c r="H141" s="618"/>
      <c r="I141" s="618"/>
      <c r="J141" s="585"/>
      <c r="K141" s="554"/>
      <c r="L141" s="545"/>
    </row>
    <row r="142" spans="1:12" ht="14.25">
      <c r="A142" s="545"/>
      <c r="B142" s="539" t="s">
        <v>679</v>
      </c>
      <c r="C142" s="540"/>
      <c r="D142" s="540"/>
      <c r="E142" s="541"/>
      <c r="F142" s="542"/>
      <c r="G142" s="541"/>
      <c r="H142" s="541"/>
      <c r="I142" s="541"/>
      <c r="J142" s="543"/>
      <c r="K142" s="544"/>
      <c r="L142" s="545"/>
    </row>
    <row r="143" spans="1:12" ht="14.25">
      <c r="A143" s="545"/>
      <c r="B143" s="560"/>
      <c r="C143" s="617"/>
      <c r="D143" s="617"/>
      <c r="E143" s="618"/>
      <c r="F143" s="589"/>
      <c r="G143" s="618"/>
      <c r="H143" s="618"/>
      <c r="I143" s="618"/>
      <c r="J143" s="585"/>
      <c r="K143" s="554"/>
      <c r="L143" s="545"/>
    </row>
    <row r="144" spans="1:12" ht="76.5" customHeight="1">
      <c r="A144" s="545"/>
      <c r="B144" s="802" t="s">
        <v>680</v>
      </c>
      <c r="C144" s="803"/>
      <c r="D144" s="803"/>
      <c r="E144" s="803"/>
      <c r="F144" s="803"/>
      <c r="G144" s="803"/>
      <c r="H144" s="803"/>
      <c r="I144" s="803"/>
      <c r="J144" s="803"/>
      <c r="K144" s="804"/>
      <c r="L144" s="545"/>
    </row>
    <row r="145" spans="1:12" ht="15" thickBot="1">
      <c r="A145" s="545"/>
      <c r="B145" s="560"/>
      <c r="C145" s="617"/>
      <c r="D145" s="617"/>
      <c r="E145" s="618"/>
      <c r="F145" s="589"/>
      <c r="G145" s="618"/>
      <c r="H145" s="618"/>
      <c r="I145" s="618"/>
      <c r="J145" s="585"/>
      <c r="K145" s="554"/>
      <c r="L145" s="545"/>
    </row>
    <row r="146" spans="1:12" ht="14.25">
      <c r="A146" s="545"/>
      <c r="B146" s="529" t="s">
        <v>105</v>
      </c>
      <c r="C146" s="590"/>
      <c r="D146" s="590"/>
      <c r="E146" s="591"/>
      <c r="F146" s="592"/>
      <c r="G146" s="591"/>
      <c r="H146" s="591"/>
      <c r="I146" s="591"/>
      <c r="J146" s="593"/>
      <c r="K146" s="550"/>
      <c r="L146" s="545"/>
    </row>
    <row r="147" spans="1:12" ht="14.25">
      <c r="A147" s="545"/>
      <c r="B147" s="560"/>
      <c r="C147" s="800" t="s">
        <v>681</v>
      </c>
      <c r="D147" s="800"/>
      <c r="E147" s="618"/>
      <c r="F147" s="589" t="s">
        <v>682</v>
      </c>
      <c r="G147" s="618"/>
      <c r="H147" s="618"/>
      <c r="I147" s="618"/>
      <c r="J147" s="797" t="s">
        <v>683</v>
      </c>
      <c r="K147" s="805"/>
      <c r="L147" s="545"/>
    </row>
    <row r="148" spans="1:12" ht="14.25">
      <c r="A148" s="545"/>
      <c r="B148" s="560"/>
      <c r="C148" s="796">
        <v>52.869</v>
      </c>
      <c r="D148" s="796"/>
      <c r="E148" s="618" t="s">
        <v>711</v>
      </c>
      <c r="F148" s="611">
        <v>312000000</v>
      </c>
      <c r="G148" s="594" t="s">
        <v>110</v>
      </c>
      <c r="H148" s="618">
        <v>1000</v>
      </c>
      <c r="I148" s="618" t="s">
        <v>109</v>
      </c>
      <c r="J148" s="797">
        <f>C148*(F148/1000)</f>
        <v>16495128</v>
      </c>
      <c r="K148" s="798"/>
      <c r="L148" s="545"/>
    </row>
    <row r="149" spans="1:12" ht="15" thickBot="1">
      <c r="A149" s="545"/>
      <c r="B149" s="555"/>
      <c r="C149" s="586"/>
      <c r="D149" s="586"/>
      <c r="E149" s="569"/>
      <c r="F149" s="587"/>
      <c r="G149" s="569"/>
      <c r="H149" s="569"/>
      <c r="I149" s="569"/>
      <c r="J149" s="588"/>
      <c r="K149" s="557"/>
      <c r="L149" s="545"/>
    </row>
    <row r="150" spans="1:12" ht="15" thickBot="1">
      <c r="A150" s="545"/>
      <c r="B150" s="555"/>
      <c r="C150" s="556"/>
      <c r="D150" s="556"/>
      <c r="E150" s="556"/>
      <c r="F150" s="556"/>
      <c r="G150" s="556"/>
      <c r="H150" s="556"/>
      <c r="I150" s="556"/>
      <c r="J150" s="556"/>
      <c r="K150" s="557"/>
      <c r="L150" s="545"/>
    </row>
    <row r="151" spans="1:12" ht="14.25">
      <c r="A151" s="545"/>
      <c r="B151" s="545"/>
      <c r="C151" s="545"/>
      <c r="D151" s="545"/>
      <c r="E151" s="545"/>
      <c r="F151" s="545"/>
      <c r="G151" s="545"/>
      <c r="H151" s="545"/>
      <c r="I151" s="545"/>
      <c r="J151" s="545"/>
      <c r="K151" s="545"/>
      <c r="L151" s="545"/>
    </row>
    <row r="152" spans="1:12" ht="14.25">
      <c r="A152" s="545"/>
      <c r="B152" s="545"/>
      <c r="C152" s="545"/>
      <c r="D152" s="545"/>
      <c r="E152" s="545"/>
      <c r="F152" s="545"/>
      <c r="G152" s="545"/>
      <c r="H152" s="545"/>
      <c r="I152" s="545"/>
      <c r="J152" s="545"/>
      <c r="K152" s="545"/>
      <c r="L152" s="545"/>
    </row>
    <row r="153" spans="1:12" ht="14.25">
      <c r="A153" s="545"/>
      <c r="B153" s="545"/>
      <c r="C153" s="545"/>
      <c r="D153" s="545"/>
      <c r="E153" s="545"/>
      <c r="F153" s="545"/>
      <c r="G153" s="545"/>
      <c r="H153" s="545"/>
      <c r="I153" s="545"/>
      <c r="J153" s="545"/>
      <c r="K153" s="545"/>
      <c r="L153" s="545"/>
    </row>
    <row r="154" spans="1:12" ht="14.25">
      <c r="A154" s="595"/>
      <c r="B154" s="595"/>
      <c r="C154" s="595"/>
      <c r="D154" s="595"/>
      <c r="E154" s="595"/>
      <c r="F154" s="595"/>
      <c r="G154" s="595"/>
      <c r="H154" s="595"/>
      <c r="I154" s="595"/>
      <c r="J154" s="595"/>
      <c r="K154" s="595"/>
      <c r="L154" s="595"/>
    </row>
    <row r="155" spans="1:12" ht="14.25">
      <c r="A155" s="595"/>
      <c r="B155" s="595"/>
      <c r="C155" s="595"/>
      <c r="D155" s="595"/>
      <c r="E155" s="595"/>
      <c r="F155" s="595"/>
      <c r="G155" s="595"/>
      <c r="H155" s="595"/>
      <c r="I155" s="595"/>
      <c r="J155" s="595"/>
      <c r="K155" s="595"/>
      <c r="L155" s="595"/>
    </row>
    <row r="156" spans="1:12" ht="14.25">
      <c r="A156" s="595"/>
      <c r="B156" s="595"/>
      <c r="C156" s="595"/>
      <c r="D156" s="595"/>
      <c r="E156" s="595"/>
      <c r="F156" s="595"/>
      <c r="G156" s="595"/>
      <c r="H156" s="595"/>
      <c r="I156" s="595"/>
      <c r="J156" s="595"/>
      <c r="K156" s="595"/>
      <c r="L156" s="595"/>
    </row>
    <row r="157" spans="1:12" ht="14.25">
      <c r="A157" s="595"/>
      <c r="B157" s="595"/>
      <c r="C157" s="595"/>
      <c r="D157" s="595"/>
      <c r="E157" s="595"/>
      <c r="F157" s="595"/>
      <c r="G157" s="595"/>
      <c r="H157" s="595"/>
      <c r="I157" s="595"/>
      <c r="J157" s="595"/>
      <c r="K157" s="595"/>
      <c r="L157" s="595"/>
    </row>
    <row r="158" spans="1:12" ht="14.25">
      <c r="A158" s="595"/>
      <c r="B158" s="595"/>
      <c r="C158" s="595"/>
      <c r="D158" s="595"/>
      <c r="E158" s="595"/>
      <c r="F158" s="595"/>
      <c r="G158" s="595"/>
      <c r="H158" s="595"/>
      <c r="I158" s="595"/>
      <c r="J158" s="595"/>
      <c r="K158" s="595"/>
      <c r="L158" s="595"/>
    </row>
    <row r="159" spans="1:12" ht="14.25">
      <c r="A159" s="595"/>
      <c r="B159" s="595"/>
      <c r="C159" s="595"/>
      <c r="D159" s="595"/>
      <c r="E159" s="595"/>
      <c r="F159" s="595"/>
      <c r="G159" s="595"/>
      <c r="H159" s="595"/>
      <c r="I159" s="595"/>
      <c r="J159" s="595"/>
      <c r="K159" s="595"/>
      <c r="L159" s="595"/>
    </row>
    <row r="160" spans="1:12" ht="14.25">
      <c r="A160" s="595"/>
      <c r="B160" s="595"/>
      <c r="C160" s="595"/>
      <c r="D160" s="595"/>
      <c r="E160" s="595"/>
      <c r="F160" s="595"/>
      <c r="G160" s="595"/>
      <c r="H160" s="595"/>
      <c r="I160" s="595"/>
      <c r="J160" s="595"/>
      <c r="K160" s="595"/>
      <c r="L160" s="595"/>
    </row>
    <row r="161" spans="1:12" ht="14.25">
      <c r="A161" s="595"/>
      <c r="B161" s="595"/>
      <c r="C161" s="595"/>
      <c r="D161" s="595"/>
      <c r="E161" s="595"/>
      <c r="F161" s="595"/>
      <c r="G161" s="595"/>
      <c r="H161" s="595"/>
      <c r="I161" s="595"/>
      <c r="J161" s="595"/>
      <c r="K161" s="595"/>
      <c r="L161" s="595"/>
    </row>
    <row r="162" spans="1:12" ht="14.25">
      <c r="A162" s="595"/>
      <c r="B162" s="595"/>
      <c r="C162" s="595"/>
      <c r="D162" s="595"/>
      <c r="E162" s="595"/>
      <c r="F162" s="595"/>
      <c r="G162" s="595"/>
      <c r="H162" s="595"/>
      <c r="I162" s="595"/>
      <c r="J162" s="595"/>
      <c r="K162" s="595"/>
      <c r="L162" s="595"/>
    </row>
    <row r="163" spans="1:12" ht="14.25">
      <c r="A163" s="595"/>
      <c r="B163" s="595"/>
      <c r="C163" s="595"/>
      <c r="D163" s="595"/>
      <c r="E163" s="595"/>
      <c r="F163" s="595"/>
      <c r="G163" s="595"/>
      <c r="H163" s="595"/>
      <c r="I163" s="595"/>
      <c r="J163" s="595"/>
      <c r="K163" s="595"/>
      <c r="L163" s="595"/>
    </row>
    <row r="164" spans="1:12" ht="14.25">
      <c r="A164" s="595"/>
      <c r="B164" s="595"/>
      <c r="C164" s="595"/>
      <c r="D164" s="595"/>
      <c r="E164" s="595"/>
      <c r="F164" s="595"/>
      <c r="G164" s="595"/>
      <c r="H164" s="595"/>
      <c r="I164" s="595"/>
      <c r="J164" s="595"/>
      <c r="K164" s="595"/>
      <c r="L164" s="595"/>
    </row>
    <row r="165" spans="1:12" ht="14.25">
      <c r="A165" s="595"/>
      <c r="B165" s="595"/>
      <c r="C165" s="595"/>
      <c r="D165" s="595"/>
      <c r="E165" s="595"/>
      <c r="F165" s="595"/>
      <c r="G165" s="595"/>
      <c r="H165" s="595"/>
      <c r="I165" s="595"/>
      <c r="J165" s="595"/>
      <c r="K165" s="595"/>
      <c r="L165" s="595"/>
    </row>
    <row r="166" spans="1:12" ht="14.25">
      <c r="A166" s="595"/>
      <c r="B166" s="595"/>
      <c r="C166" s="595"/>
      <c r="D166" s="595"/>
      <c r="E166" s="595"/>
      <c r="F166" s="595"/>
      <c r="G166" s="595"/>
      <c r="H166" s="595"/>
      <c r="I166" s="595"/>
      <c r="J166" s="595"/>
      <c r="K166" s="595"/>
      <c r="L166" s="595"/>
    </row>
    <row r="167" spans="1:12" ht="14.25">
      <c r="A167" s="595"/>
      <c r="B167" s="595"/>
      <c r="C167" s="595"/>
      <c r="D167" s="595"/>
      <c r="E167" s="595"/>
      <c r="F167" s="595"/>
      <c r="G167" s="595"/>
      <c r="H167" s="595"/>
      <c r="I167" s="595"/>
      <c r="J167" s="595"/>
      <c r="K167" s="595"/>
      <c r="L167" s="595"/>
    </row>
    <row r="168" spans="1:12" ht="14.25">
      <c r="A168" s="595"/>
      <c r="B168" s="595"/>
      <c r="C168" s="595"/>
      <c r="D168" s="595"/>
      <c r="E168" s="595"/>
      <c r="F168" s="595"/>
      <c r="G168" s="595"/>
      <c r="H168" s="595"/>
      <c r="I168" s="595"/>
      <c r="J168" s="595"/>
      <c r="K168" s="595"/>
      <c r="L168" s="595"/>
    </row>
    <row r="169" spans="1:12" ht="14.25">
      <c r="A169" s="595"/>
      <c r="B169" s="595"/>
      <c r="C169" s="595"/>
      <c r="D169" s="595"/>
      <c r="E169" s="595"/>
      <c r="F169" s="595"/>
      <c r="G169" s="595"/>
      <c r="H169" s="595"/>
      <c r="I169" s="595"/>
      <c r="J169" s="595"/>
      <c r="K169" s="595"/>
      <c r="L169" s="595"/>
    </row>
    <row r="170" spans="1:12" ht="14.25">
      <c r="A170" s="595"/>
      <c r="B170" s="595"/>
      <c r="C170" s="595"/>
      <c r="D170" s="595"/>
      <c r="E170" s="595"/>
      <c r="F170" s="595"/>
      <c r="G170" s="595"/>
      <c r="H170" s="595"/>
      <c r="I170" s="595"/>
      <c r="J170" s="595"/>
      <c r="K170" s="595"/>
      <c r="L170" s="595"/>
    </row>
    <row r="171" spans="1:12" ht="14.25">
      <c r="A171" s="595"/>
      <c r="B171" s="595"/>
      <c r="C171" s="595"/>
      <c r="D171" s="595"/>
      <c r="E171" s="595"/>
      <c r="F171" s="595"/>
      <c r="G171" s="595"/>
      <c r="H171" s="595"/>
      <c r="I171" s="595"/>
      <c r="J171" s="595"/>
      <c r="K171" s="595"/>
      <c r="L171" s="595"/>
    </row>
    <row r="172" spans="1:12" ht="14.25">
      <c r="A172" s="595"/>
      <c r="B172" s="595"/>
      <c r="C172" s="595"/>
      <c r="D172" s="595"/>
      <c r="E172" s="595"/>
      <c r="F172" s="595"/>
      <c r="G172" s="595"/>
      <c r="H172" s="595"/>
      <c r="I172" s="595"/>
      <c r="J172" s="595"/>
      <c r="K172" s="595"/>
      <c r="L172" s="595"/>
    </row>
    <row r="173" spans="1:12" ht="14.25">
      <c r="A173" s="595"/>
      <c r="B173" s="595"/>
      <c r="C173" s="595"/>
      <c r="D173" s="595"/>
      <c r="E173" s="595"/>
      <c r="F173" s="595"/>
      <c r="G173" s="595"/>
      <c r="H173" s="595"/>
      <c r="I173" s="595"/>
      <c r="J173" s="595"/>
      <c r="K173" s="595"/>
      <c r="L173" s="595"/>
    </row>
    <row r="174" spans="1:12" ht="14.25">
      <c r="A174" s="595"/>
      <c r="B174" s="595"/>
      <c r="C174" s="595"/>
      <c r="D174" s="595"/>
      <c r="E174" s="595"/>
      <c r="F174" s="595"/>
      <c r="G174" s="595"/>
      <c r="H174" s="595"/>
      <c r="I174" s="595"/>
      <c r="J174" s="595"/>
      <c r="K174" s="595"/>
      <c r="L174" s="595"/>
    </row>
    <row r="175" spans="1:12" ht="14.25">
      <c r="A175" s="595"/>
      <c r="B175" s="595"/>
      <c r="C175" s="595"/>
      <c r="D175" s="595"/>
      <c r="E175" s="595"/>
      <c r="F175" s="595"/>
      <c r="G175" s="595"/>
      <c r="H175" s="595"/>
      <c r="I175" s="595"/>
      <c r="J175" s="595"/>
      <c r="K175" s="595"/>
      <c r="L175" s="595"/>
    </row>
    <row r="176" spans="1:12" ht="14.25">
      <c r="A176" s="595"/>
      <c r="B176" s="595"/>
      <c r="C176" s="595"/>
      <c r="D176" s="595"/>
      <c r="E176" s="595"/>
      <c r="F176" s="595"/>
      <c r="G176" s="595"/>
      <c r="H176" s="595"/>
      <c r="I176" s="595"/>
      <c r="J176" s="595"/>
      <c r="K176" s="595"/>
      <c r="L176" s="595"/>
    </row>
    <row r="177" spans="1:12" ht="14.25">
      <c r="A177" s="595"/>
      <c r="B177" s="595"/>
      <c r="C177" s="595"/>
      <c r="D177" s="595"/>
      <c r="E177" s="595"/>
      <c r="F177" s="595"/>
      <c r="G177" s="595"/>
      <c r="H177" s="595"/>
      <c r="I177" s="595"/>
      <c r="J177" s="595"/>
      <c r="K177" s="595"/>
      <c r="L177" s="595"/>
    </row>
    <row r="178" spans="1:12" ht="14.25">
      <c r="A178" s="595"/>
      <c r="B178" s="595"/>
      <c r="C178" s="595"/>
      <c r="D178" s="595"/>
      <c r="E178" s="595"/>
      <c r="F178" s="595"/>
      <c r="G178" s="595"/>
      <c r="H178" s="595"/>
      <c r="I178" s="595"/>
      <c r="J178" s="595"/>
      <c r="K178" s="595"/>
      <c r="L178" s="595"/>
    </row>
    <row r="179" spans="1:12" ht="14.25">
      <c r="A179" s="595"/>
      <c r="B179" s="595"/>
      <c r="C179" s="595"/>
      <c r="D179" s="595"/>
      <c r="E179" s="595"/>
      <c r="F179" s="595"/>
      <c r="G179" s="595"/>
      <c r="H179" s="595"/>
      <c r="I179" s="595"/>
      <c r="J179" s="595"/>
      <c r="K179" s="595"/>
      <c r="L179" s="595"/>
    </row>
    <row r="180" spans="1:12" ht="14.25">
      <c r="A180" s="595"/>
      <c r="B180" s="595"/>
      <c r="C180" s="595"/>
      <c r="D180" s="595"/>
      <c r="E180" s="595"/>
      <c r="F180" s="595"/>
      <c r="G180" s="595"/>
      <c r="H180" s="595"/>
      <c r="I180" s="595"/>
      <c r="J180" s="595"/>
      <c r="K180" s="595"/>
      <c r="L180" s="595"/>
    </row>
    <row r="181" spans="1:12" ht="14.25">
      <c r="A181" s="595"/>
      <c r="B181" s="595"/>
      <c r="C181" s="595"/>
      <c r="D181" s="595"/>
      <c r="E181" s="595"/>
      <c r="F181" s="595"/>
      <c r="G181" s="595"/>
      <c r="H181" s="595"/>
      <c r="I181" s="595"/>
      <c r="J181" s="595"/>
      <c r="K181" s="595"/>
      <c r="L181" s="595"/>
    </row>
    <row r="182" spans="1:12" ht="14.25">
      <c r="A182" s="595"/>
      <c r="B182" s="595"/>
      <c r="C182" s="595"/>
      <c r="D182" s="595"/>
      <c r="E182" s="595"/>
      <c r="F182" s="595"/>
      <c r="G182" s="595"/>
      <c r="H182" s="595"/>
      <c r="I182" s="595"/>
      <c r="J182" s="595"/>
      <c r="K182" s="595"/>
      <c r="L182" s="595"/>
    </row>
    <row r="183" spans="1:12" ht="14.25">
      <c r="A183" s="595"/>
      <c r="B183" s="595"/>
      <c r="C183" s="595"/>
      <c r="D183" s="595"/>
      <c r="E183" s="595"/>
      <c r="F183" s="595"/>
      <c r="G183" s="595"/>
      <c r="H183" s="595"/>
      <c r="I183" s="595"/>
      <c r="J183" s="595"/>
      <c r="K183" s="595"/>
      <c r="L183" s="595"/>
    </row>
    <row r="184" spans="1:12" ht="14.25">
      <c r="A184" s="595"/>
      <c r="B184" s="595"/>
      <c r="C184" s="595"/>
      <c r="D184" s="595"/>
      <c r="E184" s="595"/>
      <c r="F184" s="595"/>
      <c r="G184" s="595"/>
      <c r="H184" s="595"/>
      <c r="I184" s="595"/>
      <c r="J184" s="595"/>
      <c r="K184" s="595"/>
      <c r="L184" s="595"/>
    </row>
    <row r="185" spans="1:12" ht="14.25">
      <c r="A185" s="595"/>
      <c r="B185" s="595"/>
      <c r="C185" s="595"/>
      <c r="D185" s="595"/>
      <c r="E185" s="595"/>
      <c r="F185" s="595"/>
      <c r="G185" s="595"/>
      <c r="H185" s="595"/>
      <c r="I185" s="595"/>
      <c r="J185" s="595"/>
      <c r="K185" s="595"/>
      <c r="L185" s="595"/>
    </row>
    <row r="186" spans="1:12" ht="14.25">
      <c r="A186" s="595"/>
      <c r="B186" s="595"/>
      <c r="C186" s="595"/>
      <c r="D186" s="595"/>
      <c r="E186" s="595"/>
      <c r="F186" s="595"/>
      <c r="G186" s="595"/>
      <c r="H186" s="595"/>
      <c r="I186" s="595"/>
      <c r="J186" s="595"/>
      <c r="K186" s="595"/>
      <c r="L186" s="595"/>
    </row>
    <row r="187" spans="1:12" ht="14.25">
      <c r="A187" s="595"/>
      <c r="B187" s="595"/>
      <c r="C187" s="595"/>
      <c r="D187" s="595"/>
      <c r="E187" s="595"/>
      <c r="F187" s="595"/>
      <c r="G187" s="595"/>
      <c r="H187" s="595"/>
      <c r="I187" s="595"/>
      <c r="J187" s="595"/>
      <c r="K187" s="595"/>
      <c r="L187" s="595"/>
    </row>
    <row r="188" spans="1:12" ht="14.25">
      <c r="A188" s="595"/>
      <c r="B188" s="595"/>
      <c r="C188" s="595"/>
      <c r="D188" s="595"/>
      <c r="E188" s="595"/>
      <c r="F188" s="595"/>
      <c r="G188" s="595"/>
      <c r="H188" s="595"/>
      <c r="I188" s="595"/>
      <c r="J188" s="595"/>
      <c r="K188" s="595"/>
      <c r="L188" s="595"/>
    </row>
    <row r="189" spans="1:12" ht="14.25">
      <c r="A189" s="595"/>
      <c r="B189" s="595"/>
      <c r="C189" s="595"/>
      <c r="D189" s="595"/>
      <c r="E189" s="595"/>
      <c r="F189" s="595"/>
      <c r="G189" s="595"/>
      <c r="H189" s="595"/>
      <c r="I189" s="595"/>
      <c r="J189" s="595"/>
      <c r="K189" s="595"/>
      <c r="L189" s="595"/>
    </row>
    <row r="190" spans="1:12" ht="14.25">
      <c r="A190" s="595"/>
      <c r="B190" s="595"/>
      <c r="C190" s="595"/>
      <c r="D190" s="595"/>
      <c r="E190" s="595"/>
      <c r="F190" s="595"/>
      <c r="G190" s="595"/>
      <c r="H190" s="595"/>
      <c r="I190" s="595"/>
      <c r="J190" s="595"/>
      <c r="K190" s="595"/>
      <c r="L190" s="595"/>
    </row>
    <row r="191" spans="1:12" ht="14.25">
      <c r="A191" s="595"/>
      <c r="B191" s="595"/>
      <c r="C191" s="595"/>
      <c r="D191" s="595"/>
      <c r="E191" s="595"/>
      <c r="F191" s="595"/>
      <c r="G191" s="595"/>
      <c r="H191" s="595"/>
      <c r="I191" s="595"/>
      <c r="J191" s="595"/>
      <c r="K191" s="595"/>
      <c r="L191" s="595"/>
    </row>
    <row r="192" spans="1:12" ht="14.25">
      <c r="A192" s="595"/>
      <c r="B192" s="595"/>
      <c r="C192" s="595"/>
      <c r="D192" s="595"/>
      <c r="E192" s="595"/>
      <c r="F192" s="595"/>
      <c r="G192" s="595"/>
      <c r="H192" s="595"/>
      <c r="I192" s="595"/>
      <c r="J192" s="595"/>
      <c r="K192" s="595"/>
      <c r="L192" s="595"/>
    </row>
    <row r="193" spans="1:12" ht="14.25">
      <c r="A193" s="595"/>
      <c r="B193" s="595"/>
      <c r="C193" s="595"/>
      <c r="D193" s="595"/>
      <c r="E193" s="595"/>
      <c r="F193" s="595"/>
      <c r="G193" s="595"/>
      <c r="H193" s="595"/>
      <c r="I193" s="595"/>
      <c r="J193" s="595"/>
      <c r="K193" s="595"/>
      <c r="L193" s="595"/>
    </row>
    <row r="194" spans="1:12" ht="14.25">
      <c r="A194" s="595"/>
      <c r="B194" s="595"/>
      <c r="C194" s="595"/>
      <c r="D194" s="595"/>
      <c r="E194" s="595"/>
      <c r="F194" s="595"/>
      <c r="G194" s="595"/>
      <c r="H194" s="595"/>
      <c r="I194" s="595"/>
      <c r="J194" s="595"/>
      <c r="K194" s="595"/>
      <c r="L194" s="595"/>
    </row>
    <row r="195" spans="1:12" ht="14.25">
      <c r="A195" s="595"/>
      <c r="B195" s="595"/>
      <c r="C195" s="595"/>
      <c r="D195" s="595"/>
      <c r="E195" s="595"/>
      <c r="F195" s="595"/>
      <c r="G195" s="595"/>
      <c r="H195" s="595"/>
      <c r="I195" s="595"/>
      <c r="J195" s="595"/>
      <c r="K195" s="595"/>
      <c r="L195" s="595"/>
    </row>
    <row r="196" spans="1:12" ht="14.25">
      <c r="A196" s="595"/>
      <c r="B196" s="595"/>
      <c r="C196" s="595"/>
      <c r="D196" s="595"/>
      <c r="E196" s="595"/>
      <c r="F196" s="595"/>
      <c r="G196" s="595"/>
      <c r="H196" s="595"/>
      <c r="I196" s="595"/>
      <c r="J196" s="595"/>
      <c r="K196" s="595"/>
      <c r="L196" s="595"/>
    </row>
    <row r="197" spans="1:12" ht="14.25">
      <c r="A197" s="595"/>
      <c r="B197" s="595"/>
      <c r="C197" s="595"/>
      <c r="D197" s="595"/>
      <c r="E197" s="595"/>
      <c r="F197" s="595"/>
      <c r="G197" s="595"/>
      <c r="H197" s="595"/>
      <c r="I197" s="595"/>
      <c r="J197" s="595"/>
      <c r="K197" s="595"/>
      <c r="L197" s="595"/>
    </row>
    <row r="198" spans="1:12" ht="14.25">
      <c r="A198" s="595"/>
      <c r="B198" s="595"/>
      <c r="C198" s="595"/>
      <c r="D198" s="595"/>
      <c r="E198" s="595"/>
      <c r="F198" s="595"/>
      <c r="G198" s="595"/>
      <c r="H198" s="595"/>
      <c r="I198" s="595"/>
      <c r="J198" s="595"/>
      <c r="K198" s="595"/>
      <c r="L198" s="595"/>
    </row>
    <row r="199" spans="1:12" ht="14.25">
      <c r="A199" s="595"/>
      <c r="B199" s="595"/>
      <c r="C199" s="595"/>
      <c r="D199" s="595"/>
      <c r="E199" s="595"/>
      <c r="F199" s="595"/>
      <c r="G199" s="595"/>
      <c r="H199" s="595"/>
      <c r="I199" s="595"/>
      <c r="J199" s="595"/>
      <c r="K199" s="595"/>
      <c r="L199" s="595"/>
    </row>
    <row r="200" spans="1:12" ht="14.25">
      <c r="A200" s="595"/>
      <c r="B200" s="595"/>
      <c r="C200" s="595"/>
      <c r="D200" s="595"/>
      <c r="E200" s="595"/>
      <c r="F200" s="595"/>
      <c r="G200" s="595"/>
      <c r="H200" s="595"/>
      <c r="I200" s="595"/>
      <c r="J200" s="595"/>
      <c r="K200" s="595"/>
      <c r="L200" s="595"/>
    </row>
    <row r="201" spans="1:12" ht="14.25">
      <c r="A201" s="595"/>
      <c r="B201" s="595"/>
      <c r="C201" s="595"/>
      <c r="D201" s="595"/>
      <c r="E201" s="595"/>
      <c r="F201" s="595"/>
      <c r="G201" s="595"/>
      <c r="H201" s="595"/>
      <c r="I201" s="595"/>
      <c r="J201" s="595"/>
      <c r="K201" s="595"/>
      <c r="L201" s="595"/>
    </row>
    <row r="202" spans="1:12" ht="14.25">
      <c r="A202" s="595"/>
      <c r="B202" s="595"/>
      <c r="C202" s="595"/>
      <c r="D202" s="595"/>
      <c r="E202" s="595"/>
      <c r="F202" s="595"/>
      <c r="G202" s="595"/>
      <c r="H202" s="595"/>
      <c r="I202" s="595"/>
      <c r="J202" s="595"/>
      <c r="K202" s="595"/>
      <c r="L202" s="595"/>
    </row>
    <row r="203" spans="1:12" ht="14.25">
      <c r="A203" s="595"/>
      <c r="B203" s="595"/>
      <c r="C203" s="595"/>
      <c r="D203" s="595"/>
      <c r="E203" s="595"/>
      <c r="F203" s="595"/>
      <c r="G203" s="595"/>
      <c r="H203" s="595"/>
      <c r="I203" s="595"/>
      <c r="J203" s="595"/>
      <c r="K203" s="595"/>
      <c r="L203" s="595"/>
    </row>
    <row r="204" spans="1:12" ht="14.25">
      <c r="A204" s="595"/>
      <c r="B204" s="595"/>
      <c r="C204" s="595"/>
      <c r="D204" s="595"/>
      <c r="E204" s="595"/>
      <c r="F204" s="595"/>
      <c r="G204" s="595"/>
      <c r="H204" s="595"/>
      <c r="I204" s="595"/>
      <c r="J204" s="595"/>
      <c r="K204" s="595"/>
      <c r="L204" s="595"/>
    </row>
    <row r="205" spans="1:12" ht="14.25">
      <c r="A205" s="595"/>
      <c r="B205" s="595"/>
      <c r="C205" s="595"/>
      <c r="D205" s="595"/>
      <c r="E205" s="595"/>
      <c r="F205" s="595"/>
      <c r="G205" s="595"/>
      <c r="H205" s="595"/>
      <c r="I205" s="595"/>
      <c r="J205" s="595"/>
      <c r="K205" s="595"/>
      <c r="L205" s="595"/>
    </row>
    <row r="206" spans="1:12" ht="14.25">
      <c r="A206" s="595"/>
      <c r="B206" s="595"/>
      <c r="C206" s="595"/>
      <c r="D206" s="595"/>
      <c r="E206" s="595"/>
      <c r="F206" s="595"/>
      <c r="G206" s="595"/>
      <c r="H206" s="595"/>
      <c r="I206" s="595"/>
      <c r="J206" s="595"/>
      <c r="K206" s="595"/>
      <c r="L206" s="595"/>
    </row>
    <row r="207" spans="1:12" ht="14.25">
      <c r="A207" s="595"/>
      <c r="B207" s="595"/>
      <c r="C207" s="595"/>
      <c r="D207" s="595"/>
      <c r="E207" s="595"/>
      <c r="F207" s="595"/>
      <c r="G207" s="595"/>
      <c r="H207" s="595"/>
      <c r="I207" s="595"/>
      <c r="J207" s="595"/>
      <c r="K207" s="595"/>
      <c r="L207" s="595"/>
    </row>
    <row r="208" spans="1:12" ht="14.25">
      <c r="A208" s="595"/>
      <c r="B208" s="595"/>
      <c r="C208" s="595"/>
      <c r="D208" s="595"/>
      <c r="E208" s="595"/>
      <c r="F208" s="595"/>
      <c r="G208" s="595"/>
      <c r="H208" s="595"/>
      <c r="I208" s="595"/>
      <c r="J208" s="595"/>
      <c r="K208" s="595"/>
      <c r="L208" s="595"/>
    </row>
    <row r="209" spans="1:12" ht="14.25">
      <c r="A209" s="595"/>
      <c r="B209" s="595"/>
      <c r="C209" s="595"/>
      <c r="D209" s="595"/>
      <c r="E209" s="595"/>
      <c r="F209" s="595"/>
      <c r="G209" s="595"/>
      <c r="H209" s="595"/>
      <c r="I209" s="595"/>
      <c r="J209" s="595"/>
      <c r="K209" s="595"/>
      <c r="L209" s="595"/>
    </row>
    <row r="210" spans="1:12" ht="14.25">
      <c r="A210" s="595"/>
      <c r="B210" s="595"/>
      <c r="C210" s="595"/>
      <c r="D210" s="595"/>
      <c r="E210" s="595"/>
      <c r="F210" s="595"/>
      <c r="G210" s="595"/>
      <c r="H210" s="595"/>
      <c r="I210" s="595"/>
      <c r="J210" s="595"/>
      <c r="K210" s="595"/>
      <c r="L210" s="595"/>
    </row>
    <row r="211" spans="1:12" ht="14.25">
      <c r="A211" s="595"/>
      <c r="B211" s="595"/>
      <c r="C211" s="595"/>
      <c r="D211" s="595"/>
      <c r="E211" s="595"/>
      <c r="F211" s="595"/>
      <c r="G211" s="595"/>
      <c r="H211" s="595"/>
      <c r="I211" s="595"/>
      <c r="J211" s="595"/>
      <c r="K211" s="595"/>
      <c r="L211" s="595"/>
    </row>
    <row r="212" spans="1:12" ht="14.25">
      <c r="A212" s="595"/>
      <c r="B212" s="595"/>
      <c r="C212" s="595"/>
      <c r="D212" s="595"/>
      <c r="E212" s="595"/>
      <c r="F212" s="595"/>
      <c r="G212" s="595"/>
      <c r="H212" s="595"/>
      <c r="I212" s="595"/>
      <c r="J212" s="595"/>
      <c r="K212" s="595"/>
      <c r="L212" s="595"/>
    </row>
    <row r="213" spans="1:12" ht="14.25">
      <c r="A213" s="595"/>
      <c r="B213" s="595"/>
      <c r="C213" s="595"/>
      <c r="D213" s="595"/>
      <c r="E213" s="595"/>
      <c r="F213" s="595"/>
      <c r="G213" s="595"/>
      <c r="H213" s="595"/>
      <c r="I213" s="595"/>
      <c r="J213" s="595"/>
      <c r="K213" s="595"/>
      <c r="L213" s="595"/>
    </row>
    <row r="214" spans="1:12" ht="14.25">
      <c r="A214" s="595"/>
      <c r="B214" s="595"/>
      <c r="C214" s="595"/>
      <c r="D214" s="595"/>
      <c r="E214" s="595"/>
      <c r="F214" s="595"/>
      <c r="G214" s="595"/>
      <c r="H214" s="595"/>
      <c r="I214" s="595"/>
      <c r="J214" s="595"/>
      <c r="K214" s="595"/>
      <c r="L214" s="595"/>
    </row>
    <row r="215" spans="1:12" ht="14.25">
      <c r="A215" s="595"/>
      <c r="B215" s="595"/>
      <c r="C215" s="595"/>
      <c r="D215" s="595"/>
      <c r="E215" s="595"/>
      <c r="F215" s="595"/>
      <c r="G215" s="595"/>
      <c r="H215" s="595"/>
      <c r="I215" s="595"/>
      <c r="J215" s="595"/>
      <c r="K215" s="595"/>
      <c r="L215" s="595"/>
    </row>
    <row r="216" spans="1:12" ht="14.25">
      <c r="A216" s="595"/>
      <c r="B216" s="595"/>
      <c r="C216" s="595"/>
      <c r="D216" s="595"/>
      <c r="E216" s="595"/>
      <c r="F216" s="595"/>
      <c r="G216" s="595"/>
      <c r="H216" s="595"/>
      <c r="I216" s="595"/>
      <c r="J216" s="595"/>
      <c r="K216" s="595"/>
      <c r="L216" s="595"/>
    </row>
    <row r="217" spans="1:12" ht="14.25">
      <c r="A217" s="595"/>
      <c r="B217" s="595"/>
      <c r="C217" s="595"/>
      <c r="D217" s="595"/>
      <c r="E217" s="595"/>
      <c r="F217" s="595"/>
      <c r="G217" s="595"/>
      <c r="H217" s="595"/>
      <c r="I217" s="595"/>
      <c r="J217" s="595"/>
      <c r="K217" s="595"/>
      <c r="L217" s="595"/>
    </row>
    <row r="218" spans="1:12" ht="14.25">
      <c r="A218" s="595"/>
      <c r="B218" s="595"/>
      <c r="C218" s="595"/>
      <c r="D218" s="595"/>
      <c r="E218" s="595"/>
      <c r="F218" s="595"/>
      <c r="G218" s="595"/>
      <c r="H218" s="595"/>
      <c r="I218" s="595"/>
      <c r="J218" s="595"/>
      <c r="K218" s="595"/>
      <c r="L218" s="595"/>
    </row>
    <row r="219" spans="1:12" ht="14.25">
      <c r="A219" s="595"/>
      <c r="B219" s="595"/>
      <c r="C219" s="595"/>
      <c r="D219" s="595"/>
      <c r="E219" s="595"/>
      <c r="F219" s="595"/>
      <c r="G219" s="595"/>
      <c r="H219" s="595"/>
      <c r="I219" s="595"/>
      <c r="J219" s="595"/>
      <c r="K219" s="595"/>
      <c r="L219" s="595"/>
    </row>
    <row r="220" spans="1:12" ht="14.25">
      <c r="A220" s="595"/>
      <c r="B220" s="595"/>
      <c r="C220" s="595"/>
      <c r="D220" s="595"/>
      <c r="E220" s="595"/>
      <c r="F220" s="595"/>
      <c r="G220" s="595"/>
      <c r="H220" s="595"/>
      <c r="I220" s="595"/>
      <c r="J220" s="595"/>
      <c r="K220" s="595"/>
      <c r="L220" s="595"/>
    </row>
    <row r="221" spans="1:12" ht="14.25">
      <c r="A221" s="595"/>
      <c r="B221" s="595"/>
      <c r="C221" s="595"/>
      <c r="D221" s="595"/>
      <c r="E221" s="595"/>
      <c r="F221" s="595"/>
      <c r="G221" s="595"/>
      <c r="H221" s="595"/>
      <c r="I221" s="595"/>
      <c r="J221" s="595"/>
      <c r="K221" s="595"/>
      <c r="L221" s="595"/>
    </row>
    <row r="222" spans="1:12" ht="14.25">
      <c r="A222" s="595"/>
      <c r="B222" s="595"/>
      <c r="C222" s="595"/>
      <c r="D222" s="595"/>
      <c r="E222" s="595"/>
      <c r="F222" s="595"/>
      <c r="G222" s="595"/>
      <c r="H222" s="595"/>
      <c r="I222" s="595"/>
      <c r="J222" s="595"/>
      <c r="K222" s="595"/>
      <c r="L222" s="595"/>
    </row>
    <row r="223" spans="1:12" ht="14.25">
      <c r="A223" s="595"/>
      <c r="B223" s="595"/>
      <c r="C223" s="595"/>
      <c r="D223" s="595"/>
      <c r="E223" s="595"/>
      <c r="F223" s="595"/>
      <c r="G223" s="595"/>
      <c r="H223" s="595"/>
      <c r="I223" s="595"/>
      <c r="J223" s="595"/>
      <c r="K223" s="595"/>
      <c r="L223" s="595"/>
    </row>
    <row r="224" spans="1:12" ht="14.25">
      <c r="A224" s="595"/>
      <c r="B224" s="595"/>
      <c r="C224" s="595"/>
      <c r="D224" s="595"/>
      <c r="E224" s="595"/>
      <c r="F224" s="595"/>
      <c r="G224" s="595"/>
      <c r="H224" s="595"/>
      <c r="I224" s="595"/>
      <c r="J224" s="595"/>
      <c r="K224" s="595"/>
      <c r="L224" s="595"/>
    </row>
    <row r="225" spans="1:12" ht="14.25">
      <c r="A225" s="595"/>
      <c r="B225" s="595"/>
      <c r="C225" s="595"/>
      <c r="D225" s="595"/>
      <c r="E225" s="595"/>
      <c r="F225" s="595"/>
      <c r="G225" s="595"/>
      <c r="H225" s="595"/>
      <c r="I225" s="595"/>
      <c r="J225" s="595"/>
      <c r="K225" s="595"/>
      <c r="L225" s="595"/>
    </row>
    <row r="226" spans="1:12" ht="14.25">
      <c r="A226" s="595"/>
      <c r="B226" s="595"/>
      <c r="C226" s="595"/>
      <c r="D226" s="595"/>
      <c r="E226" s="595"/>
      <c r="F226" s="595"/>
      <c r="G226" s="595"/>
      <c r="H226" s="595"/>
      <c r="I226" s="595"/>
      <c r="J226" s="595"/>
      <c r="K226" s="595"/>
      <c r="L226" s="595"/>
    </row>
    <row r="227" spans="1:12" ht="14.25">
      <c r="A227" s="595"/>
      <c r="B227" s="595"/>
      <c r="C227" s="595"/>
      <c r="D227" s="595"/>
      <c r="E227" s="595"/>
      <c r="F227" s="595"/>
      <c r="G227" s="595"/>
      <c r="H227" s="595"/>
      <c r="I227" s="595"/>
      <c r="J227" s="595"/>
      <c r="K227" s="595"/>
      <c r="L227" s="595"/>
    </row>
    <row r="228" spans="1:12" ht="14.25">
      <c r="A228" s="595"/>
      <c r="B228" s="595"/>
      <c r="C228" s="595"/>
      <c r="D228" s="595"/>
      <c r="E228" s="595"/>
      <c r="F228" s="595"/>
      <c r="G228" s="595"/>
      <c r="H228" s="595"/>
      <c r="I228" s="595"/>
      <c r="J228" s="595"/>
      <c r="K228" s="595"/>
      <c r="L228" s="595"/>
    </row>
    <row r="229" spans="1:12" ht="14.25">
      <c r="A229" s="595"/>
      <c r="B229" s="595"/>
      <c r="C229" s="595"/>
      <c r="D229" s="595"/>
      <c r="E229" s="595"/>
      <c r="F229" s="595"/>
      <c r="G229" s="595"/>
      <c r="H229" s="595"/>
      <c r="I229" s="595"/>
      <c r="J229" s="595"/>
      <c r="K229" s="595"/>
      <c r="L229" s="595"/>
    </row>
    <row r="230" spans="1:12" ht="14.25">
      <c r="A230" s="595"/>
      <c r="B230" s="595"/>
      <c r="C230" s="595"/>
      <c r="D230" s="595"/>
      <c r="E230" s="595"/>
      <c r="F230" s="595"/>
      <c r="G230" s="595"/>
      <c r="H230" s="595"/>
      <c r="I230" s="595"/>
      <c r="J230" s="595"/>
      <c r="K230" s="595"/>
      <c r="L230" s="595"/>
    </row>
    <row r="231" spans="1:12" ht="14.25">
      <c r="A231" s="595"/>
      <c r="B231" s="595"/>
      <c r="C231" s="595"/>
      <c r="D231" s="595"/>
      <c r="E231" s="595"/>
      <c r="F231" s="595"/>
      <c r="G231" s="595"/>
      <c r="H231" s="595"/>
      <c r="I231" s="595"/>
      <c r="J231" s="595"/>
      <c r="K231" s="595"/>
      <c r="L231" s="595"/>
    </row>
    <row r="232" spans="1:12" ht="14.25">
      <c r="A232" s="595"/>
      <c r="B232" s="595"/>
      <c r="C232" s="595"/>
      <c r="D232" s="595"/>
      <c r="E232" s="595"/>
      <c r="F232" s="595"/>
      <c r="G232" s="595"/>
      <c r="H232" s="595"/>
      <c r="I232" s="595"/>
      <c r="J232" s="595"/>
      <c r="K232" s="595"/>
      <c r="L232" s="595"/>
    </row>
    <row r="233" spans="1:12" ht="14.25">
      <c r="A233" s="595"/>
      <c r="B233" s="595"/>
      <c r="C233" s="595"/>
      <c r="D233" s="595"/>
      <c r="E233" s="595"/>
      <c r="F233" s="595"/>
      <c r="G233" s="595"/>
      <c r="H233" s="595"/>
      <c r="I233" s="595"/>
      <c r="J233" s="595"/>
      <c r="K233" s="595"/>
      <c r="L233" s="595"/>
    </row>
    <row r="234" spans="1:12" ht="14.25">
      <c r="A234" s="595"/>
      <c r="B234" s="595"/>
      <c r="C234" s="595"/>
      <c r="D234" s="595"/>
      <c r="E234" s="595"/>
      <c r="F234" s="595"/>
      <c r="G234" s="595"/>
      <c r="H234" s="595"/>
      <c r="I234" s="595"/>
      <c r="J234" s="595"/>
      <c r="K234" s="595"/>
      <c r="L234" s="595"/>
    </row>
    <row r="235" spans="1:12" ht="14.25">
      <c r="A235" s="595"/>
      <c r="B235" s="595"/>
      <c r="C235" s="595"/>
      <c r="D235" s="595"/>
      <c r="E235" s="595"/>
      <c r="F235" s="595"/>
      <c r="G235" s="595"/>
      <c r="H235" s="595"/>
      <c r="I235" s="595"/>
      <c r="J235" s="595"/>
      <c r="K235" s="595"/>
      <c r="L235" s="595"/>
    </row>
    <row r="236" spans="1:12" ht="14.25">
      <c r="A236" s="595"/>
      <c r="B236" s="595"/>
      <c r="C236" s="595"/>
      <c r="D236" s="595"/>
      <c r="E236" s="595"/>
      <c r="F236" s="595"/>
      <c r="G236" s="595"/>
      <c r="H236" s="595"/>
      <c r="I236" s="595"/>
      <c r="J236" s="595"/>
      <c r="K236" s="595"/>
      <c r="L236" s="595"/>
    </row>
    <row r="237" spans="1:12" ht="14.25">
      <c r="A237" s="595"/>
      <c r="B237" s="595"/>
      <c r="C237" s="595"/>
      <c r="D237" s="595"/>
      <c r="E237" s="595"/>
      <c r="F237" s="595"/>
      <c r="G237" s="595"/>
      <c r="H237" s="595"/>
      <c r="I237" s="595"/>
      <c r="J237" s="595"/>
      <c r="K237" s="595"/>
      <c r="L237" s="595"/>
    </row>
    <row r="238" spans="1:12" ht="14.25">
      <c r="A238" s="595"/>
      <c r="B238" s="595"/>
      <c r="C238" s="595"/>
      <c r="D238" s="595"/>
      <c r="E238" s="595"/>
      <c r="F238" s="595"/>
      <c r="G238" s="595"/>
      <c r="H238" s="595"/>
      <c r="I238" s="595"/>
      <c r="J238" s="595"/>
      <c r="K238" s="595"/>
      <c r="L238" s="595"/>
    </row>
    <row r="239" spans="1:12" ht="14.25">
      <c r="A239" s="595"/>
      <c r="B239" s="595"/>
      <c r="C239" s="595"/>
      <c r="D239" s="595"/>
      <c r="E239" s="595"/>
      <c r="F239" s="595"/>
      <c r="G239" s="595"/>
      <c r="H239" s="595"/>
      <c r="I239" s="595"/>
      <c r="J239" s="595"/>
      <c r="K239" s="595"/>
      <c r="L239" s="595"/>
    </row>
    <row r="240" spans="1:12" ht="14.25">
      <c r="A240" s="595"/>
      <c r="B240" s="595"/>
      <c r="C240" s="595"/>
      <c r="D240" s="595"/>
      <c r="E240" s="595"/>
      <c r="F240" s="595"/>
      <c r="G240" s="595"/>
      <c r="H240" s="595"/>
      <c r="I240" s="595"/>
      <c r="J240" s="595"/>
      <c r="K240" s="595"/>
      <c r="L240" s="595"/>
    </row>
    <row r="241" spans="1:12" ht="14.25">
      <c r="A241" s="595"/>
      <c r="B241" s="595"/>
      <c r="C241" s="595"/>
      <c r="D241" s="595"/>
      <c r="E241" s="595"/>
      <c r="F241" s="595"/>
      <c r="G241" s="595"/>
      <c r="H241" s="595"/>
      <c r="I241" s="595"/>
      <c r="J241" s="595"/>
      <c r="K241" s="595"/>
      <c r="L241" s="595"/>
    </row>
    <row r="242" spans="1:12" ht="14.25">
      <c r="A242" s="595"/>
      <c r="B242" s="595"/>
      <c r="C242" s="595"/>
      <c r="D242" s="595"/>
      <c r="E242" s="595"/>
      <c r="F242" s="595"/>
      <c r="G242" s="595"/>
      <c r="H242" s="595"/>
      <c r="I242" s="595"/>
      <c r="J242" s="595"/>
      <c r="K242" s="595"/>
      <c r="L242" s="595"/>
    </row>
    <row r="243" spans="1:12" ht="14.25">
      <c r="A243" s="595"/>
      <c r="B243" s="595"/>
      <c r="C243" s="595"/>
      <c r="D243" s="595"/>
      <c r="E243" s="595"/>
      <c r="F243" s="595"/>
      <c r="G243" s="595"/>
      <c r="H243" s="595"/>
      <c r="I243" s="595"/>
      <c r="J243" s="595"/>
      <c r="K243" s="595"/>
      <c r="L243" s="595"/>
    </row>
    <row r="244" spans="1:12" ht="14.25">
      <c r="A244" s="595"/>
      <c r="B244" s="595"/>
      <c r="C244" s="595"/>
      <c r="D244" s="595"/>
      <c r="E244" s="595"/>
      <c r="F244" s="595"/>
      <c r="G244" s="595"/>
      <c r="H244" s="595"/>
      <c r="I244" s="595"/>
      <c r="J244" s="595"/>
      <c r="K244" s="595"/>
      <c r="L244" s="595"/>
    </row>
    <row r="245" spans="1:12" ht="14.25">
      <c r="A245" s="595"/>
      <c r="B245" s="595"/>
      <c r="C245" s="595"/>
      <c r="D245" s="595"/>
      <c r="E245" s="595"/>
      <c r="F245" s="595"/>
      <c r="G245" s="595"/>
      <c r="H245" s="595"/>
      <c r="I245" s="595"/>
      <c r="J245" s="595"/>
      <c r="K245" s="595"/>
      <c r="L245" s="595"/>
    </row>
    <row r="246" spans="1:12" ht="14.25">
      <c r="A246" s="595"/>
      <c r="B246" s="595"/>
      <c r="C246" s="595"/>
      <c r="D246" s="595"/>
      <c r="E246" s="595"/>
      <c r="F246" s="595"/>
      <c r="G246" s="595"/>
      <c r="H246" s="595"/>
      <c r="I246" s="595"/>
      <c r="J246" s="595"/>
      <c r="K246" s="595"/>
      <c r="L246" s="595"/>
    </row>
    <row r="247" spans="1:12" ht="14.25">
      <c r="A247" s="595"/>
      <c r="B247" s="595"/>
      <c r="C247" s="595"/>
      <c r="D247" s="595"/>
      <c r="E247" s="595"/>
      <c r="F247" s="595"/>
      <c r="G247" s="595"/>
      <c r="H247" s="595"/>
      <c r="I247" s="595"/>
      <c r="J247" s="595"/>
      <c r="K247" s="595"/>
      <c r="L247" s="595"/>
    </row>
    <row r="248" spans="1:12" ht="14.25">
      <c r="A248" s="595"/>
      <c r="B248" s="595"/>
      <c r="C248" s="595"/>
      <c r="D248" s="595"/>
      <c r="E248" s="595"/>
      <c r="F248" s="595"/>
      <c r="G248" s="595"/>
      <c r="H248" s="595"/>
      <c r="I248" s="595"/>
      <c r="J248" s="595"/>
      <c r="K248" s="595"/>
      <c r="L248" s="595"/>
    </row>
    <row r="249" spans="1:12" ht="14.25">
      <c r="A249" s="595"/>
      <c r="B249" s="595"/>
      <c r="C249" s="595"/>
      <c r="D249" s="595"/>
      <c r="E249" s="595"/>
      <c r="F249" s="595"/>
      <c r="G249" s="595"/>
      <c r="H249" s="595"/>
      <c r="I249" s="595"/>
      <c r="J249" s="595"/>
      <c r="K249" s="595"/>
      <c r="L249" s="595"/>
    </row>
    <row r="250" spans="1:12" ht="14.25">
      <c r="A250" s="595"/>
      <c r="B250" s="595"/>
      <c r="C250" s="595"/>
      <c r="D250" s="595"/>
      <c r="E250" s="595"/>
      <c r="F250" s="595"/>
      <c r="G250" s="595"/>
      <c r="H250" s="595"/>
      <c r="I250" s="595"/>
      <c r="J250" s="595"/>
      <c r="K250" s="595"/>
      <c r="L250" s="595"/>
    </row>
    <row r="251" spans="1:12" ht="14.25">
      <c r="A251" s="595"/>
      <c r="B251" s="595"/>
      <c r="C251" s="595"/>
      <c r="D251" s="595"/>
      <c r="E251" s="595"/>
      <c r="F251" s="595"/>
      <c r="G251" s="595"/>
      <c r="H251" s="595"/>
      <c r="I251" s="595"/>
      <c r="J251" s="595"/>
      <c r="K251" s="595"/>
      <c r="L251" s="595"/>
    </row>
    <row r="252" spans="1:12" ht="14.25">
      <c r="A252" s="595"/>
      <c r="B252" s="595"/>
      <c r="C252" s="595"/>
      <c r="D252" s="595"/>
      <c r="E252" s="595"/>
      <c r="F252" s="595"/>
      <c r="G252" s="595"/>
      <c r="H252" s="595"/>
      <c r="I252" s="595"/>
      <c r="J252" s="595"/>
      <c r="K252" s="595"/>
      <c r="L252" s="595"/>
    </row>
    <row r="253" spans="1:12" ht="14.25">
      <c r="A253" s="595"/>
      <c r="B253" s="595"/>
      <c r="C253" s="595"/>
      <c r="D253" s="595"/>
      <c r="E253" s="595"/>
      <c r="F253" s="595"/>
      <c r="G253" s="595"/>
      <c r="H253" s="595"/>
      <c r="I253" s="595"/>
      <c r="J253" s="595"/>
      <c r="K253" s="595"/>
      <c r="L253" s="595"/>
    </row>
    <row r="254" spans="1:12" ht="14.25">
      <c r="A254" s="595"/>
      <c r="B254" s="595"/>
      <c r="C254" s="595"/>
      <c r="D254" s="595"/>
      <c r="E254" s="595"/>
      <c r="F254" s="595"/>
      <c r="G254" s="595"/>
      <c r="H254" s="595"/>
      <c r="I254" s="595"/>
      <c r="J254" s="595"/>
      <c r="K254" s="595"/>
      <c r="L254" s="595"/>
    </row>
    <row r="255" spans="1:12" ht="14.25">
      <c r="A255" s="595"/>
      <c r="B255" s="595"/>
      <c r="C255" s="595"/>
      <c r="D255" s="595"/>
      <c r="E255" s="595"/>
      <c r="F255" s="595"/>
      <c r="G255" s="595"/>
      <c r="H255" s="595"/>
      <c r="I255" s="595"/>
      <c r="J255" s="595"/>
      <c r="K255" s="595"/>
      <c r="L255" s="595"/>
    </row>
    <row r="256" spans="1:12" ht="14.25">
      <c r="A256" s="595"/>
      <c r="B256" s="595"/>
      <c r="C256" s="595"/>
      <c r="D256" s="595"/>
      <c r="E256" s="595"/>
      <c r="F256" s="595"/>
      <c r="G256" s="595"/>
      <c r="H256" s="595"/>
      <c r="I256" s="595"/>
      <c r="J256" s="595"/>
      <c r="K256" s="595"/>
      <c r="L256" s="595"/>
    </row>
    <row r="257" spans="1:12" ht="14.25">
      <c r="A257" s="595"/>
      <c r="B257" s="595"/>
      <c r="C257" s="595"/>
      <c r="D257" s="595"/>
      <c r="E257" s="595"/>
      <c r="F257" s="595"/>
      <c r="G257" s="595"/>
      <c r="H257" s="595"/>
      <c r="I257" s="595"/>
      <c r="J257" s="595"/>
      <c r="K257" s="595"/>
      <c r="L257" s="595"/>
    </row>
    <row r="258" spans="1:12" ht="14.25">
      <c r="A258" s="595"/>
      <c r="B258" s="595"/>
      <c r="C258" s="595"/>
      <c r="D258" s="595"/>
      <c r="E258" s="595"/>
      <c r="F258" s="595"/>
      <c r="G258" s="595"/>
      <c r="H258" s="595"/>
      <c r="I258" s="595"/>
      <c r="J258" s="595"/>
      <c r="K258" s="595"/>
      <c r="L258" s="595"/>
    </row>
    <row r="259" spans="1:12" ht="14.25">
      <c r="A259" s="595"/>
      <c r="B259" s="595"/>
      <c r="C259" s="595"/>
      <c r="D259" s="595"/>
      <c r="E259" s="595"/>
      <c r="F259" s="595"/>
      <c r="G259" s="595"/>
      <c r="H259" s="595"/>
      <c r="I259" s="595"/>
      <c r="J259" s="595"/>
      <c r="K259" s="595"/>
      <c r="L259" s="595"/>
    </row>
    <row r="260" spans="1:12" ht="14.25">
      <c r="A260" s="595"/>
      <c r="B260" s="595"/>
      <c r="C260" s="595"/>
      <c r="D260" s="595"/>
      <c r="E260" s="595"/>
      <c r="F260" s="595"/>
      <c r="G260" s="595"/>
      <c r="H260" s="595"/>
      <c r="I260" s="595"/>
      <c r="J260" s="595"/>
      <c r="K260" s="595"/>
      <c r="L260" s="595"/>
    </row>
    <row r="261" spans="1:12" ht="14.25">
      <c r="A261" s="595"/>
      <c r="B261" s="595"/>
      <c r="C261" s="595"/>
      <c r="D261" s="595"/>
      <c r="E261" s="595"/>
      <c r="F261" s="595"/>
      <c r="G261" s="595"/>
      <c r="H261" s="595"/>
      <c r="I261" s="595"/>
      <c r="J261" s="595"/>
      <c r="K261" s="595"/>
      <c r="L261" s="595"/>
    </row>
    <row r="262" spans="1:12" ht="14.25">
      <c r="A262" s="595"/>
      <c r="B262" s="595"/>
      <c r="C262" s="595"/>
      <c r="D262" s="595"/>
      <c r="E262" s="595"/>
      <c r="F262" s="595"/>
      <c r="G262" s="595"/>
      <c r="H262" s="595"/>
      <c r="I262" s="595"/>
      <c r="J262" s="595"/>
      <c r="K262" s="595"/>
      <c r="L262" s="595"/>
    </row>
    <row r="263" spans="1:12" ht="14.25">
      <c r="A263" s="595"/>
      <c r="B263" s="595"/>
      <c r="C263" s="595"/>
      <c r="D263" s="595"/>
      <c r="E263" s="595"/>
      <c r="F263" s="595"/>
      <c r="G263" s="595"/>
      <c r="H263" s="595"/>
      <c r="I263" s="595"/>
      <c r="J263" s="595"/>
      <c r="K263" s="595"/>
      <c r="L263" s="595"/>
    </row>
    <row r="264" spans="1:12" ht="14.25">
      <c r="A264" s="595"/>
      <c r="B264" s="595"/>
      <c r="C264" s="595"/>
      <c r="D264" s="595"/>
      <c r="E264" s="595"/>
      <c r="F264" s="595"/>
      <c r="G264" s="595"/>
      <c r="H264" s="595"/>
      <c r="I264" s="595"/>
      <c r="J264" s="595"/>
      <c r="K264" s="595"/>
      <c r="L264" s="595"/>
    </row>
    <row r="265" spans="1:12" ht="14.25">
      <c r="A265" s="595"/>
      <c r="B265" s="595"/>
      <c r="C265" s="595"/>
      <c r="D265" s="595"/>
      <c r="E265" s="595"/>
      <c r="F265" s="595"/>
      <c r="G265" s="595"/>
      <c r="H265" s="595"/>
      <c r="I265" s="595"/>
      <c r="J265" s="595"/>
      <c r="K265" s="595"/>
      <c r="L265" s="595"/>
    </row>
    <row r="266" spans="1:12" ht="14.25">
      <c r="A266" s="595"/>
      <c r="B266" s="595"/>
      <c r="C266" s="595"/>
      <c r="D266" s="595"/>
      <c r="E266" s="595"/>
      <c r="F266" s="595"/>
      <c r="G266" s="595"/>
      <c r="H266" s="595"/>
      <c r="I266" s="595"/>
      <c r="J266" s="595"/>
      <c r="K266" s="595"/>
      <c r="L266" s="595"/>
    </row>
    <row r="267" spans="1:12" ht="14.25">
      <c r="A267" s="595"/>
      <c r="B267" s="595"/>
      <c r="C267" s="595"/>
      <c r="D267" s="595"/>
      <c r="E267" s="595"/>
      <c r="F267" s="595"/>
      <c r="G267" s="595"/>
      <c r="H267" s="595"/>
      <c r="I267" s="595"/>
      <c r="J267" s="595"/>
      <c r="K267" s="595"/>
      <c r="L267" s="595"/>
    </row>
    <row r="268" spans="1:12" ht="14.25">
      <c r="A268" s="595"/>
      <c r="B268" s="595"/>
      <c r="C268" s="595"/>
      <c r="D268" s="595"/>
      <c r="E268" s="595"/>
      <c r="F268" s="595"/>
      <c r="G268" s="595"/>
      <c r="H268" s="595"/>
      <c r="I268" s="595"/>
      <c r="J268" s="595"/>
      <c r="K268" s="595"/>
      <c r="L268" s="595"/>
    </row>
    <row r="269" spans="1:12" ht="14.25">
      <c r="A269" s="595"/>
      <c r="B269" s="595"/>
      <c r="C269" s="595"/>
      <c r="D269" s="595"/>
      <c r="E269" s="595"/>
      <c r="F269" s="595"/>
      <c r="G269" s="595"/>
      <c r="H269" s="595"/>
      <c r="I269" s="595"/>
      <c r="J269" s="595"/>
      <c r="K269" s="595"/>
      <c r="L269" s="595"/>
    </row>
    <row r="270" spans="1:12" ht="14.25">
      <c r="A270" s="595"/>
      <c r="B270" s="595"/>
      <c r="C270" s="595"/>
      <c r="D270" s="595"/>
      <c r="E270" s="595"/>
      <c r="F270" s="595"/>
      <c r="G270" s="595"/>
      <c r="H270" s="595"/>
      <c r="I270" s="595"/>
      <c r="J270" s="595"/>
      <c r="K270" s="595"/>
      <c r="L270" s="595"/>
    </row>
    <row r="271" spans="1:12" ht="14.25">
      <c r="A271" s="595"/>
      <c r="B271" s="595"/>
      <c r="C271" s="595"/>
      <c r="D271" s="595"/>
      <c r="E271" s="595"/>
      <c r="F271" s="595"/>
      <c r="G271" s="595"/>
      <c r="H271" s="595"/>
      <c r="I271" s="595"/>
      <c r="J271" s="595"/>
      <c r="K271" s="595"/>
      <c r="L271" s="595"/>
    </row>
    <row r="272" spans="1:12" ht="14.25">
      <c r="A272" s="595"/>
      <c r="B272" s="595"/>
      <c r="C272" s="595"/>
      <c r="D272" s="595"/>
      <c r="E272" s="595"/>
      <c r="F272" s="595"/>
      <c r="G272" s="595"/>
      <c r="H272" s="595"/>
      <c r="I272" s="595"/>
      <c r="J272" s="595"/>
      <c r="K272" s="595"/>
      <c r="L272" s="595"/>
    </row>
    <row r="273" spans="1:12" ht="14.25">
      <c r="A273" s="595"/>
      <c r="B273" s="595"/>
      <c r="C273" s="595"/>
      <c r="D273" s="595"/>
      <c r="E273" s="595"/>
      <c r="F273" s="595"/>
      <c r="G273" s="595"/>
      <c r="H273" s="595"/>
      <c r="I273" s="595"/>
      <c r="J273" s="595"/>
      <c r="K273" s="595"/>
      <c r="L273" s="595"/>
    </row>
    <row r="274" spans="1:12" ht="14.25">
      <c r="A274" s="595"/>
      <c r="B274" s="595"/>
      <c r="C274" s="595"/>
      <c r="D274" s="595"/>
      <c r="E274" s="595"/>
      <c r="F274" s="595"/>
      <c r="G274" s="595"/>
      <c r="H274" s="595"/>
      <c r="I274" s="595"/>
      <c r="J274" s="595"/>
      <c r="K274" s="595"/>
      <c r="L274" s="595"/>
    </row>
    <row r="275" spans="1:12" ht="14.25">
      <c r="A275" s="595"/>
      <c r="B275" s="595"/>
      <c r="C275" s="595"/>
      <c r="D275" s="595"/>
      <c r="E275" s="595"/>
      <c r="F275" s="595"/>
      <c r="G275" s="595"/>
      <c r="H275" s="595"/>
      <c r="I275" s="595"/>
      <c r="J275" s="595"/>
      <c r="K275" s="595"/>
      <c r="L275" s="595"/>
    </row>
    <row r="276" spans="1:12" ht="14.25">
      <c r="A276" s="595"/>
      <c r="B276" s="595"/>
      <c r="C276" s="595"/>
      <c r="D276" s="595"/>
      <c r="E276" s="595"/>
      <c r="F276" s="595"/>
      <c r="G276" s="595"/>
      <c r="H276" s="595"/>
      <c r="I276" s="595"/>
      <c r="J276" s="595"/>
      <c r="K276" s="595"/>
      <c r="L276" s="595"/>
    </row>
    <row r="277" spans="1:12" ht="14.25">
      <c r="A277" s="595"/>
      <c r="B277" s="595"/>
      <c r="C277" s="595"/>
      <c r="D277" s="595"/>
      <c r="E277" s="595"/>
      <c r="F277" s="595"/>
      <c r="G277" s="595"/>
      <c r="H277" s="595"/>
      <c r="I277" s="595"/>
      <c r="J277" s="595"/>
      <c r="K277" s="595"/>
      <c r="L277" s="595"/>
    </row>
    <row r="278" spans="1:12" ht="14.25">
      <c r="A278" s="595"/>
      <c r="B278" s="595"/>
      <c r="C278" s="595"/>
      <c r="D278" s="595"/>
      <c r="E278" s="595"/>
      <c r="F278" s="595"/>
      <c r="G278" s="595"/>
      <c r="H278" s="595"/>
      <c r="I278" s="595"/>
      <c r="J278" s="595"/>
      <c r="K278" s="595"/>
      <c r="L278" s="595"/>
    </row>
    <row r="279" spans="1:12" ht="14.25">
      <c r="A279" s="595"/>
      <c r="B279" s="595"/>
      <c r="C279" s="595"/>
      <c r="D279" s="595"/>
      <c r="E279" s="595"/>
      <c r="F279" s="595"/>
      <c r="G279" s="595"/>
      <c r="H279" s="595"/>
      <c r="I279" s="595"/>
      <c r="J279" s="595"/>
      <c r="K279" s="595"/>
      <c r="L279" s="595"/>
    </row>
    <row r="280" spans="1:12" ht="14.25">
      <c r="A280" s="595"/>
      <c r="B280" s="595"/>
      <c r="C280" s="595"/>
      <c r="D280" s="595"/>
      <c r="E280" s="595"/>
      <c r="F280" s="595"/>
      <c r="G280" s="595"/>
      <c r="H280" s="595"/>
      <c r="I280" s="595"/>
      <c r="J280" s="595"/>
      <c r="K280" s="595"/>
      <c r="L280" s="595"/>
    </row>
    <row r="281" spans="1:12" ht="14.25">
      <c r="A281" s="595"/>
      <c r="B281" s="595"/>
      <c r="C281" s="595"/>
      <c r="D281" s="595"/>
      <c r="E281" s="595"/>
      <c r="F281" s="595"/>
      <c r="G281" s="595"/>
      <c r="H281" s="595"/>
      <c r="I281" s="595"/>
      <c r="J281" s="595"/>
      <c r="K281" s="595"/>
      <c r="L281" s="595"/>
    </row>
    <row r="282" spans="1:12" ht="14.25">
      <c r="A282" s="595"/>
      <c r="B282" s="595"/>
      <c r="C282" s="595"/>
      <c r="D282" s="595"/>
      <c r="E282" s="595"/>
      <c r="F282" s="595"/>
      <c r="G282" s="595"/>
      <c r="H282" s="595"/>
      <c r="I282" s="595"/>
      <c r="J282" s="595"/>
      <c r="K282" s="595"/>
      <c r="L282" s="595"/>
    </row>
    <row r="283" spans="1:12" ht="14.25">
      <c r="A283" s="595"/>
      <c r="B283" s="595"/>
      <c r="C283" s="595"/>
      <c r="D283" s="595"/>
      <c r="E283" s="595"/>
      <c r="F283" s="595"/>
      <c r="G283" s="595"/>
      <c r="H283" s="595"/>
      <c r="I283" s="595"/>
      <c r="J283" s="595"/>
      <c r="K283" s="595"/>
      <c r="L283" s="595"/>
    </row>
    <row r="284" spans="1:12" ht="14.25">
      <c r="A284" s="595"/>
      <c r="B284" s="595"/>
      <c r="C284" s="595"/>
      <c r="D284" s="595"/>
      <c r="E284" s="595"/>
      <c r="F284" s="595"/>
      <c r="G284" s="595"/>
      <c r="H284" s="595"/>
      <c r="I284" s="595"/>
      <c r="J284" s="595"/>
      <c r="K284" s="595"/>
      <c r="L284" s="595"/>
    </row>
    <row r="285" spans="1:12" ht="14.25">
      <c r="A285" s="595"/>
      <c r="B285" s="595"/>
      <c r="C285" s="595"/>
      <c r="D285" s="595"/>
      <c r="E285" s="595"/>
      <c r="F285" s="595"/>
      <c r="G285" s="595"/>
      <c r="H285" s="595"/>
      <c r="I285" s="595"/>
      <c r="J285" s="595"/>
      <c r="K285" s="595"/>
      <c r="L285" s="595"/>
    </row>
    <row r="286" spans="1:12" ht="14.25">
      <c r="A286" s="595"/>
      <c r="B286" s="595"/>
      <c r="C286" s="595"/>
      <c r="D286" s="595"/>
      <c r="E286" s="595"/>
      <c r="F286" s="595"/>
      <c r="G286" s="595"/>
      <c r="H286" s="595"/>
      <c r="I286" s="595"/>
      <c r="J286" s="595"/>
      <c r="K286" s="595"/>
      <c r="L286" s="595"/>
    </row>
    <row r="287" spans="1:12" ht="14.25">
      <c r="A287" s="595"/>
      <c r="B287" s="595"/>
      <c r="C287" s="595"/>
      <c r="D287" s="595"/>
      <c r="E287" s="595"/>
      <c r="F287" s="595"/>
      <c r="G287" s="595"/>
      <c r="H287" s="595"/>
      <c r="I287" s="595"/>
      <c r="J287" s="595"/>
      <c r="K287" s="595"/>
      <c r="L287" s="595"/>
    </row>
    <row r="288" spans="1:12" ht="14.25">
      <c r="A288" s="595"/>
      <c r="B288" s="595"/>
      <c r="C288" s="595"/>
      <c r="D288" s="595"/>
      <c r="E288" s="595"/>
      <c r="F288" s="595"/>
      <c r="G288" s="595"/>
      <c r="H288" s="595"/>
      <c r="I288" s="595"/>
      <c r="J288" s="595"/>
      <c r="K288" s="595"/>
      <c r="L288" s="595"/>
    </row>
    <row r="289" spans="1:12" ht="14.25">
      <c r="A289" s="595"/>
      <c r="B289" s="595"/>
      <c r="C289" s="595"/>
      <c r="D289" s="595"/>
      <c r="E289" s="595"/>
      <c r="F289" s="595"/>
      <c r="G289" s="595"/>
      <c r="H289" s="595"/>
      <c r="I289" s="595"/>
      <c r="J289" s="595"/>
      <c r="K289" s="595"/>
      <c r="L289" s="595"/>
    </row>
    <row r="290" spans="1:12" ht="14.25">
      <c r="A290" s="595"/>
      <c r="B290" s="595"/>
      <c r="C290" s="595"/>
      <c r="D290" s="595"/>
      <c r="E290" s="595"/>
      <c r="F290" s="595"/>
      <c r="G290" s="595"/>
      <c r="H290" s="595"/>
      <c r="I290" s="595"/>
      <c r="J290" s="595"/>
      <c r="K290" s="595"/>
      <c r="L290" s="595"/>
    </row>
    <row r="291" spans="1:12" ht="14.25">
      <c r="A291" s="595"/>
      <c r="B291" s="595"/>
      <c r="C291" s="595"/>
      <c r="D291" s="595"/>
      <c r="E291" s="595"/>
      <c r="F291" s="595"/>
      <c r="G291" s="595"/>
      <c r="H291" s="595"/>
      <c r="I291" s="595"/>
      <c r="J291" s="595"/>
      <c r="K291" s="595"/>
      <c r="L291" s="595"/>
    </row>
    <row r="292" spans="1:12" ht="14.25">
      <c r="A292" s="595"/>
      <c r="B292" s="595"/>
      <c r="C292" s="595"/>
      <c r="D292" s="595"/>
      <c r="E292" s="595"/>
      <c r="F292" s="595"/>
      <c r="G292" s="595"/>
      <c r="H292" s="595"/>
      <c r="I292" s="595"/>
      <c r="J292" s="595"/>
      <c r="K292" s="595"/>
      <c r="L292" s="595"/>
    </row>
    <row r="293" spans="1:12" ht="14.25">
      <c r="A293" s="595"/>
      <c r="B293" s="595"/>
      <c r="C293" s="595"/>
      <c r="D293" s="595"/>
      <c r="E293" s="595"/>
      <c r="F293" s="595"/>
      <c r="G293" s="595"/>
      <c r="H293" s="595"/>
      <c r="I293" s="595"/>
      <c r="J293" s="595"/>
      <c r="K293" s="595"/>
      <c r="L293" s="595"/>
    </row>
    <row r="294" spans="1:12" ht="14.25">
      <c r="A294" s="595"/>
      <c r="B294" s="595"/>
      <c r="C294" s="595"/>
      <c r="D294" s="595"/>
      <c r="E294" s="595"/>
      <c r="F294" s="595"/>
      <c r="G294" s="595"/>
      <c r="H294" s="595"/>
      <c r="I294" s="595"/>
      <c r="J294" s="595"/>
      <c r="K294" s="595"/>
      <c r="L294" s="595"/>
    </row>
    <row r="295" spans="1:12" ht="14.25">
      <c r="A295" s="595"/>
      <c r="B295" s="595"/>
      <c r="C295" s="595"/>
      <c r="D295" s="595"/>
      <c r="E295" s="595"/>
      <c r="F295" s="595"/>
      <c r="G295" s="595"/>
      <c r="H295" s="595"/>
      <c r="I295" s="595"/>
      <c r="J295" s="595"/>
      <c r="K295" s="595"/>
      <c r="L295" s="595"/>
    </row>
    <row r="296" spans="1:12" ht="14.25">
      <c r="A296" s="595"/>
      <c r="B296" s="595"/>
      <c r="C296" s="595"/>
      <c r="D296" s="595"/>
      <c r="E296" s="595"/>
      <c r="F296" s="595"/>
      <c r="G296" s="595"/>
      <c r="H296" s="595"/>
      <c r="I296" s="595"/>
      <c r="J296" s="595"/>
      <c r="K296" s="595"/>
      <c r="L296" s="595"/>
    </row>
    <row r="297" spans="1:12" ht="14.25">
      <c r="A297" s="595"/>
      <c r="B297" s="595"/>
      <c r="C297" s="595"/>
      <c r="D297" s="595"/>
      <c r="E297" s="595"/>
      <c r="F297" s="595"/>
      <c r="G297" s="595"/>
      <c r="H297" s="595"/>
      <c r="I297" s="595"/>
      <c r="J297" s="595"/>
      <c r="K297" s="595"/>
      <c r="L297" s="595"/>
    </row>
    <row r="298" spans="1:12" ht="14.25">
      <c r="A298" s="595"/>
      <c r="B298" s="595"/>
      <c r="C298" s="595"/>
      <c r="D298" s="595"/>
      <c r="E298" s="595"/>
      <c r="F298" s="595"/>
      <c r="G298" s="595"/>
      <c r="H298" s="595"/>
      <c r="I298" s="595"/>
      <c r="J298" s="595"/>
      <c r="K298" s="595"/>
      <c r="L298" s="595"/>
    </row>
    <row r="299" spans="1:12" ht="14.25">
      <c r="A299" s="595"/>
      <c r="B299" s="595"/>
      <c r="C299" s="595"/>
      <c r="D299" s="595"/>
      <c r="E299" s="595"/>
      <c r="F299" s="595"/>
      <c r="G299" s="595"/>
      <c r="H299" s="595"/>
      <c r="I299" s="595"/>
      <c r="J299" s="595"/>
      <c r="K299" s="595"/>
      <c r="L299" s="595"/>
    </row>
    <row r="300" spans="1:12" ht="14.25">
      <c r="A300" s="595"/>
      <c r="B300" s="595"/>
      <c r="C300" s="595"/>
      <c r="D300" s="595"/>
      <c r="E300" s="595"/>
      <c r="F300" s="595"/>
      <c r="G300" s="595"/>
      <c r="H300" s="595"/>
      <c r="I300" s="595"/>
      <c r="J300" s="595"/>
      <c r="K300" s="595"/>
      <c r="L300" s="595"/>
    </row>
    <row r="301" spans="1:12" ht="14.25">
      <c r="A301" s="595"/>
      <c r="B301" s="595"/>
      <c r="C301" s="595"/>
      <c r="D301" s="595"/>
      <c r="E301" s="595"/>
      <c r="F301" s="595"/>
      <c r="G301" s="595"/>
      <c r="H301" s="595"/>
      <c r="I301" s="595"/>
      <c r="J301" s="595"/>
      <c r="K301" s="595"/>
      <c r="L301" s="595"/>
    </row>
    <row r="302" spans="1:12" ht="14.25">
      <c r="A302" s="595"/>
      <c r="B302" s="595"/>
      <c r="C302" s="595"/>
      <c r="D302" s="595"/>
      <c r="E302" s="595"/>
      <c r="F302" s="595"/>
      <c r="G302" s="595"/>
      <c r="H302" s="595"/>
      <c r="I302" s="595"/>
      <c r="J302" s="595"/>
      <c r="K302" s="595"/>
      <c r="L302" s="595"/>
    </row>
    <row r="303" spans="1:12" ht="14.25">
      <c r="A303" s="595"/>
      <c r="B303" s="595"/>
      <c r="C303" s="595"/>
      <c r="D303" s="595"/>
      <c r="E303" s="595"/>
      <c r="F303" s="595"/>
      <c r="G303" s="595"/>
      <c r="H303" s="595"/>
      <c r="I303" s="595"/>
      <c r="J303" s="595"/>
      <c r="K303" s="595"/>
      <c r="L303" s="595"/>
    </row>
    <row r="304" spans="1:12" ht="14.25">
      <c r="A304" s="595"/>
      <c r="B304" s="595"/>
      <c r="C304" s="595"/>
      <c r="D304" s="595"/>
      <c r="E304" s="595"/>
      <c r="F304" s="595"/>
      <c r="G304" s="595"/>
      <c r="H304" s="595"/>
      <c r="I304" s="595"/>
      <c r="J304" s="595"/>
      <c r="K304" s="595"/>
      <c r="L304" s="595"/>
    </row>
    <row r="305" spans="1:12" ht="14.25">
      <c r="A305" s="595"/>
      <c r="B305" s="595"/>
      <c r="C305" s="595"/>
      <c r="D305" s="595"/>
      <c r="E305" s="595"/>
      <c r="F305" s="595"/>
      <c r="G305" s="595"/>
      <c r="H305" s="595"/>
      <c r="I305" s="595"/>
      <c r="J305" s="595"/>
      <c r="K305" s="595"/>
      <c r="L305" s="595"/>
    </row>
    <row r="306" spans="1:12" ht="14.25">
      <c r="A306" s="595"/>
      <c r="B306" s="595"/>
      <c r="C306" s="595"/>
      <c r="D306" s="595"/>
      <c r="E306" s="595"/>
      <c r="F306" s="595"/>
      <c r="G306" s="595"/>
      <c r="H306" s="595"/>
      <c r="I306" s="595"/>
      <c r="J306" s="595"/>
      <c r="K306" s="595"/>
      <c r="L306" s="595"/>
    </row>
    <row r="307" spans="1:12" ht="14.25">
      <c r="A307" s="595"/>
      <c r="B307" s="595"/>
      <c r="C307" s="595"/>
      <c r="D307" s="595"/>
      <c r="E307" s="595"/>
      <c r="F307" s="595"/>
      <c r="G307" s="595"/>
      <c r="H307" s="595"/>
      <c r="I307" s="595"/>
      <c r="J307" s="595"/>
      <c r="K307" s="595"/>
      <c r="L307" s="595"/>
    </row>
    <row r="308" spans="1:12" ht="14.25">
      <c r="A308" s="595"/>
      <c r="B308" s="595"/>
      <c r="C308" s="595"/>
      <c r="D308" s="595"/>
      <c r="E308" s="595"/>
      <c r="F308" s="595"/>
      <c r="G308" s="595"/>
      <c r="H308" s="595"/>
      <c r="I308" s="595"/>
      <c r="J308" s="595"/>
      <c r="K308" s="595"/>
      <c r="L308" s="595"/>
    </row>
    <row r="309" spans="1:12" ht="14.25">
      <c r="A309" s="595"/>
      <c r="B309" s="595"/>
      <c r="C309" s="595"/>
      <c r="D309" s="595"/>
      <c r="E309" s="595"/>
      <c r="F309" s="595"/>
      <c r="G309" s="595"/>
      <c r="H309" s="595"/>
      <c r="I309" s="595"/>
      <c r="J309" s="595"/>
      <c r="K309" s="595"/>
      <c r="L309" s="595"/>
    </row>
    <row r="310" spans="1:12" ht="14.25">
      <c r="A310" s="595"/>
      <c r="B310" s="595"/>
      <c r="C310" s="595"/>
      <c r="D310" s="595"/>
      <c r="E310" s="595"/>
      <c r="F310" s="595"/>
      <c r="G310" s="595"/>
      <c r="H310" s="595"/>
      <c r="I310" s="595"/>
      <c r="J310" s="595"/>
      <c r="K310" s="595"/>
      <c r="L310" s="595"/>
    </row>
    <row r="311" spans="1:12" ht="14.25">
      <c r="A311" s="595"/>
      <c r="B311" s="595"/>
      <c r="C311" s="595"/>
      <c r="D311" s="595"/>
      <c r="E311" s="595"/>
      <c r="F311" s="595"/>
      <c r="G311" s="595"/>
      <c r="H311" s="595"/>
      <c r="I311" s="595"/>
      <c r="J311" s="595"/>
      <c r="K311" s="595"/>
      <c r="L311" s="595"/>
    </row>
    <row r="312" spans="1:12" ht="14.25">
      <c r="A312" s="595"/>
      <c r="B312" s="595"/>
      <c r="C312" s="595"/>
      <c r="D312" s="595"/>
      <c r="E312" s="595"/>
      <c r="F312" s="595"/>
      <c r="G312" s="595"/>
      <c r="H312" s="595"/>
      <c r="I312" s="595"/>
      <c r="J312" s="595"/>
      <c r="K312" s="595"/>
      <c r="L312" s="595"/>
    </row>
    <row r="313" spans="1:12" ht="14.25">
      <c r="A313" s="595"/>
      <c r="B313" s="595"/>
      <c r="C313" s="595"/>
      <c r="D313" s="595"/>
      <c r="E313" s="595"/>
      <c r="F313" s="595"/>
      <c r="G313" s="595"/>
      <c r="H313" s="595"/>
      <c r="I313" s="595"/>
      <c r="J313" s="595"/>
      <c r="K313" s="595"/>
      <c r="L313" s="595"/>
    </row>
    <row r="314" spans="1:12" ht="14.25">
      <c r="A314" s="595"/>
      <c r="B314" s="595"/>
      <c r="C314" s="595"/>
      <c r="D314" s="595"/>
      <c r="E314" s="595"/>
      <c r="F314" s="595"/>
      <c r="G314" s="595"/>
      <c r="H314" s="595"/>
      <c r="I314" s="595"/>
      <c r="J314" s="595"/>
      <c r="K314" s="595"/>
      <c r="L314" s="595"/>
    </row>
    <row r="315" spans="1:12" ht="14.25">
      <c r="A315" s="595"/>
      <c r="B315" s="595"/>
      <c r="C315" s="595"/>
      <c r="D315" s="595"/>
      <c r="E315" s="595"/>
      <c r="F315" s="595"/>
      <c r="G315" s="595"/>
      <c r="H315" s="595"/>
      <c r="I315" s="595"/>
      <c r="J315" s="595"/>
      <c r="K315" s="595"/>
      <c r="L315" s="595"/>
    </row>
    <row r="316" spans="1:12" ht="14.25">
      <c r="A316" s="595"/>
      <c r="B316" s="595"/>
      <c r="C316" s="595"/>
      <c r="D316" s="595"/>
      <c r="E316" s="595"/>
      <c r="F316" s="595"/>
      <c r="G316" s="595"/>
      <c r="H316" s="595"/>
      <c r="I316" s="595"/>
      <c r="J316" s="595"/>
      <c r="K316" s="595"/>
      <c r="L316" s="595"/>
    </row>
    <row r="317" spans="1:12" ht="14.25">
      <c r="A317" s="595"/>
      <c r="B317" s="595"/>
      <c r="C317" s="595"/>
      <c r="D317" s="595"/>
      <c r="E317" s="595"/>
      <c r="F317" s="595"/>
      <c r="G317" s="595"/>
      <c r="H317" s="595"/>
      <c r="I317" s="595"/>
      <c r="J317" s="595"/>
      <c r="K317" s="595"/>
      <c r="L317" s="595"/>
    </row>
    <row r="318" spans="1:12" ht="14.25">
      <c r="A318" s="595"/>
      <c r="B318" s="595"/>
      <c r="C318" s="595"/>
      <c r="D318" s="595"/>
      <c r="E318" s="595"/>
      <c r="F318" s="595"/>
      <c r="G318" s="595"/>
      <c r="H318" s="595"/>
      <c r="I318" s="595"/>
      <c r="J318" s="595"/>
      <c r="K318" s="595"/>
      <c r="L318" s="595"/>
    </row>
    <row r="319" spans="1:12" ht="14.25">
      <c r="A319" s="595"/>
      <c r="B319" s="595"/>
      <c r="C319" s="595"/>
      <c r="D319" s="595"/>
      <c r="E319" s="595"/>
      <c r="F319" s="595"/>
      <c r="G319" s="595"/>
      <c r="H319" s="595"/>
      <c r="I319" s="595"/>
      <c r="J319" s="595"/>
      <c r="K319" s="595"/>
      <c r="L319" s="595"/>
    </row>
    <row r="320" spans="1:12" ht="14.25">
      <c r="A320" s="595"/>
      <c r="B320" s="595"/>
      <c r="C320" s="595"/>
      <c r="D320" s="595"/>
      <c r="E320" s="595"/>
      <c r="F320" s="595"/>
      <c r="G320" s="595"/>
      <c r="H320" s="595"/>
      <c r="I320" s="595"/>
      <c r="J320" s="595"/>
      <c r="K320" s="595"/>
      <c r="L320" s="595"/>
    </row>
    <row r="321" spans="1:12" ht="14.25">
      <c r="A321" s="595"/>
      <c r="B321" s="595"/>
      <c r="C321" s="595"/>
      <c r="D321" s="595"/>
      <c r="E321" s="595"/>
      <c r="F321" s="595"/>
      <c r="G321" s="595"/>
      <c r="H321" s="595"/>
      <c r="I321" s="595"/>
      <c r="J321" s="595"/>
      <c r="K321" s="595"/>
      <c r="L321" s="595"/>
    </row>
    <row r="322" spans="1:12" ht="14.25">
      <c r="A322" s="595"/>
      <c r="B322" s="595"/>
      <c r="C322" s="595"/>
      <c r="D322" s="595"/>
      <c r="E322" s="595"/>
      <c r="F322" s="595"/>
      <c r="G322" s="595"/>
      <c r="H322" s="595"/>
      <c r="I322" s="595"/>
      <c r="J322" s="595"/>
      <c r="K322" s="595"/>
      <c r="L322" s="595"/>
    </row>
    <row r="323" spans="1:12" ht="14.25">
      <c r="A323" s="595"/>
      <c r="B323" s="595"/>
      <c r="C323" s="595"/>
      <c r="D323" s="595"/>
      <c r="E323" s="595"/>
      <c r="F323" s="595"/>
      <c r="G323" s="595"/>
      <c r="H323" s="595"/>
      <c r="I323" s="595"/>
      <c r="J323" s="595"/>
      <c r="K323" s="595"/>
      <c r="L323" s="595"/>
    </row>
    <row r="324" spans="1:12" ht="14.25">
      <c r="A324" s="595"/>
      <c r="B324" s="595"/>
      <c r="C324" s="595"/>
      <c r="D324" s="595"/>
      <c r="E324" s="595"/>
      <c r="F324" s="595"/>
      <c r="G324" s="595"/>
      <c r="H324" s="595"/>
      <c r="I324" s="595"/>
      <c r="J324" s="595"/>
      <c r="K324" s="595"/>
      <c r="L324" s="595"/>
    </row>
    <row r="325" spans="1:12" ht="14.25">
      <c r="A325" s="595"/>
      <c r="B325" s="595"/>
      <c r="C325" s="595"/>
      <c r="D325" s="595"/>
      <c r="E325" s="595"/>
      <c r="F325" s="595"/>
      <c r="G325" s="595"/>
      <c r="H325" s="595"/>
      <c r="I325" s="595"/>
      <c r="J325" s="595"/>
      <c r="K325" s="595"/>
      <c r="L325" s="595"/>
    </row>
    <row r="326" spans="1:12" ht="14.25">
      <c r="A326" s="595"/>
      <c r="B326" s="595"/>
      <c r="C326" s="595"/>
      <c r="D326" s="595"/>
      <c r="E326" s="595"/>
      <c r="F326" s="595"/>
      <c r="G326" s="595"/>
      <c r="H326" s="595"/>
      <c r="I326" s="595"/>
      <c r="J326" s="595"/>
      <c r="K326" s="595"/>
      <c r="L326" s="595"/>
    </row>
    <row r="327" spans="1:12" ht="14.25">
      <c r="A327" s="595"/>
      <c r="B327" s="595"/>
      <c r="C327" s="595"/>
      <c r="D327" s="595"/>
      <c r="E327" s="595"/>
      <c r="F327" s="595"/>
      <c r="G327" s="595"/>
      <c r="H327" s="595"/>
      <c r="I327" s="595"/>
      <c r="J327" s="595"/>
      <c r="K327" s="595"/>
      <c r="L327" s="595"/>
    </row>
    <row r="328" spans="1:12" ht="14.25">
      <c r="A328" s="595"/>
      <c r="B328" s="595"/>
      <c r="C328" s="595"/>
      <c r="D328" s="595"/>
      <c r="E328" s="595"/>
      <c r="F328" s="595"/>
      <c r="G328" s="595"/>
      <c r="H328" s="595"/>
      <c r="I328" s="595"/>
      <c r="J328" s="595"/>
      <c r="K328" s="595"/>
      <c r="L328" s="595"/>
    </row>
    <row r="329" spans="1:12" ht="14.25">
      <c r="A329" s="595"/>
      <c r="B329" s="595"/>
      <c r="C329" s="595"/>
      <c r="D329" s="595"/>
      <c r="E329" s="595"/>
      <c r="F329" s="595"/>
      <c r="G329" s="595"/>
      <c r="H329" s="595"/>
      <c r="I329" s="595"/>
      <c r="J329" s="595"/>
      <c r="K329" s="595"/>
      <c r="L329" s="595"/>
    </row>
    <row r="330" spans="1:12" ht="14.25">
      <c r="A330" s="595"/>
      <c r="B330" s="595"/>
      <c r="C330" s="595"/>
      <c r="D330" s="595"/>
      <c r="E330" s="595"/>
      <c r="F330" s="595"/>
      <c r="G330" s="595"/>
      <c r="H330" s="595"/>
      <c r="I330" s="595"/>
      <c r="J330" s="595"/>
      <c r="K330" s="595"/>
      <c r="L330" s="595"/>
    </row>
    <row r="331" spans="1:12" ht="14.25">
      <c r="A331" s="595"/>
      <c r="B331" s="595"/>
      <c r="C331" s="595"/>
      <c r="D331" s="595"/>
      <c r="E331" s="595"/>
      <c r="F331" s="595"/>
      <c r="G331" s="595"/>
      <c r="H331" s="595"/>
      <c r="I331" s="595"/>
      <c r="J331" s="595"/>
      <c r="K331" s="595"/>
      <c r="L331" s="595"/>
    </row>
    <row r="332" spans="1:12" ht="14.25">
      <c r="A332" s="595"/>
      <c r="B332" s="595"/>
      <c r="C332" s="595"/>
      <c r="D332" s="595"/>
      <c r="E332" s="595"/>
      <c r="F332" s="595"/>
      <c r="G332" s="595"/>
      <c r="H332" s="595"/>
      <c r="I332" s="595"/>
      <c r="J332" s="595"/>
      <c r="K332" s="595"/>
      <c r="L332" s="595"/>
    </row>
    <row r="333" spans="1:12" ht="14.25">
      <c r="A333" s="595"/>
      <c r="B333" s="595"/>
      <c r="C333" s="595"/>
      <c r="D333" s="595"/>
      <c r="E333" s="595"/>
      <c r="F333" s="595"/>
      <c r="G333" s="595"/>
      <c r="H333" s="595"/>
      <c r="I333" s="595"/>
      <c r="J333" s="595"/>
      <c r="K333" s="595"/>
      <c r="L333" s="595"/>
    </row>
    <row r="334" spans="1:12" ht="14.25">
      <c r="A334" s="595"/>
      <c r="B334" s="595"/>
      <c r="C334" s="595"/>
      <c r="D334" s="595"/>
      <c r="E334" s="595"/>
      <c r="F334" s="595"/>
      <c r="G334" s="595"/>
      <c r="H334" s="595"/>
      <c r="I334" s="595"/>
      <c r="J334" s="595"/>
      <c r="K334" s="595"/>
      <c r="L334" s="595"/>
    </row>
    <row r="335" spans="1:12" ht="14.25">
      <c r="A335" s="595"/>
      <c r="B335" s="595"/>
      <c r="C335" s="595"/>
      <c r="D335" s="595"/>
      <c r="E335" s="595"/>
      <c r="F335" s="595"/>
      <c r="G335" s="595"/>
      <c r="H335" s="595"/>
      <c r="I335" s="595"/>
      <c r="J335" s="595"/>
      <c r="K335" s="595"/>
      <c r="L335" s="595"/>
    </row>
    <row r="336" spans="1:12" ht="14.25">
      <c r="A336" s="595"/>
      <c r="B336" s="595"/>
      <c r="C336" s="595"/>
      <c r="D336" s="595"/>
      <c r="E336" s="595"/>
      <c r="F336" s="595"/>
      <c r="G336" s="595"/>
      <c r="H336" s="595"/>
      <c r="I336" s="595"/>
      <c r="J336" s="595"/>
      <c r="K336" s="595"/>
      <c r="L336" s="595"/>
    </row>
    <row r="337" spans="1:12" ht="14.25">
      <c r="A337" s="595"/>
      <c r="B337" s="595"/>
      <c r="C337" s="595"/>
      <c r="D337" s="595"/>
      <c r="E337" s="595"/>
      <c r="F337" s="595"/>
      <c r="G337" s="595"/>
      <c r="H337" s="595"/>
      <c r="I337" s="595"/>
      <c r="J337" s="595"/>
      <c r="K337" s="595"/>
      <c r="L337" s="595"/>
    </row>
    <row r="338" spans="1:12" ht="14.25">
      <c r="A338" s="595"/>
      <c r="B338" s="595"/>
      <c r="C338" s="595"/>
      <c r="D338" s="595"/>
      <c r="E338" s="595"/>
      <c r="F338" s="595"/>
      <c r="G338" s="595"/>
      <c r="H338" s="595"/>
      <c r="I338" s="595"/>
      <c r="J338" s="595"/>
      <c r="K338" s="595"/>
      <c r="L338" s="595"/>
    </row>
    <row r="339" spans="1:12" ht="14.25">
      <c r="A339" s="595"/>
      <c r="B339" s="595"/>
      <c r="C339" s="595"/>
      <c r="D339" s="595"/>
      <c r="E339" s="595"/>
      <c r="F339" s="595"/>
      <c r="G339" s="595"/>
      <c r="H339" s="595"/>
      <c r="I339" s="595"/>
      <c r="J339" s="595"/>
      <c r="K339" s="595"/>
      <c r="L339" s="595"/>
    </row>
    <row r="340" spans="1:12" ht="14.25">
      <c r="A340" s="595"/>
      <c r="B340" s="595"/>
      <c r="C340" s="595"/>
      <c r="D340" s="595"/>
      <c r="E340" s="595"/>
      <c r="F340" s="595"/>
      <c r="G340" s="595"/>
      <c r="H340" s="595"/>
      <c r="I340" s="595"/>
      <c r="J340" s="595"/>
      <c r="K340" s="595"/>
      <c r="L340" s="595"/>
    </row>
    <row r="341" spans="1:12" ht="14.25">
      <c r="A341" s="595"/>
      <c r="B341" s="595"/>
      <c r="C341" s="595"/>
      <c r="D341" s="595"/>
      <c r="E341" s="595"/>
      <c r="F341" s="595"/>
      <c r="G341" s="595"/>
      <c r="H341" s="595"/>
      <c r="I341" s="595"/>
      <c r="J341" s="595"/>
      <c r="K341" s="595"/>
      <c r="L341" s="595"/>
    </row>
    <row r="342" spans="1:12" ht="14.25">
      <c r="A342" s="595"/>
      <c r="B342" s="595"/>
      <c r="C342" s="595"/>
      <c r="D342" s="595"/>
      <c r="E342" s="595"/>
      <c r="F342" s="595"/>
      <c r="G342" s="595"/>
      <c r="H342" s="595"/>
      <c r="I342" s="595"/>
      <c r="J342" s="595"/>
      <c r="K342" s="595"/>
      <c r="L342" s="595"/>
    </row>
    <row r="343" spans="1:12" ht="14.25">
      <c r="A343" s="595"/>
      <c r="B343" s="595"/>
      <c r="C343" s="595"/>
      <c r="D343" s="595"/>
      <c r="E343" s="595"/>
      <c r="F343" s="595"/>
      <c r="G343" s="595"/>
      <c r="H343" s="595"/>
      <c r="I343" s="595"/>
      <c r="J343" s="595"/>
      <c r="K343" s="595"/>
      <c r="L343" s="595"/>
    </row>
    <row r="344" spans="1:12" ht="14.25">
      <c r="A344" s="595"/>
      <c r="B344" s="595"/>
      <c r="C344" s="595"/>
      <c r="D344" s="595"/>
      <c r="E344" s="595"/>
      <c r="F344" s="595"/>
      <c r="G344" s="595"/>
      <c r="H344" s="595"/>
      <c r="I344" s="595"/>
      <c r="J344" s="595"/>
      <c r="K344" s="595"/>
      <c r="L344" s="595"/>
    </row>
    <row r="345" spans="1:12" ht="14.25">
      <c r="A345" s="595"/>
      <c r="B345" s="595"/>
      <c r="C345" s="595"/>
      <c r="D345" s="595"/>
      <c r="E345" s="595"/>
      <c r="F345" s="595"/>
      <c r="G345" s="595"/>
      <c r="H345" s="595"/>
      <c r="I345" s="595"/>
      <c r="J345" s="595"/>
      <c r="K345" s="595"/>
      <c r="L345" s="595"/>
    </row>
    <row r="346" spans="1:12" ht="14.25">
      <c r="A346" s="595"/>
      <c r="B346" s="595"/>
      <c r="C346" s="595"/>
      <c r="D346" s="595"/>
      <c r="E346" s="595"/>
      <c r="F346" s="595"/>
      <c r="G346" s="595"/>
      <c r="H346" s="595"/>
      <c r="I346" s="595"/>
      <c r="J346" s="595"/>
      <c r="K346" s="595"/>
      <c r="L346" s="595"/>
    </row>
    <row r="347" spans="1:12" ht="14.25">
      <c r="A347" s="595"/>
      <c r="B347" s="595"/>
      <c r="C347" s="595"/>
      <c r="D347" s="595"/>
      <c r="E347" s="595"/>
      <c r="F347" s="595"/>
      <c r="G347" s="595"/>
      <c r="H347" s="595"/>
      <c r="I347" s="595"/>
      <c r="J347" s="595"/>
      <c r="K347" s="595"/>
      <c r="L347" s="595"/>
    </row>
    <row r="348" spans="1:12" ht="14.25">
      <c r="A348" s="595"/>
      <c r="B348" s="595"/>
      <c r="C348" s="595"/>
      <c r="D348" s="595"/>
      <c r="E348" s="595"/>
      <c r="F348" s="595"/>
      <c r="G348" s="595"/>
      <c r="H348" s="595"/>
      <c r="I348" s="595"/>
      <c r="J348" s="595"/>
      <c r="K348" s="595"/>
      <c r="L348" s="595"/>
    </row>
    <row r="349" spans="1:12" ht="14.25">
      <c r="A349" s="595"/>
      <c r="B349" s="595"/>
      <c r="C349" s="595"/>
      <c r="D349" s="595"/>
      <c r="E349" s="595"/>
      <c r="F349" s="595"/>
      <c r="G349" s="595"/>
      <c r="H349" s="595"/>
      <c r="I349" s="595"/>
      <c r="J349" s="595"/>
      <c r="K349" s="595"/>
      <c r="L349" s="595"/>
    </row>
    <row r="350" spans="1:12" ht="14.25">
      <c r="A350" s="595"/>
      <c r="B350" s="595"/>
      <c r="C350" s="595"/>
      <c r="D350" s="595"/>
      <c r="E350" s="595"/>
      <c r="F350" s="595"/>
      <c r="G350" s="595"/>
      <c r="H350" s="595"/>
      <c r="I350" s="595"/>
      <c r="J350" s="595"/>
      <c r="K350" s="595"/>
      <c r="L350" s="595"/>
    </row>
    <row r="351" spans="1:12" ht="14.25">
      <c r="A351" s="595"/>
      <c r="B351" s="595"/>
      <c r="C351" s="595"/>
      <c r="D351" s="595"/>
      <c r="E351" s="595"/>
      <c r="F351" s="595"/>
      <c r="G351" s="595"/>
      <c r="H351" s="595"/>
      <c r="I351" s="595"/>
      <c r="J351" s="595"/>
      <c r="K351" s="595"/>
      <c r="L351" s="595"/>
    </row>
    <row r="352" spans="1:12" ht="14.25">
      <c r="A352" s="595"/>
      <c r="B352" s="595"/>
      <c r="C352" s="595"/>
      <c r="D352" s="595"/>
      <c r="E352" s="595"/>
      <c r="F352" s="595"/>
      <c r="G352" s="595"/>
      <c r="H352" s="595"/>
      <c r="I352" s="595"/>
      <c r="J352" s="595"/>
      <c r="K352" s="595"/>
      <c r="L352" s="595"/>
    </row>
    <row r="353" spans="1:12" ht="14.25">
      <c r="A353" s="595"/>
      <c r="B353" s="595"/>
      <c r="C353" s="595"/>
      <c r="D353" s="595"/>
      <c r="E353" s="595"/>
      <c r="F353" s="595"/>
      <c r="G353" s="595"/>
      <c r="H353" s="595"/>
      <c r="I353" s="595"/>
      <c r="J353" s="595"/>
      <c r="K353" s="595"/>
      <c r="L353" s="595"/>
    </row>
    <row r="354" spans="1:12" ht="14.25">
      <c r="A354" s="595"/>
      <c r="B354" s="595"/>
      <c r="C354" s="595"/>
      <c r="D354" s="595"/>
      <c r="E354" s="595"/>
      <c r="F354" s="595"/>
      <c r="G354" s="595"/>
      <c r="H354" s="595"/>
      <c r="I354" s="595"/>
      <c r="J354" s="595"/>
      <c r="K354" s="595"/>
      <c r="L354" s="595"/>
    </row>
  </sheetData>
  <sheetProtection sheet="1"/>
  <mergeCells count="55">
    <mergeCell ref="B144:K144"/>
    <mergeCell ref="C147:D147"/>
    <mergeCell ref="J147:K147"/>
    <mergeCell ref="B105:K105"/>
    <mergeCell ref="B106:K106"/>
    <mergeCell ref="B108:K108"/>
    <mergeCell ref="C114:D114"/>
    <mergeCell ref="B126:K126"/>
    <mergeCell ref="B125:K125"/>
    <mergeCell ref="C148:D148"/>
    <mergeCell ref="J148:K148"/>
    <mergeCell ref="B128:K128"/>
    <mergeCell ref="B130:K130"/>
    <mergeCell ref="C133:D133"/>
    <mergeCell ref="H133:I133"/>
    <mergeCell ref="C134:D134"/>
    <mergeCell ref="H134:I134"/>
    <mergeCell ref="C136:D136"/>
    <mergeCell ref="C137:D137"/>
    <mergeCell ref="B58:K58"/>
    <mergeCell ref="C117:D117"/>
    <mergeCell ref="B85:K85"/>
    <mergeCell ref="B86:K86"/>
    <mergeCell ref="B88:K88"/>
    <mergeCell ref="B90:K90"/>
    <mergeCell ref="C103:D103"/>
    <mergeCell ref="C74:D74"/>
    <mergeCell ref="B110:K110"/>
    <mergeCell ref="C94:D94"/>
    <mergeCell ref="B55:K55"/>
    <mergeCell ref="B35:K35"/>
    <mergeCell ref="C41:D41"/>
    <mergeCell ref="B48:C48"/>
    <mergeCell ref="G50:H50"/>
    <mergeCell ref="F23:G23"/>
    <mergeCell ref="B30:K30"/>
    <mergeCell ref="B31:K31"/>
    <mergeCell ref="B33:K33"/>
    <mergeCell ref="B57:K57"/>
    <mergeCell ref="B52:K52"/>
    <mergeCell ref="B53:K53"/>
    <mergeCell ref="B6:K6"/>
    <mergeCell ref="B7:K7"/>
    <mergeCell ref="B8:K8"/>
    <mergeCell ref="B10:K10"/>
    <mergeCell ref="I51:K51"/>
    <mergeCell ref="B12:K12"/>
    <mergeCell ref="C25:D25"/>
    <mergeCell ref="C97:D97"/>
    <mergeCell ref="C120:D120"/>
    <mergeCell ref="C123:D123"/>
    <mergeCell ref="C77:D77"/>
    <mergeCell ref="C80:D80"/>
    <mergeCell ref="C83:D83"/>
    <mergeCell ref="C100:D100"/>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A15" sqref="A15"/>
    </sheetView>
  </sheetViews>
  <sheetFormatPr defaultColWidth="8.796875" defaultRowHeight="15"/>
  <cols>
    <col min="1" max="1" width="71.19921875" style="0" customWidth="1"/>
  </cols>
  <sheetData>
    <row r="1" ht="16.5">
      <c r="A1" s="501" t="s">
        <v>79</v>
      </c>
    </row>
    <row r="3" ht="31.5">
      <c r="A3" s="502" t="s">
        <v>80</v>
      </c>
    </row>
    <row r="4" ht="15.75">
      <c r="A4" s="503" t="s">
        <v>81</v>
      </c>
    </row>
    <row r="7" ht="31.5">
      <c r="A7" s="502" t="s">
        <v>82</v>
      </c>
    </row>
    <row r="8" ht="15.75">
      <c r="A8" s="503" t="s">
        <v>83</v>
      </c>
    </row>
    <row r="11" ht="15.75">
      <c r="A11" s="500" t="s">
        <v>84</v>
      </c>
    </row>
    <row r="12" ht="15.75">
      <c r="A12" s="503" t="s">
        <v>85</v>
      </c>
    </row>
    <row r="15" ht="15.75">
      <c r="A15" s="500" t="s">
        <v>86</v>
      </c>
    </row>
    <row r="16" ht="15.75">
      <c r="A16" s="503" t="s">
        <v>87</v>
      </c>
    </row>
    <row r="19" ht="15.75">
      <c r="A19" s="500" t="s">
        <v>88</v>
      </c>
    </row>
    <row r="20" ht="15.75">
      <c r="A20" s="503" t="s">
        <v>89</v>
      </c>
    </row>
    <row r="23" ht="15.75">
      <c r="A23" s="500" t="s">
        <v>90</v>
      </c>
    </row>
    <row r="24" ht="15.75">
      <c r="A24" s="503" t="s">
        <v>91</v>
      </c>
    </row>
    <row r="27" ht="15.75">
      <c r="A27" s="500" t="s">
        <v>92</v>
      </c>
    </row>
    <row r="28" ht="15.75">
      <c r="A28" s="503" t="s">
        <v>93</v>
      </c>
    </row>
    <row r="31" ht="15.75">
      <c r="A31" s="500" t="s">
        <v>94</v>
      </c>
    </row>
    <row r="32" ht="15.75">
      <c r="A32" s="503" t="s">
        <v>95</v>
      </c>
    </row>
    <row r="35" ht="15.75">
      <c r="A35" s="500" t="s">
        <v>96</v>
      </c>
    </row>
    <row r="36" ht="15.75">
      <c r="A36" s="503" t="s">
        <v>97</v>
      </c>
    </row>
    <row r="39" ht="15.75">
      <c r="A39" s="500" t="s">
        <v>98</v>
      </c>
    </row>
    <row r="40" ht="15.75">
      <c r="A40" s="503" t="s">
        <v>99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A165"/>
  <sheetViews>
    <sheetView zoomScalePageLayoutView="0" workbookViewId="0" topLeftCell="A1">
      <selection activeCell="A28" sqref="A28"/>
    </sheetView>
  </sheetViews>
  <sheetFormatPr defaultColWidth="8.796875" defaultRowHeight="15"/>
  <cols>
    <col min="1" max="1" width="80.09765625" style="52" customWidth="1"/>
    <col min="2" max="16384" width="8.8984375" style="52" customWidth="1"/>
  </cols>
  <sheetData>
    <row r="1" ht="15.75">
      <c r="A1" s="427" t="s">
        <v>208</v>
      </c>
    </row>
    <row r="2" ht="15.75">
      <c r="A2" s="697" t="s">
        <v>263</v>
      </c>
    </row>
    <row r="3" ht="15.75">
      <c r="A3" s="52" t="s">
        <v>235</v>
      </c>
    </row>
    <row r="4" ht="15.75">
      <c r="A4" s="52" t="s">
        <v>236</v>
      </c>
    </row>
    <row r="5" ht="15.75">
      <c r="A5" s="52" t="s">
        <v>265</v>
      </c>
    </row>
    <row r="6" ht="15.75">
      <c r="A6" s="52" t="s">
        <v>266</v>
      </c>
    </row>
    <row r="7" ht="15.75">
      <c r="A7" s="52" t="s">
        <v>267</v>
      </c>
    </row>
    <row r="8" ht="15.75">
      <c r="A8" s="52" t="s">
        <v>268</v>
      </c>
    </row>
    <row r="9" ht="15.75">
      <c r="A9" s="52" t="s">
        <v>269</v>
      </c>
    </row>
    <row r="10" ht="15.75">
      <c r="A10" s="52" t="s">
        <v>244</v>
      </c>
    </row>
    <row r="11" ht="15.75">
      <c r="A11" s="52" t="s">
        <v>245</v>
      </c>
    </row>
    <row r="12" ht="15.75">
      <c r="A12" s="52" t="s">
        <v>246</v>
      </c>
    </row>
    <row r="13" ht="15.75">
      <c r="A13" s="52" t="s">
        <v>247</v>
      </c>
    </row>
    <row r="14" ht="47.25">
      <c r="A14" s="55" t="s">
        <v>248</v>
      </c>
    </row>
    <row r="15" ht="31.5">
      <c r="A15" s="55" t="s">
        <v>249</v>
      </c>
    </row>
    <row r="16" ht="15.75">
      <c r="A16" s="52" t="s">
        <v>250</v>
      </c>
    </row>
    <row r="17" ht="15.75">
      <c r="A17" s="52" t="s">
        <v>251</v>
      </c>
    </row>
    <row r="18" ht="15.75">
      <c r="A18" s="52" t="s">
        <v>252</v>
      </c>
    </row>
    <row r="19" ht="15.75">
      <c r="A19" s="52" t="s">
        <v>253</v>
      </c>
    </row>
    <row r="20" ht="15.75">
      <c r="A20" s="52" t="s">
        <v>254</v>
      </c>
    </row>
    <row r="21" ht="15.75">
      <c r="A21" s="52" t="s">
        <v>255</v>
      </c>
    </row>
    <row r="22" ht="15.75">
      <c r="A22" s="52" t="s">
        <v>256</v>
      </c>
    </row>
    <row r="23" ht="15.75">
      <c r="A23" s="52" t="s">
        <v>257</v>
      </c>
    </row>
    <row r="24" ht="15.75">
      <c r="A24" s="52" t="s">
        <v>258</v>
      </c>
    </row>
    <row r="25" ht="15.75">
      <c r="A25" s="52" t="s">
        <v>259</v>
      </c>
    </row>
    <row r="26" ht="15.75">
      <c r="A26" s="52" t="s">
        <v>260</v>
      </c>
    </row>
    <row r="27" ht="15.75">
      <c r="A27" s="52" t="s">
        <v>261</v>
      </c>
    </row>
    <row r="30" ht="15.75">
      <c r="A30" s="427" t="s">
        <v>188</v>
      </c>
    </row>
    <row r="31" ht="15.75">
      <c r="A31" s="52" t="s">
        <v>189</v>
      </c>
    </row>
    <row r="33" ht="15.75">
      <c r="A33" s="427" t="s">
        <v>686</v>
      </c>
    </row>
    <row r="34" ht="15.75">
      <c r="A34" s="52" t="s">
        <v>187</v>
      </c>
    </row>
    <row r="36" ht="15.75">
      <c r="A36" s="427" t="s">
        <v>684</v>
      </c>
    </row>
    <row r="37" ht="15.75">
      <c r="A37" s="505" t="s">
        <v>685</v>
      </c>
    </row>
    <row r="39" ht="15.75">
      <c r="A39" s="427" t="s">
        <v>154</v>
      </c>
    </row>
    <row r="40" ht="15.75">
      <c r="A40" s="505" t="s">
        <v>160</v>
      </c>
    </row>
    <row r="41" ht="15.75">
      <c r="A41" s="505" t="s">
        <v>161</v>
      </c>
    </row>
    <row r="42" ht="15.75">
      <c r="A42" s="52" t="s">
        <v>162</v>
      </c>
    </row>
    <row r="43" ht="15.75">
      <c r="A43" s="505" t="s">
        <v>163</v>
      </c>
    </row>
    <row r="44" ht="15.75">
      <c r="A44" s="505" t="s">
        <v>164</v>
      </c>
    </row>
    <row r="45" ht="15.75">
      <c r="A45" s="505" t="s">
        <v>165</v>
      </c>
    </row>
    <row r="46" ht="15.75">
      <c r="A46" s="505" t="s">
        <v>166</v>
      </c>
    </row>
    <row r="47" ht="15.75">
      <c r="A47" s="505" t="s">
        <v>167</v>
      </c>
    </row>
    <row r="48" ht="15.75">
      <c r="A48" s="505" t="s">
        <v>168</v>
      </c>
    </row>
    <row r="49" ht="15.75">
      <c r="A49" s="505" t="s">
        <v>169</v>
      </c>
    </row>
    <row r="50" ht="15.75">
      <c r="A50" s="505" t="s">
        <v>170</v>
      </c>
    </row>
    <row r="51" ht="15.75">
      <c r="A51" s="505" t="s">
        <v>171</v>
      </c>
    </row>
    <row r="52" ht="15.75">
      <c r="A52" s="505" t="s">
        <v>172</v>
      </c>
    </row>
    <row r="53" ht="15.75">
      <c r="A53" s="505" t="s">
        <v>173</v>
      </c>
    </row>
    <row r="54" ht="15.75">
      <c r="A54" s="505" t="s">
        <v>174</v>
      </c>
    </row>
    <row r="55" ht="15.75">
      <c r="A55" s="505" t="s">
        <v>175</v>
      </c>
    </row>
    <row r="56" ht="15.75">
      <c r="A56" s="505" t="s">
        <v>176</v>
      </c>
    </row>
    <row r="57" ht="15.75">
      <c r="A57" s="505" t="s">
        <v>177</v>
      </c>
    </row>
    <row r="58" ht="15.75">
      <c r="A58" s="505" t="s">
        <v>178</v>
      </c>
    </row>
    <row r="59" ht="15.75">
      <c r="A59" s="505" t="s">
        <v>179</v>
      </c>
    </row>
    <row r="60" ht="15.75">
      <c r="A60" s="52" t="s">
        <v>180</v>
      </c>
    </row>
    <row r="64" ht="15.75">
      <c r="A64" s="427" t="s">
        <v>56</v>
      </c>
    </row>
    <row r="65" ht="15.75">
      <c r="A65" s="52" t="s">
        <v>57</v>
      </c>
    </row>
    <row r="66" ht="15.75">
      <c r="A66" s="52" t="s">
        <v>58</v>
      </c>
    </row>
    <row r="67" ht="15.75">
      <c r="A67" s="52" t="s">
        <v>59</v>
      </c>
    </row>
    <row r="69" ht="15.75">
      <c r="A69" s="433" t="s">
        <v>45</v>
      </c>
    </row>
    <row r="70" ht="15.75">
      <c r="A70" s="52" t="s">
        <v>55</v>
      </c>
    </row>
    <row r="72" ht="15.75">
      <c r="A72" s="427" t="s">
        <v>367</v>
      </c>
    </row>
    <row r="73" ht="15.75">
      <c r="A73" s="430" t="s">
        <v>368</v>
      </c>
    </row>
    <row r="74" ht="15.75">
      <c r="A74" s="430" t="s">
        <v>369</v>
      </c>
    </row>
    <row r="75" ht="15.75">
      <c r="A75" s="430" t="s">
        <v>370</v>
      </c>
    </row>
    <row r="76" ht="15.75">
      <c r="A76" s="52" t="s">
        <v>40</v>
      </c>
    </row>
    <row r="78" ht="15.75">
      <c r="A78" s="400" t="s">
        <v>304</v>
      </c>
    </row>
    <row r="79" ht="15.75">
      <c r="A79" s="52" t="s">
        <v>305</v>
      </c>
    </row>
    <row r="80" ht="15.75">
      <c r="A80" s="52" t="s">
        <v>306</v>
      </c>
    </row>
    <row r="81" ht="15.75">
      <c r="A81" s="52" t="s">
        <v>307</v>
      </c>
    </row>
    <row r="82" ht="15.75">
      <c r="A82" s="52" t="s">
        <v>308</v>
      </c>
    </row>
    <row r="83" ht="15.75">
      <c r="A83" s="52" t="s">
        <v>309</v>
      </c>
    </row>
    <row r="84" ht="15.75">
      <c r="A84" s="52" t="s">
        <v>335</v>
      </c>
    </row>
    <row r="85" ht="15.75">
      <c r="A85" s="52" t="s">
        <v>336</v>
      </c>
    </row>
    <row r="86" ht="15.75">
      <c r="A86" s="52" t="s">
        <v>337</v>
      </c>
    </row>
    <row r="87" ht="15.75">
      <c r="A87" s="52" t="s">
        <v>338</v>
      </c>
    </row>
    <row r="88" ht="15.75">
      <c r="A88" s="52" t="s">
        <v>339</v>
      </c>
    </row>
    <row r="89" ht="15.75">
      <c r="A89" s="52" t="s">
        <v>356</v>
      </c>
    </row>
    <row r="90" ht="15.75">
      <c r="A90" s="408" t="s">
        <v>357</v>
      </c>
    </row>
    <row r="92" ht="15.75">
      <c r="A92" s="400" t="s">
        <v>299</v>
      </c>
    </row>
    <row r="93" ht="15.75">
      <c r="A93" s="52" t="s">
        <v>300</v>
      </c>
    </row>
    <row r="95" ht="15.75">
      <c r="A95" s="400" t="s">
        <v>296</v>
      </c>
    </row>
    <row r="96" ht="15.75">
      <c r="A96" s="52" t="s">
        <v>298</v>
      </c>
    </row>
    <row r="97" ht="15.75">
      <c r="A97" s="52" t="s">
        <v>297</v>
      </c>
    </row>
    <row r="99" ht="15.75">
      <c r="A99" s="400" t="s">
        <v>1002</v>
      </c>
    </row>
    <row r="100" ht="15.75">
      <c r="A100" s="52" t="s">
        <v>988</v>
      </c>
    </row>
    <row r="101" ht="15.75">
      <c r="A101" s="52" t="s">
        <v>989</v>
      </c>
    </row>
    <row r="102" ht="15.75">
      <c r="A102" s="52" t="s">
        <v>990</v>
      </c>
    </row>
    <row r="103" ht="15.75">
      <c r="A103" s="52" t="s">
        <v>991</v>
      </c>
    </row>
    <row r="104" ht="15.75">
      <c r="A104" s="52" t="s">
        <v>992</v>
      </c>
    </row>
    <row r="105" ht="15.75">
      <c r="A105" s="52" t="s">
        <v>993</v>
      </c>
    </row>
    <row r="106" ht="31.5">
      <c r="A106" s="55" t="s">
        <v>994</v>
      </c>
    </row>
    <row r="107" ht="31.5">
      <c r="A107" s="55" t="s">
        <v>426</v>
      </c>
    </row>
    <row r="108" ht="15.75">
      <c r="A108" s="55" t="s">
        <v>995</v>
      </c>
    </row>
    <row r="109" ht="15.75">
      <c r="A109" s="55" t="s">
        <v>996</v>
      </c>
    </row>
    <row r="110" ht="31.5">
      <c r="A110" s="55" t="s">
        <v>997</v>
      </c>
    </row>
    <row r="111" ht="15.75">
      <c r="A111" s="52" t="s">
        <v>427</v>
      </c>
    </row>
    <row r="112" ht="31.5">
      <c r="A112" s="55" t="s">
        <v>998</v>
      </c>
    </row>
    <row r="113" ht="15.75">
      <c r="A113" s="52" t="s">
        <v>999</v>
      </c>
    </row>
    <row r="114" ht="15.75">
      <c r="A114" s="52" t="s">
        <v>1000</v>
      </c>
    </row>
    <row r="115" ht="15.75">
      <c r="A115" s="52" t="s">
        <v>1001</v>
      </c>
    </row>
    <row r="116" ht="15.75">
      <c r="A116" s="52" t="s">
        <v>430</v>
      </c>
    </row>
    <row r="117" ht="31.5">
      <c r="A117" s="55" t="s">
        <v>428</v>
      </c>
    </row>
    <row r="118" ht="15.75">
      <c r="A118" s="52" t="s">
        <v>429</v>
      </c>
    </row>
    <row r="120" ht="15.75">
      <c r="A120" s="400" t="s">
        <v>285</v>
      </c>
    </row>
    <row r="121" ht="15.75">
      <c r="A121" s="52" t="s">
        <v>293</v>
      </c>
    </row>
    <row r="122" ht="15.75">
      <c r="A122" s="52" t="s">
        <v>286</v>
      </c>
    </row>
    <row r="123" ht="15.75">
      <c r="A123" s="52" t="s">
        <v>287</v>
      </c>
    </row>
    <row r="124" ht="15.75">
      <c r="A124" s="52" t="s">
        <v>310</v>
      </c>
    </row>
    <row r="126" ht="15.75">
      <c r="A126" s="400" t="s">
        <v>280</v>
      </c>
    </row>
    <row r="127" ht="15.75">
      <c r="A127" s="52" t="s">
        <v>281</v>
      </c>
    </row>
    <row r="128" ht="31.5">
      <c r="A128" s="55" t="s">
        <v>282</v>
      </c>
    </row>
    <row r="129" ht="15.75">
      <c r="A129" s="52" t="s">
        <v>283</v>
      </c>
    </row>
    <row r="130" ht="15.75">
      <c r="A130" s="52" t="s">
        <v>284</v>
      </c>
    </row>
    <row r="133" ht="15.75">
      <c r="A133" s="400" t="s">
        <v>941</v>
      </c>
    </row>
    <row r="134" ht="47.25">
      <c r="A134" s="55" t="s">
        <v>962</v>
      </c>
    </row>
    <row r="135" ht="15.75">
      <c r="A135" s="52" t="s">
        <v>942</v>
      </c>
    </row>
    <row r="136" ht="15.75">
      <c r="A136" s="52" t="s">
        <v>950</v>
      </c>
    </row>
    <row r="137" ht="15.75">
      <c r="A137" s="52" t="s">
        <v>963</v>
      </c>
    </row>
    <row r="138" ht="15.75">
      <c r="A138" s="52" t="s">
        <v>943</v>
      </c>
    </row>
    <row r="139" ht="15.75">
      <c r="A139" s="52" t="s">
        <v>944</v>
      </c>
    </row>
    <row r="140" ht="15.75">
      <c r="A140" s="52" t="s">
        <v>951</v>
      </c>
    </row>
    <row r="141" ht="31.5">
      <c r="A141" s="55" t="s">
        <v>976</v>
      </c>
    </row>
    <row r="142" ht="15.75">
      <c r="A142" s="52" t="s">
        <v>647</v>
      </c>
    </row>
    <row r="143" ht="15.75">
      <c r="A143" s="52" t="s">
        <v>648</v>
      </c>
    </row>
    <row r="144" ht="15.75">
      <c r="A144" s="52" t="s">
        <v>649</v>
      </c>
    </row>
    <row r="145" ht="15.75">
      <c r="A145" s="52" t="s">
        <v>667</v>
      </c>
    </row>
    <row r="146" ht="15.75">
      <c r="A146" s="52" t="s">
        <v>668</v>
      </c>
    </row>
    <row r="147" ht="31.5">
      <c r="A147" s="55" t="s">
        <v>669</v>
      </c>
    </row>
    <row r="148" ht="15.75">
      <c r="A148" s="52" t="s">
        <v>27</v>
      </c>
    </row>
    <row r="149" ht="15.75">
      <c r="A149" s="52" t="s">
        <v>28</v>
      </c>
    </row>
    <row r="150" ht="31.5">
      <c r="A150" s="55" t="s">
        <v>29</v>
      </c>
    </row>
    <row r="151" ht="15.75">
      <c r="A151" s="52" t="s">
        <v>30</v>
      </c>
    </row>
    <row r="152" ht="15.75">
      <c r="A152" s="52" t="s">
        <v>31</v>
      </c>
    </row>
    <row r="153" ht="15.75">
      <c r="A153" s="52" t="s">
        <v>32</v>
      </c>
    </row>
    <row r="154" ht="15.75">
      <c r="A154" s="52" t="s">
        <v>687</v>
      </c>
    </row>
    <row r="155" ht="15.75">
      <c r="A155" s="52" t="s">
        <v>688</v>
      </c>
    </row>
    <row r="156" ht="15.75">
      <c r="A156" s="52" t="s">
        <v>311</v>
      </c>
    </row>
    <row r="157" ht="15.75">
      <c r="A157" s="52" t="s">
        <v>312</v>
      </c>
    </row>
    <row r="158" ht="15.75">
      <c r="A158" s="52" t="s">
        <v>964</v>
      </c>
    </row>
    <row r="159" ht="15.75">
      <c r="A159" s="52" t="s">
        <v>969</v>
      </c>
    </row>
    <row r="160" ht="15.75">
      <c r="A160" s="52" t="s">
        <v>970</v>
      </c>
    </row>
    <row r="161" ht="15.75">
      <c r="A161" s="52" t="s">
        <v>978</v>
      </c>
    </row>
    <row r="162" ht="15.75">
      <c r="A162" s="52" t="s">
        <v>979</v>
      </c>
    </row>
    <row r="163" ht="15.75">
      <c r="A163" s="52" t="s">
        <v>982</v>
      </c>
    </row>
    <row r="164" ht="15.75">
      <c r="A164" s="52" t="s">
        <v>279</v>
      </c>
    </row>
    <row r="165" ht="15.75">
      <c r="A165" s="52" t="s">
        <v>432</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1">
      <selection activeCell="A4" sqref="A4:H4"/>
    </sheetView>
  </sheetViews>
  <sheetFormatPr defaultColWidth="8.796875" defaultRowHeight="15"/>
  <cols>
    <col min="1" max="1" width="15.796875" style="52" customWidth="1"/>
    <col min="2" max="2" width="15.69921875" style="52" customWidth="1"/>
    <col min="3" max="3" width="9.3984375" style="52" customWidth="1"/>
    <col min="4" max="4" width="16.796875" style="52" customWidth="1"/>
    <col min="5" max="5" width="9.796875" style="52" customWidth="1"/>
    <col min="6" max="6" width="15.796875" style="52" customWidth="1"/>
    <col min="7" max="7" width="13.69921875" style="52" customWidth="1"/>
    <col min="8" max="8" width="9.796875" style="52" customWidth="1"/>
    <col min="9" max="9" width="8.8984375" style="52" customWidth="1"/>
    <col min="10" max="10" width="12.3984375" style="52" customWidth="1"/>
    <col min="11" max="11" width="12.296875" style="52" customWidth="1"/>
    <col min="12" max="12" width="10.59765625" style="52" customWidth="1"/>
    <col min="13" max="13" width="12.09765625" style="52" customWidth="1"/>
    <col min="14" max="16384" width="8.8984375" style="52" customWidth="1"/>
  </cols>
  <sheetData>
    <row r="1" spans="1:8" ht="15.75">
      <c r="A1" s="67"/>
      <c r="B1" s="67"/>
      <c r="C1" s="67"/>
      <c r="D1" s="67"/>
      <c r="E1" s="67"/>
      <c r="F1" s="67"/>
      <c r="G1" s="67"/>
      <c r="H1" s="280">
        <f>inputPrYr!C5</f>
        <v>2013</v>
      </c>
    </row>
    <row r="2" spans="1:9" ht="15.75">
      <c r="A2" s="728" t="s">
        <v>805</v>
      </c>
      <c r="B2" s="728"/>
      <c r="C2" s="728"/>
      <c r="D2" s="728"/>
      <c r="E2" s="728"/>
      <c r="F2" s="728"/>
      <c r="G2" s="728"/>
      <c r="H2" s="728"/>
      <c r="I2" s="377"/>
    </row>
    <row r="3" spans="1:8" ht="15.75">
      <c r="A3" s="67"/>
      <c r="B3" s="67"/>
      <c r="C3" s="67"/>
      <c r="D3" s="67"/>
      <c r="E3" s="67"/>
      <c r="F3" s="67"/>
      <c r="G3" s="67"/>
      <c r="H3" s="67"/>
    </row>
    <row r="4" spans="1:8" ht="15.75">
      <c r="A4" s="725" t="s">
        <v>835</v>
      </c>
      <c r="B4" s="725"/>
      <c r="C4" s="725"/>
      <c r="D4" s="725"/>
      <c r="E4" s="725"/>
      <c r="F4" s="725"/>
      <c r="G4" s="725"/>
      <c r="H4" s="725"/>
    </row>
    <row r="5" spans="1:8" ht="15.75">
      <c r="A5" s="706" t="str">
        <f>inputPrYr!C3</f>
        <v>Russell County</v>
      </c>
      <c r="B5" s="706"/>
      <c r="C5" s="706"/>
      <c r="D5" s="706"/>
      <c r="E5" s="706"/>
      <c r="F5" s="706"/>
      <c r="G5" s="706"/>
      <c r="H5" s="706"/>
    </row>
    <row r="6" spans="1:8" ht="15.75">
      <c r="A6" s="725" t="str">
        <f>CONCATENATE("will meet on ",inputBudSum!B5," at ",inputBudSum!B7," at ",inputBudSum!B9," for the purpose of hearing and")</f>
        <v>will meet on August 6, 2012 at 11:00am at County Commisioners Room at the County Courthouse for the purpose of hearing and</v>
      </c>
      <c r="B6" s="725"/>
      <c r="C6" s="725"/>
      <c r="D6" s="725"/>
      <c r="E6" s="725"/>
      <c r="F6" s="725"/>
      <c r="G6" s="725"/>
      <c r="H6" s="725"/>
    </row>
    <row r="7" spans="1:8" ht="15.75">
      <c r="A7" s="725" t="s">
        <v>41</v>
      </c>
      <c r="B7" s="725"/>
      <c r="C7" s="725"/>
      <c r="D7" s="725"/>
      <c r="E7" s="725"/>
      <c r="F7" s="725"/>
      <c r="G7" s="725"/>
      <c r="H7" s="725"/>
    </row>
    <row r="8" spans="1:8" ht="15.75">
      <c r="A8" s="725" t="str">
        <f>CONCATENATE("Detailed budget information is available at ",inputBudSum!B12," and will be available at this hearing.")</f>
        <v>Detailed budget information is available at County Clerks at the County Courthouse and will be available at this hearing.</v>
      </c>
      <c r="B8" s="725"/>
      <c r="C8" s="725"/>
      <c r="D8" s="725"/>
      <c r="E8" s="725"/>
      <c r="F8" s="725"/>
      <c r="G8" s="725"/>
      <c r="H8" s="725"/>
    </row>
    <row r="9" spans="1:8" ht="15.75">
      <c r="A9" s="74" t="s">
        <v>806</v>
      </c>
      <c r="B9" s="75"/>
      <c r="C9" s="75"/>
      <c r="D9" s="144"/>
      <c r="E9" s="75"/>
      <c r="F9" s="75"/>
      <c r="G9" s="75"/>
      <c r="H9" s="75"/>
    </row>
    <row r="10" spans="1:8" ht="15.75">
      <c r="A10" s="725" t="str">
        <f>CONCATENATE("Proposed Budget ",H1," Expenditures and Amount of ",H1-1," Ad Valorem Tax establish the maximum limits of the ",H1," budget.")</f>
        <v>Proposed Budget 2013 Expenditures and Amount of 2012 Ad Valorem Tax establish the maximum limits of the 2013 budget.</v>
      </c>
      <c r="B10" s="725"/>
      <c r="C10" s="725"/>
      <c r="D10" s="725"/>
      <c r="E10" s="725"/>
      <c r="F10" s="725"/>
      <c r="G10" s="725"/>
      <c r="H10" s="725"/>
    </row>
    <row r="11" spans="1:8" ht="15.75">
      <c r="A11" s="725" t="s">
        <v>859</v>
      </c>
      <c r="B11" s="725"/>
      <c r="C11" s="725"/>
      <c r="D11" s="725"/>
      <c r="E11" s="725"/>
      <c r="F11" s="725"/>
      <c r="G11" s="725"/>
      <c r="H11" s="725"/>
    </row>
    <row r="12" spans="1:9" ht="15.75">
      <c r="A12" s="67"/>
      <c r="B12" s="67"/>
      <c r="C12" s="67"/>
      <c r="D12" s="67"/>
      <c r="E12" s="67"/>
      <c r="F12" s="67"/>
      <c r="G12" s="67"/>
      <c r="H12" s="67"/>
      <c r="I12" s="124"/>
    </row>
    <row r="13" spans="1:8" ht="15.75">
      <c r="A13" s="67"/>
      <c r="B13" s="378" t="str">
        <f>CONCATENATE("Prior Year Actual for ",H1-2,"")</f>
        <v>Prior Year Actual for 2011</v>
      </c>
      <c r="C13" s="148"/>
      <c r="D13" s="379" t="str">
        <f>CONCATENATE("Current Year Estimate for ",H1-1,"")</f>
        <v>Current Year Estimate for 2012</v>
      </c>
      <c r="E13" s="148"/>
      <c r="F13" s="146" t="str">
        <f>CONCATENATE("Proposed Budget for ",H1,"")</f>
        <v>Proposed Budget for 2013</v>
      </c>
      <c r="G13" s="147"/>
      <c r="H13" s="148"/>
    </row>
    <row r="14" spans="1:8" ht="18.75" customHeight="1">
      <c r="A14" s="66"/>
      <c r="B14" s="335"/>
      <c r="C14" s="149" t="s">
        <v>764</v>
      </c>
      <c r="D14" s="149"/>
      <c r="E14" s="149" t="s">
        <v>764</v>
      </c>
      <c r="F14" s="480" t="s">
        <v>60</v>
      </c>
      <c r="G14" s="149" t="str">
        <f>CONCATENATE("Amount of ",H1-1,"")</f>
        <v>Amount of 2012</v>
      </c>
      <c r="H14" s="149" t="s">
        <v>765</v>
      </c>
    </row>
    <row r="15" spans="1:8" ht="15.75">
      <c r="A15" s="95" t="s">
        <v>766</v>
      </c>
      <c r="B15" s="257" t="s">
        <v>704</v>
      </c>
      <c r="C15" s="257" t="s">
        <v>767</v>
      </c>
      <c r="D15" s="257" t="s">
        <v>896</v>
      </c>
      <c r="E15" s="257" t="s">
        <v>767</v>
      </c>
      <c r="F15" s="481" t="s">
        <v>61</v>
      </c>
      <c r="G15" s="380" t="s">
        <v>724</v>
      </c>
      <c r="H15" s="257" t="s">
        <v>767</v>
      </c>
    </row>
    <row r="16" spans="1:8" ht="15.75">
      <c r="A16" s="110" t="str">
        <f>inputPrYr!B16</f>
        <v>General</v>
      </c>
      <c r="B16" s="110">
        <f>IF(general!$C$115&lt;&gt;0,general!$C$115,"  ")</f>
        <v>3453322</v>
      </c>
      <c r="C16" s="381">
        <f>IF(inputPrYr!D68&lt;&gt;0,inputPrYr!D68,"  ")</f>
        <v>16.508</v>
      </c>
      <c r="D16" s="110">
        <f>IF(general!$D$115&lt;&gt;0,general!$D$115,"  ")</f>
        <v>4550780</v>
      </c>
      <c r="E16" s="381">
        <f>IF(inputPrYr!F16&lt;&gt;0,inputPrYr!F16,"  ")</f>
        <v>15.64</v>
      </c>
      <c r="F16" s="110">
        <f>IF(general!$E$115&lt;&gt;0,general!$E$115,"  ")</f>
        <v>5474210</v>
      </c>
      <c r="G16" s="110">
        <f>IF(general!$E$122&lt;&gt;0,general!$E$122,"  ")</f>
        <v>2325788</v>
      </c>
      <c r="H16" s="381">
        <f>IF(general!E122&lt;&gt;0,ROUND(G16/$F$56*1000,3),"  ")</f>
        <v>20.739</v>
      </c>
    </row>
    <row r="17" spans="1:8" ht="15.75">
      <c r="A17" s="110" t="str">
        <f>inputPrYr!B17</f>
        <v>Debt Service</v>
      </c>
      <c r="B17" s="110">
        <f>IF(DebtService!$C$50&lt;&gt;0,DebtService!$C$50,"  ")</f>
        <v>424465</v>
      </c>
      <c r="C17" s="381" t="str">
        <f>IF(inputPrYr!D69&lt;&gt;0,inputPrYr!D69,"  ")</f>
        <v>  </v>
      </c>
      <c r="D17" s="110">
        <f>IF(DebtService!$D$50&lt;&gt;0,DebtService!$D$50,"  ")</f>
        <v>420065</v>
      </c>
      <c r="E17" s="381" t="str">
        <f>IF(inputPrYr!F17&lt;&gt;0,inputPrYr!F17,"  ")</f>
        <v>  </v>
      </c>
      <c r="F17" s="110">
        <f>IF(DebtService!$E$50&lt;&gt;0,DebtService!$E$50,"  ")</f>
        <v>425265</v>
      </c>
      <c r="G17" s="110" t="str">
        <f>IF(DebtService!$E$57&lt;&gt;0,DebtService!$E$57,"  ")</f>
        <v>  </v>
      </c>
      <c r="H17" s="381" t="str">
        <f>IF(DebtService!E57&lt;&gt;0,ROUND(G17/$F$56*1000,3),"  ")</f>
        <v>  </v>
      </c>
    </row>
    <row r="18" spans="1:8" ht="15.75">
      <c r="A18" s="110" t="str">
        <f>IF((inputPrYr!$B18&gt;" "),(inputPrYr!$B18),"  ")</f>
        <v>Road &amp; Bridge</v>
      </c>
      <c r="B18" s="110">
        <f>IF(road!$C$111&lt;&gt;0,road!$C$111,"  ")</f>
        <v>2340074</v>
      </c>
      <c r="C18" s="381">
        <f>IF(inputPrYr!D70&lt;&gt;0,inputPrYr!D70,"  ")</f>
        <v>17.363</v>
      </c>
      <c r="D18" s="110">
        <f>IF(road!$D$111&lt;&gt;0,road!$D$111,"  ")</f>
        <v>2500000</v>
      </c>
      <c r="E18" s="381">
        <f>IF(inputPrYr!F18&lt;&gt;0,inputPrYr!F18,"  ")</f>
        <v>16.099</v>
      </c>
      <c r="F18" s="110">
        <f>IF(road!$E$111&lt;&gt;0,road!$E$111,"  ")</f>
        <v>2500000</v>
      </c>
      <c r="G18" s="110">
        <f>IF(road!$E$118&lt;&gt;0,road!$E$118,"  ")</f>
        <v>1630449</v>
      </c>
      <c r="H18" s="381">
        <f>IF(road!E118&lt;&gt;0,ROUND(G18/$F$56*1000,3),"  ")</f>
        <v>14.539</v>
      </c>
    </row>
    <row r="19" spans="1:8" ht="15.75">
      <c r="A19" s="110" t="str">
        <f>IF((inputPrYr!$B19&gt;" "),(inputPrYr!$B19),"  ")</f>
        <v>Special Bridge</v>
      </c>
      <c r="B19" s="110">
        <f>IF('levy page10'!$C$33&lt;&gt;0,'levy page10'!$C$33,"  ")</f>
        <v>352361</v>
      </c>
      <c r="C19" s="381">
        <f>IF(inputPrYr!D71&lt;&gt;0,inputPrYr!D71,"  ")</f>
        <v>3.991</v>
      </c>
      <c r="D19" s="110">
        <f>IF('levy page10'!$D$33&lt;&gt;0,'levy page10'!$D$33,"  ")</f>
        <v>584330</v>
      </c>
      <c r="E19" s="381">
        <f>IF(inputPrYr!F19&lt;&gt;0,inputPrYr!F19,"  ")</f>
        <v>3.312</v>
      </c>
      <c r="F19" s="110">
        <f>IF('levy page10'!$E$33&lt;&gt;0,'levy page10'!$E$33,"  ")</f>
        <v>420000</v>
      </c>
      <c r="G19" s="110">
        <f>IF('levy page10'!$E$40&lt;&gt;0,'levy page10'!$E$40,"  ")</f>
        <v>117437</v>
      </c>
      <c r="H19" s="381">
        <f>IF('levy page10'!E40&lt;&gt;0,ROUND(G19/$F$56*1000,3),"  ")</f>
        <v>1.047</v>
      </c>
    </row>
    <row r="20" spans="1:8" ht="15.75">
      <c r="A20" s="110" t="str">
        <f>IF((inputPrYr!$B20&gt;" "),(inputPrYr!$B20),"  ")</f>
        <v>Noxious Weed</v>
      </c>
      <c r="B20" s="110">
        <f>IF('levy page10'!$C$73&lt;&gt;0,'levy page10'!$C$73,"  ")</f>
        <v>221158</v>
      </c>
      <c r="C20" s="381">
        <f>IF(inputPrYr!D72&lt;&gt;0,inputPrYr!D72,"  ")</f>
        <v>1.5</v>
      </c>
      <c r="D20" s="110">
        <f>IF('levy page10'!$D$73&lt;&gt;0,'levy page10'!$D$73,"  ")</f>
        <v>329527</v>
      </c>
      <c r="E20" s="381">
        <f>IF(inputPrYr!F20&lt;&gt;0,inputPrYr!F20,"  ")</f>
        <v>1.5</v>
      </c>
      <c r="F20" s="110">
        <f>IF('levy page10'!$E$73&lt;&gt;0,'levy page10'!$E$73,"  ")</f>
        <v>365676</v>
      </c>
      <c r="G20" s="110">
        <f>IF('levy page10'!$E$80&lt;&gt;0,'levy page10'!$E$80,"  ")</f>
        <v>168215</v>
      </c>
      <c r="H20" s="381">
        <f>IF('levy page10'!E80&lt;&gt;0,ROUND(G20/$F$56*1000,3),"  ")</f>
        <v>1.5</v>
      </c>
    </row>
    <row r="21" spans="1:8" ht="15.75">
      <c r="A21" s="110" t="str">
        <f>IF((inputPrYr!$B21&gt;" "),(inputPrYr!$B21),"  ")</f>
        <v>4-H Bldg Maintenance</v>
      </c>
      <c r="B21" s="110">
        <f>IF('levy page11'!$C$33&lt;&gt;0,'levy page11'!$C$33,"  ")</f>
        <v>98976</v>
      </c>
      <c r="C21" s="381">
        <f>IF(inputPrYr!D73&lt;&gt;0,inputPrYr!D73,"  ")</f>
        <v>0.864</v>
      </c>
      <c r="D21" s="110">
        <f>IF('levy page11'!$D$33&lt;&gt;0,'levy page11'!$D$33,"  ")</f>
        <v>100000</v>
      </c>
      <c r="E21" s="381">
        <f>IF(inputPrYr!F21&lt;&gt;0,inputPrYr!F21,"  ")</f>
        <v>0.672</v>
      </c>
      <c r="F21" s="110">
        <f>IF('levy page11'!$E$33&lt;&gt;0,'levy page11'!$E$33,"  ")</f>
        <v>263457</v>
      </c>
      <c r="G21" s="110">
        <f>IF('levy page11'!$E$40&lt;&gt;0,'levy page11'!$E$40,"  ")</f>
        <v>72423</v>
      </c>
      <c r="H21" s="381">
        <f>IF('levy page11'!E40&lt;&gt;0,ROUND(G21/$F$56*1000,3),"  ")</f>
        <v>0.646</v>
      </c>
    </row>
    <row r="22" spans="1:8" ht="15.75">
      <c r="A22" s="110" t="str">
        <f>IF((inputPrYr!$B22&gt;" "),(inputPrYr!$B22),"  ")</f>
        <v>Election Expense</v>
      </c>
      <c r="B22" s="110">
        <f>IF('levy page11'!$C$73&lt;&gt;0,'levy page11'!$C$73,"  ")</f>
        <v>60783</v>
      </c>
      <c r="C22" s="381">
        <f>IF(inputPrYr!D74&lt;&gt;0,inputPrYr!D74,"  ")</f>
        <v>0.478</v>
      </c>
      <c r="D22" s="110">
        <f>IF('levy page11'!$D$73&lt;&gt;0,'levy page11'!$D$73,"  ")</f>
        <v>166500</v>
      </c>
      <c r="E22" s="381">
        <f>IF(inputPrYr!F22&lt;&gt;0,inputPrYr!F22,"  ")</f>
        <v>0.263</v>
      </c>
      <c r="F22" s="110">
        <f>IF('levy page11'!$E$73&lt;&gt;0,'levy page11'!$E$73,"  ")</f>
        <v>166500</v>
      </c>
      <c r="G22" s="110">
        <f>IF('levy page11'!$E$80&lt;&gt;0,'levy page11'!$E$80,"  ")</f>
        <v>145995</v>
      </c>
      <c r="H22" s="381">
        <f>IF('levy page11'!$E$80&lt;&gt;0,ROUND(G22/$F$56*1000,3),"  ")</f>
        <v>1.302</v>
      </c>
    </row>
    <row r="23" spans="1:8" ht="15.75">
      <c r="A23" s="110" t="str">
        <f>IF((inputPrYr!$B23&gt;" "),(inputPrYr!$B23),"  ")</f>
        <v>Ambulance</v>
      </c>
      <c r="B23" s="110">
        <f>IF('levy page12'!$C$33&lt;&gt;0,'levy page12'!$C$33,"  ")</f>
        <v>503384</v>
      </c>
      <c r="C23" s="381">
        <f>IF(inputPrYr!D75&lt;&gt;0,inputPrYr!D75,"  ")</f>
        <v>4.982</v>
      </c>
      <c r="D23" s="110">
        <f>IF('levy page12'!$D$33&lt;&gt;0,'levy page12'!$D$33,"  ")</f>
        <v>1670080</v>
      </c>
      <c r="E23" s="381">
        <f>IF(inputPrYr!F23&lt;&gt;0,inputPrYr!F23,"  ")</f>
        <v>6.961</v>
      </c>
      <c r="F23" s="110">
        <f>IF('levy page12'!$E$33&lt;&gt;0,'levy page12'!$E$33,"  ")</f>
        <v>1675530</v>
      </c>
      <c r="G23" s="110">
        <f>IF('levy page12'!$E$40&lt;&gt;0,'levy page12'!$E$40,"  ")</f>
        <v>717595</v>
      </c>
      <c r="H23" s="381">
        <f>IF('levy page12'!$E$40&lt;&gt;0,ROUND(G23/$F$56*1000,3),"  ")</f>
        <v>6.399</v>
      </c>
    </row>
    <row r="24" spans="1:8" ht="15.75">
      <c r="A24" s="110" t="str">
        <f>IF((inputPrYr!$B24&gt;" "),(inputPrYr!$B24),"  ")</f>
        <v>Free Fair</v>
      </c>
      <c r="B24" s="110">
        <f>IF('levy page12'!$C$73&lt;&gt;0,'levy page12'!$C$73,"  ")</f>
        <v>50995</v>
      </c>
      <c r="C24" s="381">
        <f>IF(inputPrYr!D76&lt;&gt;0,inputPrYr!D76,"  ")</f>
        <v>0.482</v>
      </c>
      <c r="D24" s="110">
        <f>IF('levy page12'!$D$73&lt;&gt;0,'levy page12'!$D$73,"  ")</f>
        <v>50000</v>
      </c>
      <c r="E24" s="381">
        <f>IF(inputPrYr!F24&lt;&gt;0,inputPrYr!F24,"  ")</f>
        <v>0.426</v>
      </c>
      <c r="F24" s="110">
        <f>IF('levy page12'!$E$73&lt;&gt;0,'levy page12'!$E$73,"  ")</f>
        <v>50000</v>
      </c>
      <c r="G24" s="110">
        <f>IF('levy page12'!$E$80&lt;&gt;0,'levy page12'!$E$80,"  ")</f>
        <v>46449</v>
      </c>
      <c r="H24" s="381">
        <f>IF('levy page12'!$E$80&lt;&gt;0,ROUND(G24/$F$56*1000,3),"  ")</f>
        <v>0.414</v>
      </c>
    </row>
    <row r="25" spans="1:8" ht="15.75">
      <c r="A25" s="110" t="str">
        <f>IF((inputPrYr!$B25&gt;" "),(inputPrYr!$B25),"  ")</f>
        <v>Ag Extension Council</v>
      </c>
      <c r="B25" s="110">
        <f>IF('levy page13'!$C$33&lt;&gt;0,'levy page13'!$C$33,"  ")</f>
        <v>149215</v>
      </c>
      <c r="C25" s="381">
        <f>IF(inputPrYr!D77&lt;&gt;0,inputPrYr!D77,"  ")</f>
        <v>1.423</v>
      </c>
      <c r="D25" s="110">
        <f>IF('levy page13'!$D$33&lt;&gt;0,'levy page13'!$D$33,"  ")</f>
        <v>160000</v>
      </c>
      <c r="E25" s="381">
        <f>IF(inputPrYr!F25&lt;&gt;0,inputPrYr!F25,"  ")</f>
        <v>1.375</v>
      </c>
      <c r="F25" s="110">
        <f>IF('levy page13'!$E$33&lt;&gt;0,'levy page13'!$E$33,"  ")</f>
        <v>180000</v>
      </c>
      <c r="G25" s="110">
        <f>IF('levy page13'!$E$40&lt;&gt;0,'levy page13'!$E$40,"  ")</f>
        <v>168559</v>
      </c>
      <c r="H25" s="381">
        <f>IF('levy page13'!$E$40&lt;&gt;0,ROUND(G25/$F$56*1000,3),"  ")</f>
        <v>1.503</v>
      </c>
    </row>
    <row r="26" spans="1:8" ht="15.75">
      <c r="A26" s="110" t="str">
        <f>IF((inputPrYr!$B26&gt;" "),(inputPrYr!$B26),"  ")</f>
        <v>Mental Health</v>
      </c>
      <c r="B26" s="110">
        <f>IF('levy page13'!$C$73&lt;&gt;0,'levy page13'!$C$73,"  ")</f>
        <v>59731</v>
      </c>
      <c r="C26" s="381">
        <f>IF(inputPrYr!D78&lt;&gt;0,inputPrYr!D78,"  ")</f>
        <v>0.472</v>
      </c>
      <c r="D26" s="110">
        <f>IF('levy page13'!$D$73&lt;&gt;0,'levy page13'!$D$73,"  ")</f>
        <v>48726</v>
      </c>
      <c r="E26" s="381">
        <f>IF(inputPrYr!F26&lt;&gt;0,inputPrYr!F26,"  ")</f>
        <v>0.416</v>
      </c>
      <c r="F26" s="110">
        <f>IF('levy page13'!$E$73&lt;&gt;0,'levy page13'!$E$73,"  ")</f>
        <v>48234</v>
      </c>
      <c r="G26" s="110">
        <f>IF('levy page13'!$E$80&lt;&gt;0,'levy page13'!$E$80,"  ")</f>
        <v>44776</v>
      </c>
      <c r="H26" s="381">
        <f>IF('levy page13'!$E$80&lt;&gt;0,ROUND(G26/$F$56*1000,3),"  ")</f>
        <v>0.399</v>
      </c>
    </row>
    <row r="27" spans="1:8" ht="15.75">
      <c r="A27" s="110" t="str">
        <f>IF((inputPrYr!$B27&gt;" "),(inputPrYr!$B27),"  ")</f>
        <v>Service for the Elderly</v>
      </c>
      <c r="B27" s="110">
        <f>IF('levy page14'!$C$33&lt;&gt;0,'levy page14'!$C$33,"  ")</f>
        <v>101019</v>
      </c>
      <c r="C27" s="381">
        <f>IF(inputPrYr!D79&lt;&gt;0,inputPrYr!D79,"  ")</f>
        <v>1</v>
      </c>
      <c r="D27" s="110">
        <f>IF('levy page14'!$D$33&lt;&gt;0,'levy page14'!$D$33,"  ")</f>
        <v>131704</v>
      </c>
      <c r="E27" s="381">
        <f>IF(inputPrYr!F27&lt;&gt;0,inputPrYr!F27,"  ")</f>
        <v>1</v>
      </c>
      <c r="F27" s="110">
        <f>IF('levy page14'!$E$33&lt;&gt;0,'levy page14'!$E$33,"  ")</f>
        <v>121766</v>
      </c>
      <c r="G27" s="110">
        <f>IF('levy page14'!$E$40&lt;&gt;0,'levy page14'!$E$40,"  ")</f>
        <v>112144</v>
      </c>
      <c r="H27" s="381">
        <f>IF('levy page14'!$E$40&lt;&gt;0,ROUND(G27/$F$56*1000,3),"  ")</f>
        <v>1</v>
      </c>
    </row>
    <row r="28" spans="1:8" ht="15.75">
      <c r="A28" s="110" t="str">
        <f>IF((inputPrYr!$B28&gt;" "),(inputPrYr!$B28),"  ")</f>
        <v>County Health</v>
      </c>
      <c r="B28" s="110">
        <f>IF('levy page14'!$C$73&lt;&gt;0,'levy page14'!$C$73,"  ")</f>
        <v>264990</v>
      </c>
      <c r="C28" s="381">
        <f>IF(inputPrYr!D80&lt;&gt;0,inputPrYr!D80,"  ")</f>
        <v>1.044</v>
      </c>
      <c r="D28" s="110">
        <f>IF('levy page14'!$D$73&lt;&gt;0,'levy page14'!$D$73,"  ")</f>
        <v>300000</v>
      </c>
      <c r="E28" s="381">
        <f>IF(inputPrYr!F28&lt;&gt;0,inputPrYr!F28,"  ")</f>
        <v>1.07</v>
      </c>
      <c r="F28" s="110">
        <f>IF('levy page14'!$E$73&lt;&gt;0,'levy page14'!$E$73,"  ")</f>
        <v>306410</v>
      </c>
      <c r="G28" s="110">
        <f>IF('levy page14'!$E$80&lt;&gt;0,'levy page14'!$E$80,"  ")</f>
        <v>115273</v>
      </c>
      <c r="H28" s="381">
        <f>IF('levy page14'!$E$80&lt;&gt;0,ROUND(G28/$F$56*1000,3),"  ")</f>
        <v>1.028</v>
      </c>
    </row>
    <row r="29" spans="1:8" ht="15.75">
      <c r="A29" s="110" t="str">
        <f>IF((inputPrYr!$B29&gt;" "),(inputPrYr!$B29),"  ")</f>
        <v>Developmental Service</v>
      </c>
      <c r="B29" s="110">
        <f>IF('levy page15'!$C$33&lt;&gt;0,'levy page15'!$C$33,"  ")</f>
        <v>77289</v>
      </c>
      <c r="C29" s="381">
        <f>IF(inputPrYr!D81&lt;&gt;0,inputPrYr!D81,"  ")</f>
        <v>0.741</v>
      </c>
      <c r="D29" s="110">
        <f>IF('levy page15'!$D$33&lt;&gt;0,'levy page15'!$D$33,"  ")</f>
        <v>77235</v>
      </c>
      <c r="E29" s="381">
        <f>IF(inputPrYr!F29&lt;&gt;0,inputPrYr!F29,"  ")</f>
        <v>0.659</v>
      </c>
      <c r="F29" s="110">
        <f>IF('levy page15'!$E$33&lt;&gt;0,'levy page15'!$E$33,"  ")</f>
        <v>77235</v>
      </c>
      <c r="G29" s="110">
        <f>IF('levy page15'!$E$40&lt;&gt;0,'levy page15'!$E$40,"  ")</f>
        <v>71748</v>
      </c>
      <c r="H29" s="381">
        <f>IF('levy page15'!$E$40&lt;&gt;0,ROUND(G29/$F$56*1000,3),"  ")</f>
        <v>0.64</v>
      </c>
    </row>
    <row r="30" spans="1:8" ht="15.75">
      <c r="A30" s="110" t="str">
        <f>IF((inputPrYr!$B30&gt;" "),(inputPrYr!$B30),"  ")</f>
        <v>Appraiser</v>
      </c>
      <c r="B30" s="110">
        <f>IF('levy page15'!$C$73&lt;&gt;0,'levy page15'!$C$73,"  ")</f>
        <v>166970</v>
      </c>
      <c r="C30" s="381">
        <f>IF(inputPrYr!D82&lt;&gt;0,inputPrYr!D82,"  ")</f>
        <v>1.526</v>
      </c>
      <c r="D30" s="110">
        <f>IF('levy page15'!$D$73&lt;&gt;0,'levy page15'!$D$73,"  ")</f>
        <v>189350</v>
      </c>
      <c r="E30" s="381">
        <f>IF(inputPrYr!F30&lt;&gt;0,inputPrYr!F30,"  ")</f>
        <v>1.561</v>
      </c>
      <c r="F30" s="110">
        <f>IF('levy page15'!$E$73&lt;&gt;0,'levy page15'!$E$73,"  ")</f>
        <v>234250</v>
      </c>
      <c r="G30" s="110">
        <f>IF('levy page15'!$E$80&lt;&gt;0,'levy page15'!$E$80,"  ")</f>
        <v>181868</v>
      </c>
      <c r="H30" s="381">
        <f>IF('levy page15'!$E$80&lt;&gt;0,ROUND(G30/$F$56*1000,3),"  ")</f>
        <v>1.622</v>
      </c>
    </row>
    <row r="31" spans="1:8" ht="15.75">
      <c r="A31" s="110" t="str">
        <f>IF((inputPrYr!$B31&gt;" "),(inputPrYr!$B31),"  ")</f>
        <v>Special Road and Bridge</v>
      </c>
      <c r="B31" s="110">
        <f>IF('levy page16'!$C$33&lt;&gt;0,'levy page16'!$C$33,"  ")</f>
        <v>196441</v>
      </c>
      <c r="C31" s="381">
        <f>IF(inputPrYr!D83&lt;&gt;0,inputPrYr!D83,"  ")</f>
        <v>2</v>
      </c>
      <c r="D31" s="110">
        <f>IF('levy page16'!$D$33&lt;&gt;0,'levy page16'!$D$33,"  ")</f>
        <v>239382</v>
      </c>
      <c r="E31" s="381">
        <f>IF(inputPrYr!F31&lt;&gt;0,inputPrYr!F31,"  ")</f>
        <v>2</v>
      </c>
      <c r="F31" s="110">
        <f>IF('levy page16'!$E$33&lt;&gt;0,'levy page16'!$E$33,"  ")</f>
        <v>290820</v>
      </c>
      <c r="G31" s="110">
        <f>IF('levy page16'!$E$40&lt;&gt;0,'levy page16'!$E$40,"  ")</f>
        <v>224287</v>
      </c>
      <c r="H31" s="381">
        <f>IF('levy page16'!$E$40&lt;&gt;0,ROUND(G31/$F$56*1000,3),"  ")</f>
        <v>2</v>
      </c>
    </row>
    <row r="32" spans="1:8" ht="15.75">
      <c r="A32" s="110" t="str">
        <f>IF((inputPrYr!$B32&gt;" "),(inputPrYr!$B32),"  ")</f>
        <v>Employee Benefit</v>
      </c>
      <c r="B32" s="110">
        <f>IF('levy page16'!$C$73&lt;&gt;0,'levy page16'!$C$73,"  ")</f>
        <v>1514881</v>
      </c>
      <c r="C32" s="381">
        <f>IF(inputPrYr!D84&lt;&gt;0,inputPrYr!D84,"  ")</f>
        <v>19.011</v>
      </c>
      <c r="D32" s="110">
        <f>IF('levy page16'!$D$73&lt;&gt;0,'levy page16'!$D$73,"  ")</f>
        <v>2500000</v>
      </c>
      <c r="E32" s="381">
        <f>IF(inputPrYr!F32&lt;&gt;0,inputPrYr!F32,"  ")</f>
        <v>18.143</v>
      </c>
      <c r="F32" s="110">
        <f>IF('levy page16'!$E$73&lt;&gt;0,'levy page16'!$E$73,"  ")</f>
        <v>2900000</v>
      </c>
      <c r="G32" s="110">
        <f>IF('levy page16'!$E$80&lt;&gt;0,'levy page16'!$E$80,"  ")</f>
        <v>1427545</v>
      </c>
      <c r="H32" s="381">
        <f>IF('levy page16'!$E$80&lt;&gt;0,ROUND(G32/$F$56*1000,3),"  ")</f>
        <v>12.73</v>
      </c>
    </row>
    <row r="33" spans="1:8" ht="15.75">
      <c r="A33" s="110" t="str">
        <f>IF((inputPrYr!$B33&gt;" "),(inputPrYr!$B33),"  ")</f>
        <v>Historical Society</v>
      </c>
      <c r="B33" s="110">
        <f>IF('levy page17'!$C$33&lt;&gt;0,'levy page17'!$C$33,"  ")</f>
        <v>52185</v>
      </c>
      <c r="C33" s="381">
        <f>IF(inputPrYr!D85&lt;&gt;0,inputPrYr!D85,"  ")</f>
        <v>0.5</v>
      </c>
      <c r="D33" s="110">
        <f>IF('levy page17'!$D$33&lt;&gt;0,'levy page17'!$D$33,"  ")</f>
        <v>57605</v>
      </c>
      <c r="E33" s="381">
        <f>IF(inputPrYr!F33&lt;&gt;0,inputPrYr!F33,"  ")</f>
        <v>0.5</v>
      </c>
      <c r="F33" s="110">
        <f>IF('levy page17'!$E$33&lt;&gt;0,'levy page17'!$E$33,"  ")</f>
        <v>60205</v>
      </c>
      <c r="G33" s="110">
        <f>IF('levy page17'!$E$40&lt;&gt;0,'levy page17'!$E$40,"  ")</f>
        <v>56072</v>
      </c>
      <c r="H33" s="381">
        <f>IF('levy page17'!$E$40&lt;&gt;0,ROUND(G33/$F$56*1000,3),"  ")</f>
        <v>0.5</v>
      </c>
    </row>
    <row r="34" spans="1:8" ht="15.75">
      <c r="A34" s="110" t="str">
        <f>IF((inputPrYr!$B34&gt;" "),(inputPrYr!$B34),"  ")</f>
        <v>Hospital Board</v>
      </c>
      <c r="B34" s="110">
        <f>IF('levy page17'!$C$73&lt;&gt;0,'levy page17'!$C$73,"  ")</f>
        <v>615776</v>
      </c>
      <c r="C34" s="381">
        <f>IF(inputPrYr!D86&lt;&gt;0,inputPrYr!D86,"  ")</f>
        <v>5.9</v>
      </c>
      <c r="D34" s="110">
        <f>IF('levy page17'!$D$73&lt;&gt;0,'levy page17'!$D$73,"  ")</f>
        <v>679732</v>
      </c>
      <c r="E34" s="381">
        <f>IF(inputPrYr!F34&lt;&gt;0,inputPrYr!F34,"  ")</f>
        <v>5.9</v>
      </c>
      <c r="F34" s="110">
        <f>IF('levy page17'!$E$73&lt;&gt;0,'levy page17'!$E$73,"  ")</f>
        <v>710422</v>
      </c>
      <c r="G34" s="110">
        <f>IF('levy page17'!$E$80&lt;&gt;0,'levy page17'!$E$80,"  ")</f>
        <v>661647</v>
      </c>
      <c r="H34" s="381">
        <f>IF('levy page17'!$E$80&lt;&gt;0,ROUND(G34/$F$56*1000,3),"  ")</f>
        <v>5.9</v>
      </c>
    </row>
    <row r="35" spans="1:8" ht="15.75">
      <c r="A35" s="110" t="str">
        <f>IF((inputPrYr!$B35&gt;" "),(inputPrYr!$B35),"  ")</f>
        <v>Economic Development</v>
      </c>
      <c r="B35" s="110">
        <f>IF('levy page18'!$C$33&lt;&gt;0,'levy page18'!$C$33,"  ")</f>
        <v>114915</v>
      </c>
      <c r="C35" s="381" t="str">
        <f>IF(inputPrYr!D87&lt;&gt;0,inputPrYr!D87,"  ")</f>
        <v>  </v>
      </c>
      <c r="D35" s="110">
        <f>IF('levy page18'!$D$33&lt;&gt;0,'levy page18'!$D$33,"  ")</f>
        <v>100000</v>
      </c>
      <c r="E35" s="381" t="str">
        <f>IF(inputPrYr!F35&lt;&gt;0,inputPrYr!F35,"  ")</f>
        <v>  </v>
      </c>
      <c r="F35" s="110">
        <f>IF('levy page18'!$E$33&lt;&gt;0,'levy page18'!$E$33,"  ")</f>
        <v>100000</v>
      </c>
      <c r="G35" s="110" t="str">
        <f>IF('levy page18'!$E$40&lt;&gt;0,'levy page18'!$E$40,"  ")</f>
        <v>  </v>
      </c>
      <c r="H35" s="381" t="str">
        <f>IF('levy page18'!$E$40&lt;&gt;0,ROUND(G35/$F$56*1000,3),"  ")</f>
        <v>  </v>
      </c>
    </row>
    <row r="36" spans="1:8" ht="15.75" hidden="1">
      <c r="A36" s="110" t="str">
        <f>IF((inputPrYr!$B36&gt;" "),(inputPrYr!$B36),"  ")</f>
        <v>  </v>
      </c>
      <c r="B36" s="110" t="str">
        <f>IF('levy page18'!$C$73&lt;&gt;0,'levy page18'!$C$73,"  ")</f>
        <v>  </v>
      </c>
      <c r="C36" s="381" t="str">
        <f>IF(inputPrYr!D88&lt;&gt;0,inputPrYr!D88,"  ")</f>
        <v>  </v>
      </c>
      <c r="D36" s="110" t="str">
        <f>IF('levy page18'!$D$73&lt;&gt;0,'levy page18'!$D$73,"  ")</f>
        <v>  </v>
      </c>
      <c r="E36" s="381" t="str">
        <f>IF(inputPrYr!F36&lt;&gt;0,inputPrYr!F36,"  ")</f>
        <v>  </v>
      </c>
      <c r="F36" s="110" t="str">
        <f>IF('levy page18'!$E$73&lt;&gt;0,'levy page18'!$E$73,"  ")</f>
        <v>  </v>
      </c>
      <c r="G36" s="110" t="str">
        <f>IF('levy page18'!$E$80&lt;&gt;0,'levy page18'!$E$80,"  ")</f>
        <v>  </v>
      </c>
      <c r="H36" s="381" t="str">
        <f>IF('levy page18'!$E$80&lt;&gt;0,ROUND(G36/$F$56*1000,3),"  ")</f>
        <v>  </v>
      </c>
    </row>
    <row r="37" spans="1:8" ht="15.75" hidden="1">
      <c r="A37" s="110" t="str">
        <f>IF((inputPrYr!$B37&gt;" "),(inputPrYr!$B37),"  ")</f>
        <v>  </v>
      </c>
      <c r="B37" s="110" t="str">
        <f>IF('levy page19'!$C$33&lt;&gt;0,'levy page19'!$C$33,"  ")</f>
        <v>  </v>
      </c>
      <c r="C37" s="381" t="str">
        <f>IF(inputPrYr!D89&lt;&gt;0,inputPrYr!D89,"  ")</f>
        <v>  </v>
      </c>
      <c r="D37" s="110" t="str">
        <f>IF('levy page19'!$D$33&lt;&gt;0,'levy page19'!$D$33,"  ")</f>
        <v>  </v>
      </c>
      <c r="E37" s="381" t="str">
        <f>IF(inputPrYr!F37&lt;&gt;0,inputPrYr!F37,"  ")</f>
        <v>  </v>
      </c>
      <c r="F37" s="110" t="str">
        <f>IF('levy page19'!$E$33&lt;&gt;0,'levy page19'!$E$33,"  ")</f>
        <v>  </v>
      </c>
      <c r="G37" s="110" t="str">
        <f>IF('levy page19'!$E$40&lt;&gt;0,'levy page19'!$E$40,"  ")</f>
        <v>  </v>
      </c>
      <c r="H37" s="381" t="str">
        <f>IF('levy page19'!$E$40&lt;&gt;0,ROUND(G37/$F$56*1000,3),"  ")</f>
        <v>  </v>
      </c>
    </row>
    <row r="38" spans="1:8" ht="15.75" hidden="1">
      <c r="A38" s="110" t="str">
        <f>IF((inputPrYr!$B38&gt;" "),(inputPrYr!$B38),"  ")</f>
        <v>  </v>
      </c>
      <c r="B38" s="110" t="str">
        <f>IF('levy page19'!$C$73&lt;&gt;0,'levy page19'!$C$73,"  ")</f>
        <v>  </v>
      </c>
      <c r="C38" s="381" t="str">
        <f>IF(inputPrYr!D90&lt;&gt;0,inputPrYr!D90,"  ")</f>
        <v>  </v>
      </c>
      <c r="D38" s="110" t="str">
        <f>IF('levy page19'!$D$73&lt;&gt;0,'levy page19'!$D$73,"  ")</f>
        <v>  </v>
      </c>
      <c r="E38" s="381" t="str">
        <f>IF(inputPrYr!F38&lt;&gt;0,inputPrYr!F38,"  ")</f>
        <v>  </v>
      </c>
      <c r="F38" s="110" t="str">
        <f>IF('levy page19'!$E$73&lt;&gt;0,'levy page19'!$E$73,"  ")</f>
        <v>  </v>
      </c>
      <c r="G38" s="110" t="str">
        <f>IF('levy page19'!$E$80&lt;&gt;0,'levy page19'!$E$80,"  ")</f>
        <v>  </v>
      </c>
      <c r="H38" s="381" t="str">
        <f>IF('levy page19'!$E$80&lt;&gt;0,ROUND(G38/$F$56*1000,3),"  ")</f>
        <v>  </v>
      </c>
    </row>
    <row r="39" spans="1:8" ht="15.75" hidden="1">
      <c r="A39" s="110" t="str">
        <f>IF((inputPrYr!$B39&gt;" "),(inputPrYr!$B39),"  ")</f>
        <v>  </v>
      </c>
      <c r="B39" s="110" t="str">
        <f>IF('levy page20'!$C$33&lt;&gt;0,'levy page20'!$C$33,"  ")</f>
        <v>  </v>
      </c>
      <c r="C39" s="381" t="str">
        <f>IF(inputPrYr!D91&lt;&gt;0,inputPrYr!D91,"  ")</f>
        <v>  </v>
      </c>
      <c r="D39" s="110" t="str">
        <f>IF('levy page20'!$D$33&lt;&gt;0,'levy page20'!$D$33,"  ")</f>
        <v>  </v>
      </c>
      <c r="E39" s="381" t="str">
        <f>IF(inputPrYr!F39&lt;&gt;0,inputPrYr!F39,"  ")</f>
        <v>  </v>
      </c>
      <c r="F39" s="110" t="str">
        <f>IF('levy page20'!$E$33&lt;&gt;0,'levy page20'!$E$33,"  ")</f>
        <v>  </v>
      </c>
      <c r="G39" s="110" t="str">
        <f>IF('levy page20'!$E$40&lt;&gt;0,'levy page20'!$E$40,"  ")</f>
        <v>  </v>
      </c>
      <c r="H39" s="381" t="str">
        <f>IF('levy page20'!$E$40&lt;&gt;0,ROUND(G39/$F$56*1000,3),"  ")</f>
        <v>  </v>
      </c>
    </row>
    <row r="40" spans="1:8" ht="15.75" hidden="1">
      <c r="A40" s="110" t="str">
        <f>IF((inputPrYr!$B40&gt;" "),(inputPrYr!$B40),"  ")</f>
        <v>  </v>
      </c>
      <c r="B40" s="110" t="str">
        <f>IF('levy page20'!$C$73&lt;&gt;0,'levy page20'!$C$73,"  ")</f>
        <v>  </v>
      </c>
      <c r="C40" s="381" t="str">
        <f>IF(inputPrYr!D92&lt;&gt;0,inputPrYr!D92,"  ")</f>
        <v>  </v>
      </c>
      <c r="D40" s="110" t="str">
        <f>IF('levy page20'!$D$73&lt;&gt;0,'levy page20'!$D$73,"  ")</f>
        <v>  </v>
      </c>
      <c r="E40" s="381" t="str">
        <f>IF(inputPrYr!F40&lt;&gt;0,inputPrYr!F40,"  ")</f>
        <v>  </v>
      </c>
      <c r="F40" s="110" t="str">
        <f>IF('levy page20'!$E$73&lt;&gt;0,'levy page20'!$E$73,"  ")</f>
        <v>  </v>
      </c>
      <c r="G40" s="110" t="str">
        <f>IF('levy page20'!$E$80&lt;&gt;0,'levy page20'!$E$80,"  ")</f>
        <v>  </v>
      </c>
      <c r="H40" s="381" t="str">
        <f>IF('levy page20'!$E$80&lt;&gt;0,ROUND(G40/$F$56*1000,3),"  ")</f>
        <v>  </v>
      </c>
    </row>
    <row r="41" spans="1:13" ht="15.75">
      <c r="A41" s="110" t="str">
        <f>IF((inputPrYr!$B44&gt;" "),(inputPrYr!$B44),"  ")</f>
        <v>Solid Waste</v>
      </c>
      <c r="B41" s="110">
        <f>IF('no levy page21'!$C$28&lt;&gt;0,'no levy page21'!$C$28,"  ")</f>
        <v>383165</v>
      </c>
      <c r="C41" s="163"/>
      <c r="D41" s="110">
        <f>IF('no levy page21'!$D$28&lt;&gt;0,'no levy page21'!$D$28,"  ")</f>
        <v>400000</v>
      </c>
      <c r="E41" s="163"/>
      <c r="F41" s="110">
        <f>IF('no levy page21'!$E$28&lt;&gt;0,'no levy page21'!$E$28,"  ")</f>
        <v>633632</v>
      </c>
      <c r="G41" s="110"/>
      <c r="H41" s="87"/>
      <c r="J41" s="720" t="str">
        <f>CONCATENATE("Estimated Value Of One Mill For ",H1,"")</f>
        <v>Estimated Value Of One Mill For 2013</v>
      </c>
      <c r="K41" s="726"/>
      <c r="L41" s="726"/>
      <c r="M41" s="727"/>
    </row>
    <row r="42" spans="1:13" ht="15.75">
      <c r="A42" s="110" t="str">
        <f>IF((inputPrYr!$B45&gt;" "),(inputPrYr!$B45),"  ")</f>
        <v>Emergency Tele Service</v>
      </c>
      <c r="B42" s="110">
        <f>IF('no levy page21'!$C$59&lt;&gt;0,'no levy page21'!$C$59,"  ")</f>
        <v>34750</v>
      </c>
      <c r="C42" s="163"/>
      <c r="D42" s="110">
        <f>IF('no levy page21'!$D$59&lt;&gt;0,'no levy page21'!$D$59,"  ")</f>
        <v>67403</v>
      </c>
      <c r="E42" s="163"/>
      <c r="F42" s="110">
        <f>IF('no levy page21'!$E$59&lt;&gt;0,'no levy page21'!$E$59,"  ")</f>
        <v>65000</v>
      </c>
      <c r="G42" s="110"/>
      <c r="H42" s="87"/>
      <c r="J42" s="510"/>
      <c r="K42" s="511"/>
      <c r="L42" s="511"/>
      <c r="M42" s="512"/>
    </row>
    <row r="43" spans="1:13" ht="15.75">
      <c r="A43" s="110" t="str">
        <f>IF((inputPrYr!$B46&gt;" "),(inputPrYr!$B46),"  ")</f>
        <v>Special Alcohol</v>
      </c>
      <c r="B43" s="110">
        <f>IF('no levy page22'!$C$28&lt;&gt;0,'no levy page22'!$C$28,"  ")</f>
        <v>8800</v>
      </c>
      <c r="C43" s="163"/>
      <c r="D43" s="110">
        <f>IF('no levy page22'!$D$28&lt;&gt;0,'no levy page22'!$D$28,"  ")</f>
        <v>14000</v>
      </c>
      <c r="E43" s="163"/>
      <c r="F43" s="110">
        <f>IF('no levy page22'!$E$28&lt;&gt;0,'no levy page22'!$E$28,"  ")</f>
        <v>61325</v>
      </c>
      <c r="G43" s="110"/>
      <c r="H43" s="87"/>
      <c r="J43" s="513" t="s">
        <v>672</v>
      </c>
      <c r="K43" s="514"/>
      <c r="L43" s="514"/>
      <c r="M43" s="515">
        <f>ROUND(F56/1000,0)</f>
        <v>112144</v>
      </c>
    </row>
    <row r="44" spans="1:8" ht="15.75">
      <c r="A44" s="110" t="str">
        <f>IF((inputPrYr!$B47&gt;" "),(inputPrYr!$B47),"  ")</f>
        <v>Sheriff Drug Fund</v>
      </c>
      <c r="B44" s="110">
        <f>IF('no levy page22'!$C$59&lt;&gt;0,'no levy page22'!$C$59,"  ")</f>
        <v>63386</v>
      </c>
      <c r="C44" s="163"/>
      <c r="D44" s="110">
        <f>IF('no levy page22'!$D$59&lt;&gt;0,'no levy page22'!$D$59,"  ")</f>
        <v>135000</v>
      </c>
      <c r="E44" s="163"/>
      <c r="F44" s="110">
        <f>IF('no levy page22'!$E$59&lt;&gt;0,'no levy page22'!$E$59,"  ")</f>
        <v>295581</v>
      </c>
      <c r="G44" s="110"/>
      <c r="H44" s="87"/>
    </row>
    <row r="45" spans="1:13" ht="15.75">
      <c r="A45" s="110" t="str">
        <f>IF((inputPrYr!$B48&gt;" "),(inputPrYr!$B48),"  ")</f>
        <v>Parks and Recreation</v>
      </c>
      <c r="B45" s="110" t="str">
        <f>IF('no levy page23'!$C$28&lt;&gt;0,'no levy page23'!$C$28,"  ")</f>
        <v>  </v>
      </c>
      <c r="C45" s="163"/>
      <c r="D45" s="110" t="str">
        <f>IF('no levy page23'!$D$28&lt;&gt;0,'no levy page23'!$D$28,"  ")</f>
        <v>  </v>
      </c>
      <c r="E45" s="163"/>
      <c r="F45" s="110">
        <f>IF('no levy page23'!$E$28&lt;&gt;0,'no levy page23'!$E$28,"  ")</f>
        <v>1543</v>
      </c>
      <c r="G45" s="110"/>
      <c r="H45" s="87"/>
      <c r="J45" s="720" t="str">
        <f>CONCATENATE("Want The Mill Rate The Same As For ",H1-1,"?")</f>
        <v>Want The Mill Rate The Same As For 2012?</v>
      </c>
      <c r="K45" s="726"/>
      <c r="L45" s="726"/>
      <c r="M45" s="727"/>
    </row>
    <row r="46" spans="1:13" ht="15.75">
      <c r="A46" s="110" t="str">
        <f>IF((inputPrYr!$B49&gt;" "),(inputPrYr!$B49),"  ")</f>
        <v>Tourism &amp; Convention</v>
      </c>
      <c r="B46" s="110">
        <f>IF('no levy page23'!$C$59&lt;&gt;0,'no levy page23'!$C$59,"  ")</f>
        <v>89499</v>
      </c>
      <c r="C46" s="163"/>
      <c r="D46" s="110">
        <f>IF('no levy page23'!$D$59&lt;&gt;0,'no levy page23'!$D$59,"  ")</f>
        <v>120000</v>
      </c>
      <c r="E46" s="163"/>
      <c r="F46" s="110">
        <f>IF('no levy page23'!$E$59&lt;&gt;0,'no levy page23'!$E$59,"  ")</f>
        <v>120000</v>
      </c>
      <c r="G46" s="110"/>
      <c r="H46" s="87"/>
      <c r="J46" s="517"/>
      <c r="K46" s="511"/>
      <c r="L46" s="511"/>
      <c r="M46" s="518"/>
    </row>
    <row r="47" spans="1:13" ht="15.75">
      <c r="A47" s="110" t="str">
        <f>IF((inputPrYr!$B50&gt;" "),(inputPrYr!$B50),"  ")</f>
        <v>E-911 Cell Phone Tax</v>
      </c>
      <c r="B47" s="110">
        <f>IF('no levy page24'!$C$28&lt;&gt;0,'no levy page24'!$C$28,"  ")</f>
        <v>19163</v>
      </c>
      <c r="C47" s="163"/>
      <c r="D47" s="110">
        <f>IF('no levy page24'!$D$28&lt;&gt;0,'no levy page24'!$D$28,"  ")</f>
        <v>27500</v>
      </c>
      <c r="E47" s="163"/>
      <c r="F47" s="110">
        <f>IF('no levy page24'!$E$28&lt;&gt;0,'no levy page24'!$E$28,"  ")</f>
        <v>74174</v>
      </c>
      <c r="G47" s="110"/>
      <c r="H47" s="87"/>
      <c r="J47" s="517" t="str">
        <f>CONCATENATE("",H1-1," Mill Rate Was:")</f>
        <v>2012 Mill Rate Was:</v>
      </c>
      <c r="K47" s="511"/>
      <c r="L47" s="511"/>
      <c r="M47" s="519">
        <f>E52</f>
        <v>77.497</v>
      </c>
    </row>
    <row r="48" spans="1:13" ht="15.75">
      <c r="A48" s="110" t="str">
        <f>IF((inputPrYr!$B51&gt;" "),(inputPrYr!$B51),"  ")</f>
        <v>Sheriff Concealed Carry</v>
      </c>
      <c r="B48" s="110" t="str">
        <f>IF('no levy page24'!$C$59&lt;&gt;0,'no levy page24'!$C$59,"  ")</f>
        <v>  </v>
      </c>
      <c r="C48" s="163"/>
      <c r="D48" s="110" t="str">
        <f>IF('no levy page24'!$D$59&lt;&gt;0,'no levy page24'!$D$59,"  ")</f>
        <v>  </v>
      </c>
      <c r="E48" s="163"/>
      <c r="F48" s="110">
        <f>IF('no levy page24'!$E$59&lt;&gt;0,'no levy page24'!$E$59,"  ")</f>
        <v>8120</v>
      </c>
      <c r="G48" s="110"/>
      <c r="H48" s="87"/>
      <c r="J48" s="520" t="str">
        <f>CONCATENATE("",H1," Tax Levy Fund Expenditures Must Be")</f>
        <v>2013 Tax Levy Fund Expenditures Must Be</v>
      </c>
      <c r="K48" s="521"/>
      <c r="L48" s="521"/>
      <c r="M48" s="518"/>
    </row>
    <row r="49" spans="1:13" ht="15.75">
      <c r="A49" s="110" t="str">
        <f>IF((inputPrYr!$B52&gt;" "),(inputPrYr!$B52),"  ")</f>
        <v>Sheriff Offender Reg</v>
      </c>
      <c r="B49" s="110">
        <f>IF('no levy page25'!$C$28&lt;&gt;0,'no levy page25'!$C$28,"  ")</f>
        <v>325</v>
      </c>
      <c r="C49" s="163"/>
      <c r="D49" s="110">
        <f>IF('no levy page25'!$D$28&lt;&gt;0,'no levy page25'!$D$28,"  ")</f>
        <v>1000</v>
      </c>
      <c r="E49" s="163"/>
      <c r="F49" s="110">
        <f>IF('no levy page25'!$E$28&lt;&gt;0,'no levy page25'!$E$28,"  ")</f>
        <v>4199</v>
      </c>
      <c r="G49" s="110"/>
      <c r="H49" s="87"/>
      <c r="J49" s="520" t="str">
        <f>IF(M49&gt;0,"Increased By:","")</f>
        <v>Increased By:</v>
      </c>
      <c r="K49" s="521"/>
      <c r="L49" s="521"/>
      <c r="M49" s="596">
        <f>IF(M56&lt;0,M56*-1,0)</f>
        <v>402516</v>
      </c>
    </row>
    <row r="50" spans="1:13" ht="15.75">
      <c r="A50" s="110" t="str">
        <f>IF((inputPrYr!$B53&gt;" "),(inputPrYr!$B53),"  ")</f>
        <v>Oil and Gas Trust Fund</v>
      </c>
      <c r="B50" s="110" t="str">
        <f>IF('no levy page25'!$C$59&lt;&gt;0,'no levy page25'!$C$59,"  ")</f>
        <v>  </v>
      </c>
      <c r="C50" s="163"/>
      <c r="D50" s="110" t="str">
        <f>IF('no levy page25'!$D$59&lt;&gt;0,'no levy page25'!$D$59,"  ")</f>
        <v>  </v>
      </c>
      <c r="E50" s="163"/>
      <c r="F50" s="110">
        <f>IF('no levy page25'!$E$59&lt;&gt;0,'no levy page25'!$E$59,"  ")</f>
        <v>55928</v>
      </c>
      <c r="G50" s="110"/>
      <c r="H50" s="87"/>
      <c r="J50" s="604">
        <f>IF(M50&lt;0,"Reduced By:","")</f>
      </c>
      <c r="K50" s="605"/>
      <c r="L50" s="605"/>
      <c r="M50" s="606">
        <f>IF(M56&gt;0,M56*-1,0)</f>
        <v>0</v>
      </c>
    </row>
    <row r="51" spans="1:13" ht="16.5" hidden="1" thickBot="1">
      <c r="A51" s="110" t="str">
        <f>IF((inputPrYr!$B57&gt;"  "),(NonBud!$A3),"  ")</f>
        <v>  </v>
      </c>
      <c r="B51" s="599">
        <f>IF(NonBud!K28&gt;0,NonBud!K28,"")</f>
      </c>
      <c r="C51" s="600"/>
      <c r="D51" s="599"/>
      <c r="E51" s="600"/>
      <c r="F51" s="599"/>
      <c r="G51" s="599"/>
      <c r="H51" s="601"/>
      <c r="J51" s="524"/>
      <c r="K51" s="524"/>
      <c r="L51" s="524"/>
      <c r="M51" s="524"/>
    </row>
    <row r="52" spans="1:13" ht="15.75">
      <c r="A52" s="86" t="s">
        <v>722</v>
      </c>
      <c r="B52" s="597">
        <f>SUM(B16:B51)</f>
        <v>11418018</v>
      </c>
      <c r="C52" s="598">
        <f>SUM(C16:C40)</f>
        <v>79.785</v>
      </c>
      <c r="D52" s="597">
        <f>SUM(D16:D51)</f>
        <v>15619919</v>
      </c>
      <c r="E52" s="598">
        <f>SUM(E16:E40)</f>
        <v>77.497</v>
      </c>
      <c r="F52" s="597">
        <f>SUM(F16:F51)</f>
        <v>17689482</v>
      </c>
      <c r="G52" s="597">
        <f>SUM(G16:G40)</f>
        <v>8288270</v>
      </c>
      <c r="H52" s="598">
        <f>SUM(H16:H40)</f>
        <v>73.908</v>
      </c>
      <c r="J52" s="720" t="str">
        <f>CONCATENATE("Impact On Keeping The Same Mill Rate As For ",H1-1,"")</f>
        <v>Impact On Keeping The Same Mill Rate As For 2012</v>
      </c>
      <c r="K52" s="721"/>
      <c r="L52" s="721"/>
      <c r="M52" s="722"/>
    </row>
    <row r="53" spans="1:13" ht="15.75">
      <c r="A53" s="66" t="s">
        <v>768</v>
      </c>
      <c r="B53" s="382">
        <f>transfers!C29</f>
        <v>0</v>
      </c>
      <c r="C53" s="383"/>
      <c r="D53" s="382">
        <f>transfers!D29</f>
        <v>0</v>
      </c>
      <c r="E53" s="317"/>
      <c r="F53" s="382">
        <f>transfers!E29</f>
        <v>0</v>
      </c>
      <c r="G53" s="67"/>
      <c r="J53" s="517"/>
      <c r="K53" s="511"/>
      <c r="L53" s="511"/>
      <c r="M53" s="518"/>
    </row>
    <row r="54" spans="1:13" ht="16.5" thickBot="1">
      <c r="A54" s="66" t="s">
        <v>769</v>
      </c>
      <c r="B54" s="173">
        <f>B52-B53</f>
        <v>11418018</v>
      </c>
      <c r="C54" s="67"/>
      <c r="D54" s="173">
        <f>D52-D53</f>
        <v>15619919</v>
      </c>
      <c r="E54" s="383"/>
      <c r="F54" s="173">
        <f>F52-F53</f>
        <v>17689482</v>
      </c>
      <c r="G54" s="67"/>
      <c r="J54" s="517" t="str">
        <f>CONCATENATE("",H1," Ad Valorem Tax Revenue:")</f>
        <v>2013 Ad Valorem Tax Revenue:</v>
      </c>
      <c r="K54" s="511"/>
      <c r="L54" s="511"/>
      <c r="M54" s="512">
        <f>G52</f>
        <v>8288270</v>
      </c>
    </row>
    <row r="55" spans="1:13" ht="16.5" thickTop="1">
      <c r="A55" s="66" t="s">
        <v>770</v>
      </c>
      <c r="B55" s="602">
        <f>inputPrYr!D95</f>
        <v>7524840</v>
      </c>
      <c r="C55" s="67"/>
      <c r="D55" s="602">
        <f>inputPrYr!E41</f>
        <v>8342704</v>
      </c>
      <c r="E55" s="67"/>
      <c r="F55" s="603" t="s">
        <v>965</v>
      </c>
      <c r="G55" s="67"/>
      <c r="J55" s="517" t="str">
        <f>CONCATENATE("",H1-1," Ad Valorem Tax Revenue:")</f>
        <v>2012 Ad Valorem Tax Revenue:</v>
      </c>
      <c r="K55" s="511"/>
      <c r="L55" s="511"/>
      <c r="M55" s="525">
        <f>ROUND(F56*M47/1000,0)</f>
        <v>8690786</v>
      </c>
    </row>
    <row r="56" spans="1:13" ht="15.75">
      <c r="A56" s="66" t="s">
        <v>771</v>
      </c>
      <c r="B56" s="110">
        <f>inputPrYr!D96</f>
        <v>94582983</v>
      </c>
      <c r="C56" s="67"/>
      <c r="D56" s="110">
        <f>inputPrYr!E64</f>
        <v>107742883</v>
      </c>
      <c r="E56" s="67"/>
      <c r="F56" s="110">
        <f>inputOth!E5</f>
        <v>112143509</v>
      </c>
      <c r="G56" s="67"/>
      <c r="J56" s="522" t="s">
        <v>673</v>
      </c>
      <c r="K56" s="523"/>
      <c r="L56" s="523"/>
      <c r="M56" s="515">
        <f>SUM(M54-M55)</f>
        <v>-402516</v>
      </c>
    </row>
    <row r="57" spans="1:13" ht="15.75">
      <c r="A57" s="66" t="s">
        <v>772</v>
      </c>
      <c r="B57" s="67"/>
      <c r="C57" s="67"/>
      <c r="D57" s="67"/>
      <c r="E57" s="67"/>
      <c r="F57" s="67"/>
      <c r="G57" s="67"/>
      <c r="H57" s="124"/>
      <c r="J57" s="516"/>
      <c r="K57" s="516"/>
      <c r="L57" s="516"/>
      <c r="M57" s="524"/>
    </row>
    <row r="58" spans="1:13" ht="15.75">
      <c r="A58" s="66" t="s">
        <v>773</v>
      </c>
      <c r="B58" s="384">
        <f>H1-3</f>
        <v>2010</v>
      </c>
      <c r="C58" s="67"/>
      <c r="D58" s="384">
        <f>H1-2</f>
        <v>2011</v>
      </c>
      <c r="E58" s="67"/>
      <c r="F58" s="384">
        <f>H1-1</f>
        <v>2012</v>
      </c>
      <c r="G58" s="67"/>
      <c r="H58" s="124"/>
      <c r="J58" s="720" t="s">
        <v>674</v>
      </c>
      <c r="K58" s="721"/>
      <c r="L58" s="721"/>
      <c r="M58" s="722"/>
    </row>
    <row r="59" spans="1:13" ht="15.75">
      <c r="A59" s="66" t="s">
        <v>774</v>
      </c>
      <c r="B59" s="110">
        <f>inputPrYr!D100</f>
        <v>4640000</v>
      </c>
      <c r="C59" s="67"/>
      <c r="D59" s="110">
        <f>inputPrYr!E100</f>
        <v>4410000</v>
      </c>
      <c r="E59" s="67"/>
      <c r="F59" s="110">
        <f>debt!G22</f>
        <v>4175000</v>
      </c>
      <c r="G59" s="67"/>
      <c r="H59" s="124"/>
      <c r="J59" s="517"/>
      <c r="K59" s="511"/>
      <c r="L59" s="511"/>
      <c r="M59" s="518"/>
    </row>
    <row r="60" spans="1:13" ht="15.75">
      <c r="A60" s="66" t="s">
        <v>775</v>
      </c>
      <c r="B60" s="110">
        <f>inputPrYr!D101</f>
        <v>0</v>
      </c>
      <c r="C60" s="67"/>
      <c r="D60" s="110">
        <f>inputPrYr!E101</f>
        <v>0</v>
      </c>
      <c r="E60" s="67"/>
      <c r="F60" s="110">
        <f>debt!G35</f>
        <v>0</v>
      </c>
      <c r="G60" s="67"/>
      <c r="H60" s="124"/>
      <c r="J60" s="517" t="str">
        <f>CONCATENATE("Current ",H10," Estimated Mill Rate:")</f>
        <v>Current  Estimated Mill Rate:</v>
      </c>
      <c r="K60" s="511"/>
      <c r="L60" s="511"/>
      <c r="M60" s="519">
        <f>H52</f>
        <v>73.908</v>
      </c>
    </row>
    <row r="61" spans="1:13" ht="15.75">
      <c r="A61" s="66" t="s">
        <v>761</v>
      </c>
      <c r="B61" s="110">
        <f>inputPrYr!D102</f>
        <v>0</v>
      </c>
      <c r="C61" s="67"/>
      <c r="D61" s="110">
        <f>inputPrYr!E102</f>
        <v>0</v>
      </c>
      <c r="E61" s="67"/>
      <c r="F61" s="110">
        <f>debt!G46</f>
        <v>0</v>
      </c>
      <c r="G61" s="67"/>
      <c r="H61" s="124"/>
      <c r="J61" s="517" t="str">
        <f>CONCATENATE("Desired ",H10," Mill Rate:")</f>
        <v>Desired  Mill Rate:</v>
      </c>
      <c r="K61" s="511"/>
      <c r="L61" s="511"/>
      <c r="M61" s="526">
        <v>215</v>
      </c>
    </row>
    <row r="62" spans="1:13" ht="15.75">
      <c r="A62" s="66" t="s">
        <v>860</v>
      </c>
      <c r="B62" s="110">
        <f>inputPrYr!D103</f>
        <v>590079</v>
      </c>
      <c r="C62" s="67"/>
      <c r="D62" s="110">
        <f>inputPrYr!E103</f>
        <v>708103</v>
      </c>
      <c r="E62" s="67"/>
      <c r="F62" s="110">
        <f>lpform!G37</f>
        <v>805696</v>
      </c>
      <c r="G62" s="67"/>
      <c r="H62" s="124"/>
      <c r="J62" s="517" t="str">
        <f>CONCATENATE("",H1," Ad Valorem Tax:")</f>
        <v>2013 Ad Valorem Tax:</v>
      </c>
      <c r="K62" s="511"/>
      <c r="L62" s="511"/>
      <c r="M62" s="525">
        <f>ROUND(F56*M61/1000,0)</f>
        <v>24110854</v>
      </c>
    </row>
    <row r="63" spans="1:13" ht="16.5" thickBot="1">
      <c r="A63" s="66" t="s">
        <v>776</v>
      </c>
      <c r="B63" s="173">
        <f>SUM(B59:B62)</f>
        <v>5230079</v>
      </c>
      <c r="C63" s="67"/>
      <c r="D63" s="173">
        <f>SUM(D59:D62)</f>
        <v>5118103</v>
      </c>
      <c r="E63" s="67"/>
      <c r="F63" s="173">
        <f>SUM(F59:F62)</f>
        <v>4980696</v>
      </c>
      <c r="G63" s="67"/>
      <c r="H63" s="124"/>
      <c r="J63" s="522" t="str">
        <f>CONCATENATE("",H10," Tax Levy Fund Exp. Changed By:")</f>
        <v> Tax Levy Fund Exp. Changed By:</v>
      </c>
      <c r="K63" s="523"/>
      <c r="L63" s="523"/>
      <c r="M63" s="515">
        <f>IF(M61=0,0,(M62-G52))</f>
        <v>15822584</v>
      </c>
    </row>
    <row r="64" spans="1:8" ht="16.5" thickTop="1">
      <c r="A64" s="66" t="s">
        <v>777</v>
      </c>
      <c r="B64" s="67"/>
      <c r="C64" s="67"/>
      <c r="D64" s="67"/>
      <c r="E64" s="67"/>
      <c r="F64" s="67"/>
      <c r="G64" s="67"/>
      <c r="H64" s="124"/>
    </row>
    <row r="65" spans="1:8" ht="15.75">
      <c r="A65" s="67"/>
      <c r="B65" s="67"/>
      <c r="C65" s="67"/>
      <c r="D65" s="67"/>
      <c r="E65" s="67"/>
      <c r="F65" s="67"/>
      <c r="G65" s="67"/>
      <c r="H65" s="124"/>
    </row>
    <row r="66" spans="1:8" ht="15.75">
      <c r="A66" s="723" t="str">
        <f>inputBudSum!B3</f>
        <v>Mary Nuss</v>
      </c>
      <c r="B66" s="724"/>
      <c r="C66" s="67"/>
      <c r="D66" s="67"/>
      <c r="E66" s="67"/>
      <c r="F66" s="67"/>
      <c r="G66" s="67"/>
      <c r="H66" s="124"/>
    </row>
    <row r="67" spans="1:8" ht="15.75">
      <c r="A67" s="144" t="s">
        <v>778</v>
      </c>
      <c r="B67" s="75"/>
      <c r="C67" s="67"/>
      <c r="D67" s="67"/>
      <c r="E67" s="67"/>
      <c r="F67" s="67"/>
      <c r="G67" s="67"/>
      <c r="H67" s="124"/>
    </row>
    <row r="68" spans="1:8" ht="15.75">
      <c r="A68" s="67"/>
      <c r="B68" s="67"/>
      <c r="C68" s="67"/>
      <c r="D68" s="281" t="s">
        <v>734</v>
      </c>
      <c r="E68" s="334">
        <v>24</v>
      </c>
      <c r="F68" s="67"/>
      <c r="G68" s="67"/>
      <c r="H68" s="124"/>
    </row>
    <row r="69" spans="1:8" ht="15.75">
      <c r="A69" s="124"/>
      <c r="D69" s="124"/>
      <c r="E69" s="124"/>
      <c r="F69" s="124"/>
      <c r="G69" s="124"/>
      <c r="H69" s="124"/>
    </row>
  </sheetData>
  <sheetProtection sheet="1"/>
  <mergeCells count="13">
    <mergeCell ref="A7:H7"/>
    <mergeCell ref="A8:H8"/>
    <mergeCell ref="A2:H2"/>
    <mergeCell ref="A4:H4"/>
    <mergeCell ref="A5:H5"/>
    <mergeCell ref="A6:H6"/>
    <mergeCell ref="J52:M52"/>
    <mergeCell ref="J58:M58"/>
    <mergeCell ref="A66:B66"/>
    <mergeCell ref="A10:H10"/>
    <mergeCell ref="A11:H11"/>
    <mergeCell ref="J41:M41"/>
    <mergeCell ref="J45:M45"/>
  </mergeCells>
  <printOptions/>
  <pageMargins left="1.12" right="0.5" top="0.74" bottom="0.34" header="0.5" footer="0"/>
  <pageSetup blackAndWhite="1" fitToHeight="1" fitToWidth="1" horizontalDpi="120" verticalDpi="120" orientation="portrait" scale="68" r:id="rId1"/>
  <headerFooter alignWithMargins="0">
    <oddHeader>&amp;RState of Kansas
County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K57"/>
  <sheetViews>
    <sheetView zoomScale="75" zoomScaleNormal="75" zoomScalePageLayoutView="0" workbookViewId="0" topLeftCell="B4">
      <selection activeCell="J44" sqref="J44"/>
    </sheetView>
  </sheetViews>
  <sheetFormatPr defaultColWidth="8.796875" defaultRowHeight="15"/>
  <cols>
    <col min="1" max="1" width="7.09765625" style="52" hidden="1" customWidth="1"/>
    <col min="2" max="2" width="20.796875" style="52" customWidth="1"/>
    <col min="3" max="3" width="12.796875" style="52" customWidth="1"/>
    <col min="4" max="4" width="9.796875" style="52" customWidth="1"/>
    <col min="5" max="5" width="12.796875" style="52" customWidth="1"/>
    <col min="6" max="6" width="9.796875" style="52" customWidth="1"/>
    <col min="7" max="7" width="15.19921875" style="52" customWidth="1"/>
    <col min="8" max="9" width="12.796875" style="52" customWidth="1"/>
    <col min="10" max="10" width="9.796875" style="52" customWidth="1"/>
    <col min="11" max="16384" width="8.8984375" style="52" customWidth="1"/>
  </cols>
  <sheetData>
    <row r="1" spans="2:10" ht="15.75">
      <c r="B1" s="200" t="str">
        <f>inputPrYr!C3</f>
        <v>Russell County</v>
      </c>
      <c r="C1" s="67"/>
      <c r="D1" s="67"/>
      <c r="E1" s="67"/>
      <c r="F1" s="67"/>
      <c r="G1" s="67"/>
      <c r="H1" s="67"/>
      <c r="I1" s="67"/>
      <c r="J1" s="280">
        <f>inputPrYr!C5</f>
        <v>2013</v>
      </c>
    </row>
    <row r="2" spans="2:10" ht="15.75">
      <c r="B2" s="67"/>
      <c r="C2" s="67"/>
      <c r="D2" s="67"/>
      <c r="E2" s="67"/>
      <c r="F2" s="67"/>
      <c r="G2" s="67"/>
      <c r="H2" s="67"/>
      <c r="I2" s="67"/>
      <c r="J2" s="107"/>
    </row>
    <row r="3" spans="2:11" ht="15.75">
      <c r="B3" s="74" t="s">
        <v>805</v>
      </c>
      <c r="C3" s="75"/>
      <c r="D3" s="75"/>
      <c r="E3" s="75"/>
      <c r="F3" s="75"/>
      <c r="G3" s="75"/>
      <c r="H3" s="75"/>
      <c r="I3" s="75"/>
      <c r="J3" s="318"/>
      <c r="K3" s="377"/>
    </row>
    <row r="4" spans="2:10" ht="15.75">
      <c r="B4" s="67"/>
      <c r="C4" s="145"/>
      <c r="D4" s="145"/>
      <c r="E4" s="145"/>
      <c r="F4" s="145"/>
      <c r="G4" s="145"/>
      <c r="H4" s="145"/>
      <c r="I4" s="145"/>
      <c r="J4" s="145"/>
    </row>
    <row r="5" spans="2:10" ht="15.75">
      <c r="B5" s="283"/>
      <c r="C5" s="378" t="str">
        <f>CONCATENATE("Prior Year Actual ",J1-2,"")</f>
        <v>Prior Year Actual 2011</v>
      </c>
      <c r="D5" s="148"/>
      <c r="E5" s="379" t="str">
        <f>CONCATENATE("Current Year Estimate ",J1-1,"")</f>
        <v>Current Year Estimate 2012</v>
      </c>
      <c r="F5" s="148"/>
      <c r="G5" s="146" t="str">
        <f>CONCATENATE("Proposed Budget ",J1,"")</f>
        <v>Proposed Budget 2013</v>
      </c>
      <c r="H5" s="147"/>
      <c r="I5" s="147"/>
      <c r="J5" s="148"/>
    </row>
    <row r="6" spans="2:10" ht="21" customHeight="1">
      <c r="B6" s="692"/>
      <c r="C6" s="149"/>
      <c r="D6" s="149" t="s">
        <v>764</v>
      </c>
      <c r="E6" s="149"/>
      <c r="F6" s="149" t="s">
        <v>764</v>
      </c>
      <c r="G6" s="480" t="s">
        <v>60</v>
      </c>
      <c r="H6" s="729" t="str">
        <f>CONCATENATE("Amount of ",J1-1," Ad Valorem Tax")</f>
        <v>Amount of 2012 Ad Valorem Tax</v>
      </c>
      <c r="I6" s="729" t="str">
        <f>CONCATENATE("July 1, ",J1-1," Est. Valuation")</f>
        <v>July 1, 2012 Est. Valuation</v>
      </c>
      <c r="J6" s="149" t="s">
        <v>765</v>
      </c>
    </row>
    <row r="7" spans="2:10" ht="15.75">
      <c r="B7" s="152" t="s">
        <v>779</v>
      </c>
      <c r="C7" s="257" t="s">
        <v>704</v>
      </c>
      <c r="D7" s="257" t="s">
        <v>767</v>
      </c>
      <c r="E7" s="257" t="s">
        <v>896</v>
      </c>
      <c r="F7" s="257" t="s">
        <v>767</v>
      </c>
      <c r="G7" s="481" t="s">
        <v>61</v>
      </c>
      <c r="H7" s="714"/>
      <c r="I7" s="714"/>
      <c r="J7" s="257" t="s">
        <v>767</v>
      </c>
    </row>
    <row r="8" spans="2:10" ht="15.75">
      <c r="B8" s="129" t="s">
        <v>652</v>
      </c>
      <c r="C8" s="129"/>
      <c r="D8" s="92"/>
      <c r="E8" s="129"/>
      <c r="F8" s="92"/>
      <c r="G8" s="129"/>
      <c r="H8" s="129"/>
      <c r="I8" s="129"/>
      <c r="J8" s="381" t="str">
        <f>IF(I8&lt;&gt;0,ROUND(H8/I8*1000,3)," ")</f>
        <v> </v>
      </c>
    </row>
    <row r="9" spans="2:10" ht="15.75">
      <c r="B9" s="129" t="s">
        <v>653</v>
      </c>
      <c r="C9" s="129">
        <v>119579</v>
      </c>
      <c r="D9" s="92">
        <v>3.663</v>
      </c>
      <c r="E9" s="129">
        <v>131899</v>
      </c>
      <c r="F9" s="92">
        <v>2.968</v>
      </c>
      <c r="G9" s="129">
        <v>123900</v>
      </c>
      <c r="H9" s="129">
        <v>120976</v>
      </c>
      <c r="I9" s="129">
        <v>24191818</v>
      </c>
      <c r="J9" s="381">
        <f aca="true" t="shared" si="0" ref="J9:J36">IF(I9&lt;&gt;0,ROUND(H9/I9*1000,3)," ")</f>
        <v>5.001</v>
      </c>
    </row>
    <row r="10" spans="2:10" ht="15.75">
      <c r="B10" s="129" t="s">
        <v>654</v>
      </c>
      <c r="C10" s="129">
        <v>62606</v>
      </c>
      <c r="D10" s="92">
        <v>11.507</v>
      </c>
      <c r="E10" s="129">
        <v>73000</v>
      </c>
      <c r="F10" s="92">
        <v>11.555</v>
      </c>
      <c r="G10" s="129">
        <v>73000</v>
      </c>
      <c r="H10" s="129">
        <v>66480</v>
      </c>
      <c r="I10" s="129">
        <v>4508527</v>
      </c>
      <c r="J10" s="381">
        <f t="shared" si="0"/>
        <v>14.745</v>
      </c>
    </row>
    <row r="11" spans="2:10" ht="15.75">
      <c r="B11" s="129" t="s">
        <v>655</v>
      </c>
      <c r="C11" s="129"/>
      <c r="D11" s="92"/>
      <c r="E11" s="129"/>
      <c r="F11" s="92"/>
      <c r="G11" s="129"/>
      <c r="H11" s="129"/>
      <c r="I11" s="129"/>
      <c r="J11" s="381" t="str">
        <f t="shared" si="0"/>
        <v> </v>
      </c>
    </row>
    <row r="12" spans="2:10" ht="15.75">
      <c r="B12" s="129" t="s">
        <v>656</v>
      </c>
      <c r="C12" s="129">
        <v>103192</v>
      </c>
      <c r="D12" s="92">
        <v>4.513</v>
      </c>
      <c r="E12" s="129">
        <v>175000</v>
      </c>
      <c r="F12" s="92">
        <v>3.747</v>
      </c>
      <c r="G12" s="129">
        <v>195000</v>
      </c>
      <c r="H12" s="129">
        <v>96967</v>
      </c>
      <c r="I12" s="129">
        <v>29577603</v>
      </c>
      <c r="J12" s="381">
        <f t="shared" si="0"/>
        <v>3.278</v>
      </c>
    </row>
    <row r="13" spans="2:10" ht="15.75">
      <c r="B13" s="129" t="s">
        <v>657</v>
      </c>
      <c r="C13" s="129">
        <v>50668</v>
      </c>
      <c r="D13" s="92">
        <v>7.312</v>
      </c>
      <c r="E13" s="129">
        <v>100000</v>
      </c>
      <c r="F13" s="92">
        <v>7.219</v>
      </c>
      <c r="G13" s="129">
        <v>93600</v>
      </c>
      <c r="H13" s="129">
        <v>73018</v>
      </c>
      <c r="I13" s="129">
        <v>8114843</v>
      </c>
      <c r="J13" s="381">
        <f t="shared" si="0"/>
        <v>8.998</v>
      </c>
    </row>
    <row r="14" spans="2:10" ht="15.75">
      <c r="B14" s="129" t="s">
        <v>658</v>
      </c>
      <c r="C14" s="129"/>
      <c r="D14" s="92"/>
      <c r="E14" s="129"/>
      <c r="F14" s="92"/>
      <c r="G14" s="129"/>
      <c r="H14" s="129"/>
      <c r="I14" s="129"/>
      <c r="J14" s="381" t="str">
        <f t="shared" si="0"/>
        <v> </v>
      </c>
    </row>
    <row r="15" spans="2:10" ht="15.75">
      <c r="B15" s="129" t="s">
        <v>659</v>
      </c>
      <c r="C15" s="129">
        <v>157788</v>
      </c>
      <c r="D15" s="92">
        <v>4.173</v>
      </c>
      <c r="E15" s="129">
        <v>158000</v>
      </c>
      <c r="F15" s="92">
        <v>3.906</v>
      </c>
      <c r="G15" s="129">
        <v>178000</v>
      </c>
      <c r="H15" s="129">
        <v>151651</v>
      </c>
      <c r="I15" s="129">
        <v>28287427</v>
      </c>
      <c r="J15" s="381">
        <f t="shared" si="0"/>
        <v>5.361</v>
      </c>
    </row>
    <row r="16" spans="2:10" ht="15.75">
      <c r="B16" s="129"/>
      <c r="C16" s="129"/>
      <c r="D16" s="92"/>
      <c r="E16" s="129"/>
      <c r="F16" s="92"/>
      <c r="G16" s="129"/>
      <c r="H16" s="129"/>
      <c r="I16" s="129"/>
      <c r="J16" s="381" t="str">
        <f t="shared" si="0"/>
        <v> </v>
      </c>
    </row>
    <row r="17" spans="2:10" ht="15.75">
      <c r="B17" s="129" t="s">
        <v>660</v>
      </c>
      <c r="C17" s="129"/>
      <c r="D17" s="92"/>
      <c r="E17" s="129"/>
      <c r="F17" s="92"/>
      <c r="G17" s="129"/>
      <c r="H17" s="129"/>
      <c r="I17" s="129"/>
      <c r="J17" s="381" t="str">
        <f t="shared" si="0"/>
        <v> </v>
      </c>
    </row>
    <row r="18" spans="2:10" ht="15.75">
      <c r="B18" s="129" t="s">
        <v>661</v>
      </c>
      <c r="C18" s="129">
        <v>3435</v>
      </c>
      <c r="D18" s="92">
        <v>2.274</v>
      </c>
      <c r="E18" s="129">
        <v>6014</v>
      </c>
      <c r="F18" s="92">
        <v>2.399</v>
      </c>
      <c r="G18" s="129">
        <v>9100</v>
      </c>
      <c r="H18" s="129">
        <v>3600</v>
      </c>
      <c r="I18" s="129">
        <v>2590335</v>
      </c>
      <c r="J18" s="381">
        <f t="shared" si="0"/>
        <v>1.39</v>
      </c>
    </row>
    <row r="19" spans="2:10" ht="15.75">
      <c r="B19" s="129" t="s">
        <v>662</v>
      </c>
      <c r="C19" s="129">
        <v>6614</v>
      </c>
      <c r="D19" s="92">
        <v>2.988</v>
      </c>
      <c r="E19" s="129">
        <v>14500</v>
      </c>
      <c r="F19" s="92">
        <v>2.726</v>
      </c>
      <c r="G19" s="129">
        <v>48816</v>
      </c>
      <c r="H19" s="129">
        <v>6500</v>
      </c>
      <c r="I19" s="129">
        <v>2534839</v>
      </c>
      <c r="J19" s="381">
        <f t="shared" si="0"/>
        <v>2.564</v>
      </c>
    </row>
    <row r="20" spans="2:10" ht="15.75">
      <c r="B20" s="129" t="s">
        <v>663</v>
      </c>
      <c r="C20" s="129">
        <v>1447</v>
      </c>
      <c r="D20" s="92">
        <v>0.168</v>
      </c>
      <c r="E20" s="129">
        <v>2000</v>
      </c>
      <c r="F20" s="92">
        <v>0.164</v>
      </c>
      <c r="G20" s="129">
        <v>7540</v>
      </c>
      <c r="H20" s="129">
        <v>1973</v>
      </c>
      <c r="I20" s="129">
        <v>12051229</v>
      </c>
      <c r="J20" s="381">
        <f t="shared" si="0"/>
        <v>0.164</v>
      </c>
    </row>
    <row r="21" spans="2:10" ht="15.75">
      <c r="B21" s="129" t="s">
        <v>664</v>
      </c>
      <c r="C21" s="129">
        <v>8195</v>
      </c>
      <c r="D21" s="92">
        <v>1.543</v>
      </c>
      <c r="E21" s="129">
        <v>32000</v>
      </c>
      <c r="F21" s="92">
        <v>1.564</v>
      </c>
      <c r="G21" s="129">
        <v>61900</v>
      </c>
      <c r="H21" s="129">
        <v>7486</v>
      </c>
      <c r="I21" s="129">
        <v>5157066</v>
      </c>
      <c r="J21" s="381">
        <f t="shared" si="0"/>
        <v>1.452</v>
      </c>
    </row>
    <row r="22" spans="2:10" ht="15.75" hidden="1">
      <c r="B22" s="129"/>
      <c r="C22" s="129"/>
      <c r="D22" s="92"/>
      <c r="E22" s="129"/>
      <c r="F22" s="92"/>
      <c r="G22" s="129"/>
      <c r="H22" s="129"/>
      <c r="I22" s="129"/>
      <c r="J22" s="381" t="str">
        <f t="shared" si="0"/>
        <v> </v>
      </c>
    </row>
    <row r="23" spans="2:10" ht="15.75" hidden="1">
      <c r="B23" s="129"/>
      <c r="C23" s="129"/>
      <c r="D23" s="92"/>
      <c r="E23" s="129"/>
      <c r="F23" s="92"/>
      <c r="G23" s="129"/>
      <c r="H23" s="129"/>
      <c r="I23" s="129"/>
      <c r="J23" s="381" t="str">
        <f t="shared" si="0"/>
        <v> </v>
      </c>
    </row>
    <row r="24" spans="2:10" ht="15.75" hidden="1">
      <c r="B24" s="129"/>
      <c r="C24" s="129"/>
      <c r="D24" s="92"/>
      <c r="E24" s="129"/>
      <c r="F24" s="92"/>
      <c r="G24" s="129"/>
      <c r="H24" s="129"/>
      <c r="I24" s="129"/>
      <c r="J24" s="381" t="str">
        <f t="shared" si="0"/>
        <v> </v>
      </c>
    </row>
    <row r="25" spans="2:10" ht="15.75" hidden="1">
      <c r="B25" s="129"/>
      <c r="C25" s="129"/>
      <c r="D25" s="92"/>
      <c r="E25" s="129"/>
      <c r="F25" s="92"/>
      <c r="G25" s="129"/>
      <c r="H25" s="129"/>
      <c r="I25" s="129"/>
      <c r="J25" s="381" t="str">
        <f t="shared" si="0"/>
        <v> </v>
      </c>
    </row>
    <row r="26" spans="2:10" ht="15.75" hidden="1">
      <c r="B26" s="129"/>
      <c r="C26" s="129"/>
      <c r="D26" s="92"/>
      <c r="E26" s="129"/>
      <c r="F26" s="92"/>
      <c r="G26" s="129"/>
      <c r="H26" s="129"/>
      <c r="I26" s="129"/>
      <c r="J26" s="381" t="str">
        <f t="shared" si="0"/>
        <v> </v>
      </c>
    </row>
    <row r="27" spans="2:10" ht="15.75" hidden="1">
      <c r="B27" s="129"/>
      <c r="C27" s="129"/>
      <c r="D27" s="92"/>
      <c r="E27" s="129"/>
      <c r="F27" s="92"/>
      <c r="G27" s="129"/>
      <c r="H27" s="129"/>
      <c r="I27" s="129"/>
      <c r="J27" s="381" t="str">
        <f t="shared" si="0"/>
        <v> </v>
      </c>
    </row>
    <row r="28" spans="2:10" ht="15.75" hidden="1">
      <c r="B28" s="129"/>
      <c r="C28" s="129"/>
      <c r="D28" s="92"/>
      <c r="E28" s="129"/>
      <c r="F28" s="92"/>
      <c r="G28" s="129"/>
      <c r="H28" s="129"/>
      <c r="I28" s="129"/>
      <c r="J28" s="381" t="str">
        <f t="shared" si="0"/>
        <v> </v>
      </c>
    </row>
    <row r="29" spans="2:10" ht="15.75" hidden="1">
      <c r="B29" s="129"/>
      <c r="C29" s="129"/>
      <c r="D29" s="92"/>
      <c r="E29" s="129"/>
      <c r="F29" s="92"/>
      <c r="G29" s="129"/>
      <c r="H29" s="129"/>
      <c r="I29" s="129"/>
      <c r="J29" s="381" t="str">
        <f t="shared" si="0"/>
        <v> </v>
      </c>
    </row>
    <row r="30" spans="2:10" ht="15.75" hidden="1">
      <c r="B30" s="129"/>
      <c r="C30" s="129"/>
      <c r="D30" s="92"/>
      <c r="E30" s="129"/>
      <c r="F30" s="92"/>
      <c r="G30" s="129"/>
      <c r="H30" s="129"/>
      <c r="I30" s="129"/>
      <c r="J30" s="381" t="str">
        <f t="shared" si="0"/>
        <v> </v>
      </c>
    </row>
    <row r="31" spans="2:10" ht="15.75" hidden="1">
      <c r="B31" s="129"/>
      <c r="C31" s="129"/>
      <c r="D31" s="92"/>
      <c r="E31" s="129"/>
      <c r="F31" s="92"/>
      <c r="G31" s="129"/>
      <c r="H31" s="129"/>
      <c r="I31" s="129"/>
      <c r="J31" s="381" t="str">
        <f t="shared" si="0"/>
        <v> </v>
      </c>
    </row>
    <row r="32" spans="2:10" ht="15.75" hidden="1">
      <c r="B32" s="129"/>
      <c r="C32" s="129"/>
      <c r="D32" s="92"/>
      <c r="E32" s="129"/>
      <c r="F32" s="92"/>
      <c r="G32" s="129"/>
      <c r="H32" s="129"/>
      <c r="I32" s="129"/>
      <c r="J32" s="381" t="str">
        <f t="shared" si="0"/>
        <v> </v>
      </c>
    </row>
    <row r="33" spans="2:10" ht="15.75" hidden="1">
      <c r="B33" s="129"/>
      <c r="C33" s="129"/>
      <c r="D33" s="92"/>
      <c r="E33" s="129"/>
      <c r="F33" s="92"/>
      <c r="G33" s="129"/>
      <c r="H33" s="129"/>
      <c r="I33" s="129"/>
      <c r="J33" s="381" t="str">
        <f t="shared" si="0"/>
        <v> </v>
      </c>
    </row>
    <row r="34" spans="2:10" ht="15.75" hidden="1">
      <c r="B34" s="129"/>
      <c r="C34" s="129"/>
      <c r="D34" s="92"/>
      <c r="E34" s="129"/>
      <c r="F34" s="92"/>
      <c r="G34" s="129"/>
      <c r="H34" s="129"/>
      <c r="I34" s="129"/>
      <c r="J34" s="381" t="str">
        <f t="shared" si="0"/>
        <v> </v>
      </c>
    </row>
    <row r="35" spans="2:10" ht="15.75" hidden="1">
      <c r="B35" s="129"/>
      <c r="C35" s="129"/>
      <c r="D35" s="92"/>
      <c r="E35" s="129"/>
      <c r="F35" s="92"/>
      <c r="G35" s="129"/>
      <c r="H35" s="129"/>
      <c r="I35" s="129"/>
      <c r="J35" s="381" t="str">
        <f t="shared" si="0"/>
        <v> </v>
      </c>
    </row>
    <row r="36" spans="2:10" ht="15.75" hidden="1">
      <c r="B36" s="129"/>
      <c r="C36" s="129"/>
      <c r="D36" s="92"/>
      <c r="E36" s="129"/>
      <c r="F36" s="92"/>
      <c r="G36" s="129"/>
      <c r="H36" s="129"/>
      <c r="I36" s="129"/>
      <c r="J36" s="381" t="str">
        <f t="shared" si="0"/>
        <v> </v>
      </c>
    </row>
    <row r="37" spans="2:10" ht="15.75">
      <c r="B37" s="86" t="s">
        <v>722</v>
      </c>
      <c r="C37" s="312">
        <f>SUM(C8:C36)</f>
        <v>513524</v>
      </c>
      <c r="D37" s="99">
        <f>SUM(D8:D24)</f>
        <v>38.141</v>
      </c>
      <c r="E37" s="312">
        <f>SUM(E8:E36)</f>
        <v>692413</v>
      </c>
      <c r="F37" s="99">
        <f>SUM(F8:F24)</f>
        <v>36.248000000000005</v>
      </c>
      <c r="G37" s="312">
        <f>SUM(G8:G36)</f>
        <v>790856</v>
      </c>
      <c r="H37" s="312">
        <f>SUM(H8:H36)</f>
        <v>528651</v>
      </c>
      <c r="I37" s="110"/>
      <c r="J37" s="99">
        <f>SUM(J8:J24)</f>
        <v>42.952999999999996</v>
      </c>
    </row>
    <row r="38" spans="2:10" ht="15.75">
      <c r="B38" s="67"/>
      <c r="C38" s="67"/>
      <c r="D38" s="67"/>
      <c r="E38" s="67"/>
      <c r="F38" s="67"/>
      <c r="G38" s="67"/>
      <c r="H38" s="67"/>
      <c r="I38" s="67"/>
      <c r="J38" s="67"/>
    </row>
    <row r="39" spans="2:10" ht="15.75">
      <c r="B39" s="66" t="s">
        <v>777</v>
      </c>
      <c r="C39" s="67"/>
      <c r="D39" s="67"/>
      <c r="E39" s="67"/>
      <c r="F39" s="67"/>
      <c r="G39" s="67"/>
      <c r="H39" s="67"/>
      <c r="I39" s="67"/>
      <c r="J39" s="67"/>
    </row>
    <row r="40" spans="2:10" ht="15.75">
      <c r="B40" s="67"/>
      <c r="C40" s="67"/>
      <c r="D40" s="67"/>
      <c r="E40" s="67"/>
      <c r="F40" s="67"/>
      <c r="G40" s="67"/>
      <c r="H40" s="67"/>
      <c r="I40" s="67"/>
      <c r="J40" s="67"/>
    </row>
    <row r="41" spans="2:10" ht="15.75">
      <c r="B41" s="475"/>
      <c r="C41" s="67"/>
      <c r="D41" s="67"/>
      <c r="E41" s="67"/>
      <c r="F41" s="67"/>
      <c r="G41" s="67"/>
      <c r="H41" s="67"/>
      <c r="I41" s="67"/>
      <c r="J41" s="67"/>
    </row>
    <row r="42" spans="2:10" ht="15.75">
      <c r="B42" s="144" t="s">
        <v>778</v>
      </c>
      <c r="C42" s="67"/>
      <c r="D42" s="67"/>
      <c r="E42" s="281" t="s">
        <v>734</v>
      </c>
      <c r="F42" s="334"/>
      <c r="G42" s="67"/>
      <c r="H42" s="67"/>
      <c r="I42" s="67"/>
      <c r="J42" s="67"/>
    </row>
    <row r="44" spans="2:10" ht="15.75">
      <c r="B44" s="124"/>
      <c r="C44" s="124"/>
      <c r="D44" s="124"/>
      <c r="E44" s="124"/>
      <c r="F44" s="124"/>
      <c r="G44" s="124"/>
      <c r="H44" s="124"/>
      <c r="I44" s="124"/>
      <c r="J44" s="124"/>
    </row>
    <row r="45" spans="2:10" ht="15.75">
      <c r="B45" s="197"/>
      <c r="C45" s="124"/>
      <c r="D45" s="124"/>
      <c r="E45" s="124"/>
      <c r="F45" s="124"/>
      <c r="G45" s="124"/>
      <c r="H45" s="124"/>
      <c r="I45" s="124"/>
      <c r="J45" s="124"/>
    </row>
    <row r="46" spans="2:10" ht="15.75">
      <c r="B46" s="197"/>
      <c r="C46" s="187"/>
      <c r="D46" s="124"/>
      <c r="E46" s="187"/>
      <c r="F46" s="124"/>
      <c r="G46" s="187"/>
      <c r="H46" s="124"/>
      <c r="I46" s="124"/>
      <c r="J46" s="124"/>
    </row>
    <row r="47" spans="2:10" ht="15.75">
      <c r="B47" s="197"/>
      <c r="C47" s="197"/>
      <c r="D47" s="124"/>
      <c r="E47" s="197"/>
      <c r="F47" s="124"/>
      <c r="G47" s="197"/>
      <c r="H47" s="124"/>
      <c r="I47" s="124"/>
      <c r="J47" s="124"/>
    </row>
    <row r="48" spans="2:10" ht="15.75">
      <c r="B48" s="197"/>
      <c r="C48" s="197"/>
      <c r="D48" s="124"/>
      <c r="E48" s="197"/>
      <c r="F48" s="124"/>
      <c r="G48" s="197"/>
      <c r="H48" s="124"/>
      <c r="I48" s="124"/>
      <c r="J48" s="124"/>
    </row>
    <row r="49" spans="2:10" ht="15.75">
      <c r="B49" s="197"/>
      <c r="C49" s="197"/>
      <c r="D49" s="124"/>
      <c r="E49" s="197"/>
      <c r="F49" s="124"/>
      <c r="G49" s="197"/>
      <c r="H49" s="124"/>
      <c r="I49" s="124"/>
      <c r="J49" s="124"/>
    </row>
    <row r="50" spans="2:10" ht="15.75">
      <c r="B50" s="197"/>
      <c r="C50" s="197"/>
      <c r="D50" s="124"/>
      <c r="E50" s="197"/>
      <c r="F50" s="124"/>
      <c r="G50" s="197"/>
      <c r="H50" s="124"/>
      <c r="I50" s="124"/>
      <c r="J50" s="124"/>
    </row>
    <row r="51" spans="2:10" ht="15.75">
      <c r="B51" s="197"/>
      <c r="C51" s="197"/>
      <c r="D51" s="124"/>
      <c r="E51" s="197"/>
      <c r="F51" s="124"/>
      <c r="G51" s="197"/>
      <c r="H51" s="124"/>
      <c r="I51" s="124"/>
      <c r="J51" s="124"/>
    </row>
    <row r="52" spans="3:10" ht="15.75">
      <c r="C52" s="124"/>
      <c r="D52" s="124"/>
      <c r="E52" s="124"/>
      <c r="F52" s="124"/>
      <c r="G52" s="124"/>
      <c r="H52" s="124"/>
      <c r="I52" s="124"/>
      <c r="J52" s="124"/>
    </row>
    <row r="53" spans="3:10" ht="15.75">
      <c r="C53" s="124"/>
      <c r="D53" s="124"/>
      <c r="E53" s="124"/>
      <c r="F53" s="124"/>
      <c r="G53" s="124"/>
      <c r="H53" s="124"/>
      <c r="I53" s="124"/>
      <c r="J53" s="124"/>
    </row>
    <row r="54" spans="3:10" ht="15.75">
      <c r="C54" s="385"/>
      <c r="D54" s="124"/>
      <c r="E54" s="124"/>
      <c r="F54" s="124"/>
      <c r="G54" s="124"/>
      <c r="H54" s="124"/>
      <c r="I54" s="124"/>
      <c r="J54" s="124"/>
    </row>
    <row r="55" spans="3:10" ht="15.75">
      <c r="C55" s="386"/>
      <c r="D55" s="124"/>
      <c r="E55" s="124"/>
      <c r="F55" s="124"/>
      <c r="G55" s="124"/>
      <c r="H55" s="124"/>
      <c r="I55" s="124"/>
      <c r="J55" s="124"/>
    </row>
    <row r="56" spans="2:10" ht="15.75">
      <c r="B56" s="124"/>
      <c r="C56" s="124"/>
      <c r="D56" s="124"/>
      <c r="E56" s="124"/>
      <c r="F56" s="124"/>
      <c r="G56" s="124"/>
      <c r="H56" s="124"/>
      <c r="I56" s="124"/>
      <c r="J56" s="124"/>
    </row>
    <row r="57" spans="2:10" ht="15.75">
      <c r="B57" s="124"/>
      <c r="C57" s="124"/>
      <c r="D57" s="387"/>
      <c r="E57" s="124"/>
      <c r="F57" s="124"/>
      <c r="G57" s="124"/>
      <c r="H57" s="124"/>
      <c r="I57" s="124"/>
      <c r="J57" s="124"/>
    </row>
  </sheetData>
  <sheetProtection/>
  <mergeCells count="2">
    <mergeCell ref="H6:H7"/>
    <mergeCell ref="I6:I7"/>
  </mergeCells>
  <printOptions/>
  <pageMargins left="1.12" right="0.5" top="0.74" bottom="0.34" header="0.5" footer="0"/>
  <pageSetup blackAndWhite="1" fitToHeight="1" fitToWidth="1" horizontalDpi="120" verticalDpi="120" orientation="portrait" scale="58" r:id="rId1"/>
  <headerFooter alignWithMargins="0">
    <oddHeader>&amp;RState of Kansas
County
</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G74"/>
  <sheetViews>
    <sheetView tabSelected="1" zoomScale="90" zoomScaleNormal="90" zoomScalePageLayoutView="0" workbookViewId="0" topLeftCell="A1">
      <selection activeCell="B67" sqref="B67"/>
    </sheetView>
  </sheetViews>
  <sheetFormatPr defaultColWidth="8.796875" defaultRowHeight="15"/>
  <cols>
    <col min="1" max="1" width="8.8984375" style="52" customWidth="1"/>
    <col min="2" max="2" width="23.796875" style="52" customWidth="1"/>
    <col min="3" max="3" width="11.296875" style="52" customWidth="1"/>
    <col min="4" max="4" width="5.796875" style="52" customWidth="1"/>
    <col min="5" max="6" width="15.796875" style="52" customWidth="1"/>
    <col min="7" max="7" width="17.796875" style="52" customWidth="1"/>
    <col min="8" max="16384" width="8.8984375" style="52" customWidth="1"/>
  </cols>
  <sheetData>
    <row r="1" spans="2:7" ht="15.75">
      <c r="B1" s="108"/>
      <c r="C1" s="108"/>
      <c r="D1" s="108"/>
      <c r="E1" s="108"/>
      <c r="F1" s="108"/>
      <c r="G1" s="108">
        <f>inputPrYr!C5</f>
        <v>2013</v>
      </c>
    </row>
    <row r="2" spans="2:7" ht="15.75">
      <c r="B2" s="728" t="s">
        <v>803</v>
      </c>
      <c r="C2" s="728"/>
      <c r="D2" s="728"/>
      <c r="E2" s="728"/>
      <c r="F2" s="728"/>
      <c r="G2" s="728"/>
    </row>
    <row r="3" spans="2:7" ht="15.75">
      <c r="B3" s="67"/>
      <c r="C3" s="67"/>
      <c r="D3" s="67"/>
      <c r="E3" s="67"/>
      <c r="F3" s="67"/>
      <c r="G3" s="67"/>
    </row>
    <row r="4" spans="2:7" ht="15.75">
      <c r="B4" s="725" t="str">
        <f>CONCATENATE("To the Clerk of ",inputPrYr!C3,", State of Kansas")</f>
        <v>To the Clerk of Russell County, State of Kansas</v>
      </c>
      <c r="C4" s="732"/>
      <c r="D4" s="732"/>
      <c r="E4" s="732"/>
      <c r="F4" s="732"/>
      <c r="G4" s="732"/>
    </row>
    <row r="5" spans="2:7" ht="15.75">
      <c r="B5" s="144" t="s">
        <v>902</v>
      </c>
      <c r="C5" s="75"/>
      <c r="D5" s="75"/>
      <c r="E5" s="75"/>
      <c r="F5" s="75"/>
      <c r="G5" s="75"/>
    </row>
    <row r="6" spans="2:7" ht="15.75">
      <c r="B6" s="706" t="str">
        <f>(inputPrYr!C3)</f>
        <v>Russell County</v>
      </c>
      <c r="C6" s="731"/>
      <c r="D6" s="731"/>
      <c r="E6" s="731"/>
      <c r="F6" s="731"/>
      <c r="G6" s="731"/>
    </row>
    <row r="7" spans="2:7" ht="15.75">
      <c r="B7" s="144" t="s">
        <v>698</v>
      </c>
      <c r="C7" s="75"/>
      <c r="D7" s="75"/>
      <c r="E7" s="75"/>
      <c r="F7" s="75"/>
      <c r="G7" s="75"/>
    </row>
    <row r="8" spans="2:7" ht="15.75">
      <c r="B8" s="144" t="s">
        <v>699</v>
      </c>
      <c r="C8" s="75"/>
      <c r="D8" s="75"/>
      <c r="E8" s="75"/>
      <c r="F8" s="75"/>
      <c r="G8" s="75"/>
    </row>
    <row r="9" spans="2:7" ht="15.75">
      <c r="B9" s="144" t="str">
        <f>CONCATENATE("maximum expenditure for the various funds for the year ",G1,"; and")</f>
        <v>maximum expenditure for the various funds for the year 2013; and</v>
      </c>
      <c r="C9" s="75"/>
      <c r="D9" s="75"/>
      <c r="E9" s="75"/>
      <c r="F9" s="75"/>
      <c r="G9" s="75"/>
    </row>
    <row r="10" spans="2:7" ht="15.75">
      <c r="B10" s="144" t="str">
        <f>CONCATENATE("(3) the Amount(s) of ",G1-1," Ad Valorem Tax are within statutory limitations.")</f>
        <v>(3) the Amount(s) of 2012 Ad Valorem Tax are within statutory limitations.</v>
      </c>
      <c r="C10" s="75"/>
      <c r="D10" s="75"/>
      <c r="E10" s="75"/>
      <c r="F10" s="75"/>
      <c r="G10" s="75"/>
    </row>
    <row r="11" spans="2:7" ht="15.75">
      <c r="B11" s="66"/>
      <c r="C11" s="67"/>
      <c r="D11" s="67"/>
      <c r="E11" s="145"/>
      <c r="F11" s="145"/>
      <c r="G11" s="145"/>
    </row>
    <row r="12" spans="2:7" ht="15.75">
      <c r="B12" s="67"/>
      <c r="C12" s="67"/>
      <c r="D12" s="67"/>
      <c r="E12" s="146" t="str">
        <f>CONCATENATE("",G1," Adopted Budget")</f>
        <v>2013 Adopted Budget</v>
      </c>
      <c r="F12" s="147"/>
      <c r="G12" s="148"/>
    </row>
    <row r="13" spans="2:7" ht="21" customHeight="1">
      <c r="B13" s="67"/>
      <c r="C13" s="67"/>
      <c r="D13" s="149" t="s">
        <v>700</v>
      </c>
      <c r="E13" s="449" t="s">
        <v>60</v>
      </c>
      <c r="F13" s="729" t="str">
        <f>CONCATENATE("Amount of ",G1-1,"    Ad Valorem Tax")</f>
        <v>Amount of 2012    Ad Valorem Tax</v>
      </c>
      <c r="G13" s="149" t="s">
        <v>701</v>
      </c>
    </row>
    <row r="14" spans="2:7" ht="15.75">
      <c r="B14" s="151" t="s">
        <v>702</v>
      </c>
      <c r="C14" s="96"/>
      <c r="D14" s="152" t="s">
        <v>703</v>
      </c>
      <c r="E14" s="450" t="s">
        <v>61</v>
      </c>
      <c r="F14" s="714"/>
      <c r="G14" s="152" t="s">
        <v>705</v>
      </c>
    </row>
    <row r="15" spans="2:7" ht="15.75">
      <c r="B15" s="153" t="str">
        <f>CONCATENATE("Computation to Determine Limit for ",G1,"")</f>
        <v>Computation to Determine Limit for 2013</v>
      </c>
      <c r="C15" s="154"/>
      <c r="D15" s="152">
        <v>2</v>
      </c>
      <c r="E15" s="155"/>
      <c r="F15" s="155"/>
      <c r="G15" s="155"/>
    </row>
    <row r="16" spans="2:7" ht="15.75">
      <c r="B16" s="153" t="s">
        <v>241</v>
      </c>
      <c r="C16" s="154"/>
      <c r="D16" s="152">
        <v>3</v>
      </c>
      <c r="E16" s="155"/>
      <c r="F16" s="155"/>
      <c r="G16" s="155"/>
    </row>
    <row r="17" spans="2:7" ht="15.75">
      <c r="B17" s="153" t="s">
        <v>856</v>
      </c>
      <c r="C17" s="154"/>
      <c r="D17" s="152">
        <v>4</v>
      </c>
      <c r="E17" s="155"/>
      <c r="F17" s="155"/>
      <c r="G17" s="155"/>
    </row>
    <row r="18" spans="2:7" ht="15.75">
      <c r="B18" s="156" t="s">
        <v>706</v>
      </c>
      <c r="C18" s="157"/>
      <c r="D18" s="158">
        <v>5</v>
      </c>
      <c r="E18" s="159"/>
      <c r="F18" s="159"/>
      <c r="G18" s="159"/>
    </row>
    <row r="19" spans="2:7" ht="15.75">
      <c r="B19" s="153" t="s">
        <v>707</v>
      </c>
      <c r="C19" s="154"/>
      <c r="D19" s="160">
        <v>6</v>
      </c>
      <c r="E19" s="159"/>
      <c r="F19" s="159"/>
      <c r="G19" s="159"/>
    </row>
    <row r="20" spans="2:7" ht="15.75">
      <c r="B20" s="161" t="s">
        <v>708</v>
      </c>
      <c r="C20" s="162" t="s">
        <v>709</v>
      </c>
      <c r="D20" s="163"/>
      <c r="E20" s="164"/>
      <c r="F20" s="164"/>
      <c r="G20" s="164"/>
    </row>
    <row r="21" spans="2:7" ht="15.75">
      <c r="B21" s="86" t="s">
        <v>694</v>
      </c>
      <c r="C21" s="165" t="str">
        <f>inputPrYr!C16</f>
        <v>79-1946</v>
      </c>
      <c r="D21" s="158">
        <v>7</v>
      </c>
      <c r="E21" s="259">
        <f>IF(general!$E$115&lt;&gt;0,general!$E$115,"  ")</f>
        <v>5474210</v>
      </c>
      <c r="F21" s="527">
        <f>IF(general!$E$122&lt;&gt;0,general!$E$122,"  ")</f>
        <v>2325788</v>
      </c>
      <c r="G21" s="166" t="str">
        <f>IF(AND(general!E122=0,$G$60&gt;=0)," ",IF(AND(F21&gt;0,$G$60=0)," ",IF(AND(F21&gt;0,$G$60&gt;0),ROUND(F21/$G$60*1000,3))))</f>
        <v> </v>
      </c>
    </row>
    <row r="22" spans="2:7" ht="15.75">
      <c r="B22" s="86" t="s">
        <v>748</v>
      </c>
      <c r="C22" s="165" t="s">
        <v>894</v>
      </c>
      <c r="D22" s="158">
        <f>IF(DebtService!C59&gt;0,DebtService!C59,"")</f>
        <v>8</v>
      </c>
      <c r="E22" s="259">
        <f>IF(DebtService!$E$50&lt;&gt;0,DebtService!$E$50,"  ")</f>
        <v>425265</v>
      </c>
      <c r="F22" s="527" t="str">
        <f>IF(DebtService!$E$57&lt;&gt;0,DebtService!$E$57,"  ")</f>
        <v>  </v>
      </c>
      <c r="G22" s="166" t="str">
        <f>IF(AND(DebtService!E57=0,$G$60&gt;=0)," ",IF(AND(F22&gt;0,$G$60=0)," ",IF(AND(F22&gt;0,$G$60&gt;0),ROUND(F22/$G$60*1000,3))))</f>
        <v> </v>
      </c>
    </row>
    <row r="23" spans="2:7" ht="15.75">
      <c r="B23" s="86" t="s">
        <v>757</v>
      </c>
      <c r="C23" s="165" t="s">
        <v>855</v>
      </c>
      <c r="D23" s="158">
        <f>IF(road!C57&gt;0,road!C57,"")</f>
        <v>9</v>
      </c>
      <c r="E23" s="259">
        <f>IF(road!$E$111&lt;&gt;0,road!$E$111,"  ")</f>
        <v>2500000</v>
      </c>
      <c r="F23" s="527">
        <f>IF(road!$E$118&lt;&gt;0,road!$E$118,"  ")</f>
        <v>1630449</v>
      </c>
      <c r="G23" s="166" t="str">
        <f>IF(AND(road!E118=0,$G$60&gt;=0)," ",IF(AND(F23&gt;0,$G$60=0)," ",IF(AND(F23&gt;0,$G$60&gt;0),ROUND(F23/$G$60*1000,3))))</f>
        <v> </v>
      </c>
    </row>
    <row r="24" spans="2:7" ht="15.75">
      <c r="B24" s="110" t="str">
        <f>IF((inputPrYr!$B19&gt;"  "),(inputPrYr!$B19),"  ")</f>
        <v>Special Bridge</v>
      </c>
      <c r="C24" s="165" t="str">
        <f>IF((inputPrYr!C19&gt;0),(inputPrYr!C19),"  ")</f>
        <v>  </v>
      </c>
      <c r="D24" s="158">
        <f>IF('levy page10'!C81&gt;0,'levy page10'!C81,"  ")</f>
        <v>10</v>
      </c>
      <c r="E24" s="259">
        <f>IF('levy page10'!$E$33&lt;&gt;0,'levy page10'!$E$33,"  ")</f>
        <v>420000</v>
      </c>
      <c r="F24" s="527">
        <f>IF('levy page10'!$E$40&lt;&gt;0,'levy page10'!$E$40,"  ")</f>
        <v>117437</v>
      </c>
      <c r="G24" s="166" t="str">
        <f>IF(AND('levy page10'!E40=0,$G$60&gt;=0)," ",IF(AND(F24&gt;0,$G$60=0)," ",IF(AND(F24&gt;0,$G$60&gt;0),ROUND(F24/$G$60*1000,3))))</f>
        <v> </v>
      </c>
    </row>
    <row r="25" spans="2:7" ht="15.75">
      <c r="B25" s="110" t="str">
        <f>IF((inputPrYr!$B20&gt;"  "),(inputPrYr!$B20),"  ")</f>
        <v>Noxious Weed</v>
      </c>
      <c r="C25" s="165" t="str">
        <f>IF((inputPrYr!C20&gt;0),(inputPrYr!C20),"  ")</f>
        <v>  </v>
      </c>
      <c r="D25" s="158">
        <f>IF('levy page10'!C81&gt;0,'levy page10'!C81,"  ")</f>
        <v>10</v>
      </c>
      <c r="E25" s="259">
        <f>IF('levy page10'!$E$73&lt;&gt;0,'levy page10'!$E$73,"  ")</f>
        <v>365676</v>
      </c>
      <c r="F25" s="527">
        <f>IF('levy page10'!$E$80&lt;&gt;0,'levy page10'!$E$80,"  ")</f>
        <v>168215</v>
      </c>
      <c r="G25" s="166" t="str">
        <f>IF(AND('levy page10'!E80=0,$G$60&gt;=0)," ",IF(AND(F25&gt;0,$G$60=0)," ",IF(AND(F25&gt;0,$G$60&gt;0),ROUND(F25/$G$60*1000,3))))</f>
        <v> </v>
      </c>
    </row>
    <row r="26" spans="2:7" ht="15.75">
      <c r="B26" s="110" t="str">
        <f>IF((inputPrYr!$B21&gt;"  "),(inputPrYr!$B21),"  ")</f>
        <v>4-H Bldg Maintenance</v>
      </c>
      <c r="C26" s="165" t="str">
        <f>IF((inputPrYr!C21&gt;0),(inputPrYr!C21),"  ")</f>
        <v>  </v>
      </c>
      <c r="D26" s="158">
        <f>IF('levy page11'!C81&gt;0,'levy page11'!C81,"  ")</f>
        <v>11</v>
      </c>
      <c r="E26" s="259">
        <f>IF('levy page11'!$E$33&lt;&gt;0,'levy page11'!$E$33,"  ")</f>
        <v>263457</v>
      </c>
      <c r="F26" s="527">
        <f>IF('levy page11'!$E$40&lt;&gt;0,'levy page11'!$E$40,"  ")</f>
        <v>72423</v>
      </c>
      <c r="G26" s="166" t="str">
        <f>IF(AND('levy page11'!E40=0,$G$60&gt;=0)," ",IF(AND(F26&gt;0,$G$60=0)," ",IF(AND(F26&gt;0,$G$60&gt;0),ROUND(F26/$G$60*1000,3))))</f>
        <v> </v>
      </c>
    </row>
    <row r="27" spans="2:7" ht="15.75">
      <c r="B27" s="110" t="str">
        <f>IF((inputPrYr!$B22&gt;"  "),(inputPrYr!$B22),"  ")</f>
        <v>Election Expense</v>
      </c>
      <c r="C27" s="165" t="str">
        <f>IF((inputPrYr!C22&gt;0),(inputPrYr!C22),"  ")</f>
        <v>  </v>
      </c>
      <c r="D27" s="158">
        <f>IF('levy page11'!C81&gt;0,'levy page11'!C81,"  ")</f>
        <v>11</v>
      </c>
      <c r="E27" s="259">
        <f>IF('levy page11'!$E$73&lt;&gt;0,'levy page11'!$E$73,"  ")</f>
        <v>166500</v>
      </c>
      <c r="F27" s="527">
        <f>IF('levy page11'!$E$80&lt;&gt;0,'levy page11'!$E$80,"  ")</f>
        <v>145995</v>
      </c>
      <c r="G27" s="166" t="str">
        <f>IF(AND('levy page11'!E80=0,$G$60&gt;=0)," ",IF(AND(F27&gt;0,$G$60=0)," ",IF(AND(F27&gt;0,$G$60&gt;0),ROUND(F27/$G$60*1000,3))))</f>
        <v> </v>
      </c>
    </row>
    <row r="28" spans="2:7" ht="15.75">
      <c r="B28" s="110" t="str">
        <f>IF((inputPrYr!$B23&gt;"  "),(inputPrYr!$B23),"  ")</f>
        <v>Ambulance</v>
      </c>
      <c r="C28" s="165" t="str">
        <f>IF((inputPrYr!C23&gt;0),(inputPrYr!C23),"  ")</f>
        <v>  </v>
      </c>
      <c r="D28" s="158">
        <f>IF('levy page12'!C81&gt;0,'levy page12'!C81,"  ")</f>
        <v>12</v>
      </c>
      <c r="E28" s="259">
        <f>IF('levy page12'!$E$33&lt;&gt;0,'levy page12'!$E$33,"  ")</f>
        <v>1675530</v>
      </c>
      <c r="F28" s="527">
        <f>IF('levy page12'!$E$40&lt;&gt;0,'levy page12'!$E$40,"  ")</f>
        <v>717595</v>
      </c>
      <c r="G28" s="166" t="str">
        <f>IF(AND('levy page12'!E40=0,$G$60&gt;=0)," ",IF(AND(F28&gt;0,$G$60=0)," ",IF(AND(F28&gt;0,$G$60&gt;0),ROUND(F28/$G$60*1000,3))))</f>
        <v> </v>
      </c>
    </row>
    <row r="29" spans="2:7" ht="15.75">
      <c r="B29" s="110" t="str">
        <f>IF((inputPrYr!$B24&gt;"  "),(inputPrYr!$B24),"  ")</f>
        <v>Free Fair</v>
      </c>
      <c r="C29" s="165" t="str">
        <f>IF((inputPrYr!C24&gt;0),(inputPrYr!C24),"  ")</f>
        <v>  </v>
      </c>
      <c r="D29" s="158">
        <f>IF('levy page12'!C81&gt;0,'levy page12'!C81,"  ")</f>
        <v>12</v>
      </c>
      <c r="E29" s="259">
        <f>IF('levy page12'!$E$73&lt;&gt;0,'levy page12'!$E$73,"  ")</f>
        <v>50000</v>
      </c>
      <c r="F29" s="527">
        <f>IF('levy page12'!$E$80&lt;&gt;0,'levy page12'!$E$80,"  ")</f>
        <v>46449</v>
      </c>
      <c r="G29" s="166" t="str">
        <f>IF(AND('levy page12'!E80=0,$G$60&gt;=0)," ",IF(AND(F29&gt;0,$G$60=0)," ",IF(AND(F29&gt;0,$G$60&gt;0),ROUND(F29/$G$60*1000,3))))</f>
        <v> </v>
      </c>
    </row>
    <row r="30" spans="2:7" ht="15.75">
      <c r="B30" s="110" t="str">
        <f>IF((inputPrYr!$B25&gt;"  "),(inputPrYr!$B25),"  ")</f>
        <v>Ag Extension Council</v>
      </c>
      <c r="C30" s="165" t="str">
        <f>IF((inputPrYr!C25&gt;0),(inputPrYr!C25),"  ")</f>
        <v>  </v>
      </c>
      <c r="D30" s="158">
        <f>IF('levy page13'!C81&gt;0,'levy page13'!C81,"  ")</f>
        <v>13</v>
      </c>
      <c r="E30" s="259">
        <f>IF('levy page13'!$E$33&lt;&gt;0,'levy page13'!$E$33,"  ")</f>
        <v>180000</v>
      </c>
      <c r="F30" s="527">
        <f>IF('levy page13'!$E$40&lt;&gt;0,'levy page13'!$E$40,"  ")</f>
        <v>168559</v>
      </c>
      <c r="G30" s="166" t="str">
        <f>IF(AND('levy page13'!E40=0,$G$60&gt;=0)," ",IF(AND(F30&gt;0,$G$60=0)," ",IF(AND(F30&gt;0,$G$60&gt;0),ROUND(F30/$G$60*1000,3))))</f>
        <v> </v>
      </c>
    </row>
    <row r="31" spans="2:7" ht="15.75">
      <c r="B31" s="110" t="str">
        <f>IF((inputPrYr!$B26&gt;"  "),(inputPrYr!$B26),"  ")</f>
        <v>Mental Health</v>
      </c>
      <c r="C31" s="165" t="str">
        <f>IF((inputPrYr!C26&gt;0),(inputPrYr!C26),"  ")</f>
        <v>  </v>
      </c>
      <c r="D31" s="158">
        <f>IF('levy page13'!C81&gt;0,'levy page13'!C81,"  ")</f>
        <v>13</v>
      </c>
      <c r="E31" s="259">
        <f>IF('levy page13'!$E$73&lt;&gt;0,'levy page13'!$E$73,"  ")</f>
        <v>48234</v>
      </c>
      <c r="F31" s="527">
        <f>IF('levy page13'!$E$80&lt;&gt;0,'levy page13'!$E$80,"  ")</f>
        <v>44776</v>
      </c>
      <c r="G31" s="166" t="str">
        <f>IF(AND('levy page13'!E80=0,$G$60&gt;=0)," ",IF(AND(F31&gt;0,$G$60=0)," ",IF(AND(F31&gt;0,$G$60&gt;0),ROUND(F31/$G$60*1000,3))))</f>
        <v> </v>
      </c>
    </row>
    <row r="32" spans="2:7" ht="15.75">
      <c r="B32" s="110" t="str">
        <f>IF((inputPrYr!$B27&gt;"  "),(inputPrYr!$B27),"  ")</f>
        <v>Service for the Elderly</v>
      </c>
      <c r="C32" s="165" t="str">
        <f>IF((inputPrYr!C27&gt;0),(inputPrYr!C27),"  ")</f>
        <v>  </v>
      </c>
      <c r="D32" s="158">
        <f>IF('levy page14'!C81&gt;0,'levy page14'!C81,"  ")</f>
        <v>14</v>
      </c>
      <c r="E32" s="259">
        <f>IF('levy page14'!$E$33&lt;&gt;0,'levy page14'!$E$33,"  ")</f>
        <v>121766</v>
      </c>
      <c r="F32" s="527">
        <f>IF('levy page14'!$E$40&lt;&gt;0,'levy page14'!$E$40,"  ")</f>
        <v>112144</v>
      </c>
      <c r="G32" s="166" t="str">
        <f>IF(AND('levy page14'!E40=0,$G$60&gt;=0)," ",IF(AND(F32&gt;0,$G$60=0)," ",IF(AND(F32&gt;0,$G$60&gt;0),ROUND(F32/$G$60*1000,3))))</f>
        <v> </v>
      </c>
    </row>
    <row r="33" spans="2:7" ht="15.75">
      <c r="B33" s="110" t="str">
        <f>IF((inputPrYr!$B28&gt;"  "),(inputPrYr!$B28),"  ")</f>
        <v>County Health</v>
      </c>
      <c r="C33" s="165" t="str">
        <f>IF((inputPrYr!C28&gt;0),(inputPrYr!C28),"  ")</f>
        <v>  </v>
      </c>
      <c r="D33" s="158">
        <f>IF('levy page14'!C81&gt;0,'levy page14'!C81,"  ")</f>
        <v>14</v>
      </c>
      <c r="E33" s="259">
        <f>IF('levy page14'!$E$73&lt;&gt;0,'levy page14'!$E$73,"  ")</f>
        <v>306410</v>
      </c>
      <c r="F33" s="527">
        <f>IF('levy page14'!$E$80&lt;&gt;0,'levy page14'!$E$80,"  ")</f>
        <v>115273</v>
      </c>
      <c r="G33" s="166" t="str">
        <f>IF(AND('levy page14'!E80=0,$G$60&gt;=0)," ",IF(AND(F33&gt;0,$G$60=0)," ",IF(AND(F33&gt;0,$G$60&gt;0),ROUND(F33/$G$60*1000,3))))</f>
        <v> </v>
      </c>
    </row>
    <row r="34" spans="2:7" ht="15.75">
      <c r="B34" s="110" t="str">
        <f>IF((inputPrYr!$B29&gt;"  "),(inputPrYr!$B29),"  ")</f>
        <v>Developmental Service</v>
      </c>
      <c r="C34" s="165" t="str">
        <f>IF((inputPrYr!C29&gt;0),(inputPrYr!C29),"  ")</f>
        <v>  </v>
      </c>
      <c r="D34" s="158">
        <f>IF('levy page15'!C81&gt;0,'levy page15'!C81,"  ")</f>
        <v>15</v>
      </c>
      <c r="E34" s="259">
        <f>IF('levy page15'!$E$33&lt;&gt;0,'levy page15'!$E$33,"  ")</f>
        <v>77235</v>
      </c>
      <c r="F34" s="527">
        <f>IF('levy page15'!$E$40&lt;&gt;0,'levy page15'!$E$40,"  ")</f>
        <v>71748</v>
      </c>
      <c r="G34" s="166" t="str">
        <f>IF(AND('levy page15'!E40=0,$G$60&gt;=0)," ",IF(AND(F34&gt;0,$G$60=0)," ",IF(AND(F34&gt;0,$G$60&gt;0),ROUND(F34/$G$60*1000,3))))</f>
        <v> </v>
      </c>
    </row>
    <row r="35" spans="2:7" ht="15.75">
      <c r="B35" s="110" t="str">
        <f>IF((inputPrYr!$B30&gt;"  "),(inputPrYr!$B30),"  ")</f>
        <v>Appraiser</v>
      </c>
      <c r="C35" s="165" t="str">
        <f>IF((inputPrYr!C30&gt;0),(inputPrYr!C30),"  ")</f>
        <v>  </v>
      </c>
      <c r="D35" s="158">
        <f>IF('levy page15'!C81&gt;0,'levy page15'!C81,"  ")</f>
        <v>15</v>
      </c>
      <c r="E35" s="259">
        <f>IF('levy page15'!$E$73&lt;&gt;0,'levy page15'!$E$73,"  ")</f>
        <v>234250</v>
      </c>
      <c r="F35" s="527">
        <f>IF('levy page15'!$E$80&lt;&gt;0,'levy page15'!$E$80,"  ")</f>
        <v>181868</v>
      </c>
      <c r="G35" s="166" t="str">
        <f>IF(AND('levy page15'!E80=0,$G$60&gt;=0)," ",IF(AND(F35&gt;0,$G$60=0)," ",IF(AND(F35&gt;0,$G$60&gt;0),ROUND(F35/$G$60*1000,3))))</f>
        <v> </v>
      </c>
    </row>
    <row r="36" spans="2:7" ht="15.75">
      <c r="B36" s="110" t="str">
        <f>IF((inputPrYr!$B31&gt;"  "),(inputPrYr!$B31),"  ")</f>
        <v>Special Road and Bridge</v>
      </c>
      <c r="C36" s="165" t="str">
        <f>IF((inputPrYr!C31&gt;0),(inputPrYr!C31),"  ")</f>
        <v>  </v>
      </c>
      <c r="D36" s="158">
        <f>IF('levy page16'!C81&gt;0,'levy page16'!C81,"  ")</f>
        <v>16</v>
      </c>
      <c r="E36" s="259">
        <f>IF('levy page16'!$E$33&lt;&gt;0,'levy page16'!$E$33,"  ")</f>
        <v>290820</v>
      </c>
      <c r="F36" s="527">
        <f>IF('levy page16'!$E$40&lt;&gt;0,'levy page16'!$E$40,"  ")</f>
        <v>224287</v>
      </c>
      <c r="G36" s="166" t="str">
        <f>IF(AND('levy page16'!E40=0,$G$60&gt;=0)," ",IF(AND(F36&gt;0,$G$60=0)," ",IF(AND(F36&gt;0,$G$60&gt;0),ROUND(F36/$G$60*1000,3))))</f>
        <v> </v>
      </c>
    </row>
    <row r="37" spans="2:7" ht="15.75">
      <c r="B37" s="110" t="str">
        <f>IF((inputPrYr!$B32&gt;"  "),(inputPrYr!$B32),"  ")</f>
        <v>Employee Benefit</v>
      </c>
      <c r="C37" s="165" t="str">
        <f>IF((inputPrYr!C32&gt;0),(inputPrYr!C32),"  ")</f>
        <v>  </v>
      </c>
      <c r="D37" s="158">
        <f>IF('levy page16'!C81&gt;0,'levy page16'!C81,"  ")</f>
        <v>16</v>
      </c>
      <c r="E37" s="259">
        <f>IF('levy page16'!$E$73&lt;&gt;0,'levy page16'!$E$73,"  ")</f>
        <v>2900000</v>
      </c>
      <c r="F37" s="527">
        <f>IF('levy page16'!$E$80&lt;&gt;0,'levy page16'!$E$80,"  ")</f>
        <v>1427545</v>
      </c>
      <c r="G37" s="166" t="str">
        <f>IF(AND('levy page16'!E80=0,$G$60&gt;=0)," ",IF(AND(F37&gt;0,$G$60=0)," ",IF(AND(F37&gt;0,$G$60&gt;0),ROUND(F37/$G$60*1000,3))))</f>
        <v> </v>
      </c>
    </row>
    <row r="38" spans="2:7" ht="15.75">
      <c r="B38" s="110" t="str">
        <f>IF((inputPrYr!$B33&gt;"  "),(inputPrYr!$B33),"  ")</f>
        <v>Historical Society</v>
      </c>
      <c r="C38" s="165" t="str">
        <f>IF((inputPrYr!C33&gt;0),(inputPrYr!C33),"  ")</f>
        <v>  </v>
      </c>
      <c r="D38" s="158">
        <f>IF('levy page17'!C81&gt;0,'levy page17'!C81,"  ")</f>
        <v>17</v>
      </c>
      <c r="E38" s="259">
        <f>IF('levy page17'!$E$33&lt;&gt;0,'levy page17'!$E$33,"  ")</f>
        <v>60205</v>
      </c>
      <c r="F38" s="527">
        <f>IF('levy page17'!$E$40&lt;&gt;0,'levy page17'!$E$40,"  ")</f>
        <v>56072</v>
      </c>
      <c r="G38" s="166" t="str">
        <f>IF(AND('levy page17'!E40=0,$G$60&gt;=0)," ",IF(AND(F38&gt;0,$G$60=0)," ",IF(AND(F38&gt;0,$G$60&gt;0),ROUND(F38/$G$60*1000,3))))</f>
        <v> </v>
      </c>
    </row>
    <row r="39" spans="2:7" ht="15.75">
      <c r="B39" s="110" t="str">
        <f>IF((inputPrYr!$B34&gt;"  "),(inputPrYr!$B34),"  ")</f>
        <v>Hospital Board</v>
      </c>
      <c r="C39" s="165" t="str">
        <f>IF((inputPrYr!C34&gt;0),(inputPrYr!C34),"  ")</f>
        <v>  </v>
      </c>
      <c r="D39" s="158">
        <f>IF('levy page17'!C81&gt;0,'levy page17'!C81,"  ")</f>
        <v>17</v>
      </c>
      <c r="E39" s="259">
        <f>IF('levy page17'!$E$73&lt;&gt;0,'levy page17'!$E$73,"  ")</f>
        <v>710422</v>
      </c>
      <c r="F39" s="527">
        <f>IF('levy page17'!$E$80&lt;&gt;0,'levy page17'!$E$80,"  ")</f>
        <v>661647</v>
      </c>
      <c r="G39" s="166" t="str">
        <f>IF(AND('levy page17'!E80=0,$G$60&gt;=0)," ",IF(AND(F39&gt;0,$G$60=0)," ",IF(AND(F39&gt;0,$G$60&gt;0),ROUND(F39/$G$60*1000,3))))</f>
        <v> </v>
      </c>
    </row>
    <row r="40" spans="2:7" ht="15.75">
      <c r="B40" s="110" t="str">
        <f>IF((inputPrYr!$B35&gt;"  "),(inputPrYr!$B35),"  ")</f>
        <v>Economic Development</v>
      </c>
      <c r="C40" s="165" t="str">
        <f>IF((inputPrYr!C35&gt;0),(inputPrYr!C35),"  ")</f>
        <v>  </v>
      </c>
      <c r="D40" s="158">
        <f>IF('levy page18'!C81&gt;0,'levy page18'!C81,"  ")</f>
        <v>18</v>
      </c>
      <c r="E40" s="259">
        <f>IF('levy page18'!$E$33&lt;&gt;0,'levy page18'!$E$33,"  ")</f>
        <v>100000</v>
      </c>
      <c r="F40" s="527" t="str">
        <f>IF('levy page18'!$E$40&lt;&gt;0,'levy page18'!$E$40,"  ")</f>
        <v>  </v>
      </c>
      <c r="G40" s="166" t="str">
        <f>IF(AND('levy page18'!E40=0,$G$60&gt;=0)," ",IF(AND(F40&gt;0,$G$60=0)," ",IF(AND(F40&gt;0,$G$60&gt;0),ROUND(F40/$G$60*1000,3))))</f>
        <v> </v>
      </c>
    </row>
    <row r="41" spans="2:7" ht="15.75">
      <c r="B41" s="110" t="str">
        <f>IF((inputPrYr!$B36&gt;"  "),(inputPrYr!$B36),"  ")</f>
        <v>  </v>
      </c>
      <c r="C41" s="165" t="str">
        <f>IF((inputPrYr!C36&gt;0),(inputPrYr!C36),"  ")</f>
        <v>  </v>
      </c>
      <c r="D41" s="158">
        <f>IF('levy page18'!C81&gt;0,'levy page18'!C81,"  ")</f>
        <v>18</v>
      </c>
      <c r="E41" s="259" t="str">
        <f>IF('levy page18'!$E$73&lt;&gt;0,'levy page18'!$E$73,"  ")</f>
        <v>  </v>
      </c>
      <c r="F41" s="527" t="str">
        <f>IF('levy page18'!$E$80&lt;&gt;0,'levy page18'!$E$80,"  ")</f>
        <v>  </v>
      </c>
      <c r="G41" s="166" t="str">
        <f>IF(AND('levy page18'!E80=0,$G$60&gt;=0)," ",IF(AND(F41&gt;0,$G$60=0)," ",IF(AND(F41&gt;0,$G$60&gt;0),ROUND(F41/$G$60*1000,3))))</f>
        <v> </v>
      </c>
    </row>
    <row r="42" spans="2:7" ht="15.75">
      <c r="B42" s="110" t="str">
        <f>IF((inputPrYr!$B37&gt;"  "),(inputPrYr!$B37),"  ")</f>
        <v>  </v>
      </c>
      <c r="C42" s="165" t="str">
        <f>IF((inputPrYr!C37&gt;0),(inputPrYr!C37),"  ")</f>
        <v>  </v>
      </c>
      <c r="D42" s="158" t="str">
        <f>IF('levy page19'!C81&gt;0,'levy page19'!C81,"  ")</f>
        <v>  </v>
      </c>
      <c r="E42" s="259" t="str">
        <f>IF('levy page19'!$E$33&lt;&gt;0,'levy page19'!$E$33,"  ")</f>
        <v>  </v>
      </c>
      <c r="F42" s="527" t="str">
        <f>IF('levy page19'!$E$40&lt;&gt;0,'levy page19'!$E$40,"  ")</f>
        <v>  </v>
      </c>
      <c r="G42" s="166" t="str">
        <f>IF(AND('levy page19'!E40=0,$G$60&gt;=0)," ",IF(AND(F42&gt;0,$G$60=0)," ",IF(AND(F42&gt;0,$G$60&gt;0),ROUND(F42/$G$60*1000,3))))</f>
        <v> </v>
      </c>
    </row>
    <row r="43" spans="2:7" ht="15.75">
      <c r="B43" s="110" t="str">
        <f>IF((inputPrYr!$B38&gt;"  "),(inputPrYr!$B38),"  ")</f>
        <v>  </v>
      </c>
      <c r="C43" s="165" t="str">
        <f>IF((inputPrYr!C38&gt;0),(inputPrYr!C38),"  ")</f>
        <v>  </v>
      </c>
      <c r="D43" s="158" t="str">
        <f>IF('levy page19'!C81&gt;0,'levy page19'!C81,"  ")</f>
        <v>  </v>
      </c>
      <c r="E43" s="259" t="str">
        <f>IF('levy page19'!$E$73&lt;&gt;0,'levy page19'!$E$73,"  ")</f>
        <v>  </v>
      </c>
      <c r="F43" s="527" t="str">
        <f>IF('levy page19'!$E$80&lt;&gt;0,'levy page19'!$E$80,"  ")</f>
        <v>  </v>
      </c>
      <c r="G43" s="166" t="str">
        <f>IF(AND('levy page19'!E80=0,$G$60&gt;=0)," ",IF(AND(F43&gt;0,$G$60=0)," ",IF(AND(F43&gt;0,$G$60&gt;0),ROUND(F43/$G$60*1000,3))))</f>
        <v> </v>
      </c>
    </row>
    <row r="44" spans="2:7" ht="15.75">
      <c r="B44" s="110" t="str">
        <f>IF((inputPrYr!$B39&gt;"  "),(inputPrYr!$B39),"  ")</f>
        <v>  </v>
      </c>
      <c r="C44" s="165" t="str">
        <f>IF((inputPrYr!C39&gt;0),(inputPrYr!C39),"  ")</f>
        <v>  </v>
      </c>
      <c r="D44" s="158" t="str">
        <f>IF('levy page20'!C81&gt;0,'levy page20'!C81,"  ")</f>
        <v>  </v>
      </c>
      <c r="E44" s="259" t="str">
        <f>IF('levy page20'!$E$33&lt;&gt;0,'levy page20'!$E$33,"  ")</f>
        <v>  </v>
      </c>
      <c r="F44" s="527" t="str">
        <f>IF('levy page20'!$E$40&lt;&gt;0,'levy page20'!$E$40,"  ")</f>
        <v>  </v>
      </c>
      <c r="G44" s="166" t="str">
        <f>IF(AND('levy page20'!E40=0,$G$60&gt;=0)," ",IF(AND(F44&gt;0,$G$60=0)," ",IF(AND(F44&gt;0,$G$60&gt;0),ROUND(F44/$G$60*1000,3))))</f>
        <v> </v>
      </c>
    </row>
    <row r="45" spans="2:7" ht="15.75">
      <c r="B45" s="110" t="str">
        <f>IF((inputPrYr!$B40&gt;"  "),(inputPrYr!$B40),"  ")</f>
        <v>  </v>
      </c>
      <c r="C45" s="165" t="str">
        <f>IF((inputPrYr!C40&gt;0),(inputPrYr!C40),"  ")</f>
        <v>  </v>
      </c>
      <c r="D45" s="158" t="str">
        <f>IF('levy page20'!C81&gt;0,'levy page20'!C81,"  ")</f>
        <v>  </v>
      </c>
      <c r="E45" s="259" t="str">
        <f>IF('levy page20'!$E$73&lt;&gt;0,'levy page20'!$E$73,"  ")</f>
        <v>  </v>
      </c>
      <c r="F45" s="527" t="str">
        <f>IF('levy page20'!$E$80&lt;&gt;0,'levy page20'!$E$80,"  ")</f>
        <v>  </v>
      </c>
      <c r="G45" s="166" t="str">
        <f>IF(AND('levy page20'!E80=0,$G$60&gt;=0)," ",IF(AND(F45&gt;0,$G$60=0)," ",IF(AND(F45&gt;0,$G$60&gt;0),ROUND(F45/$G$60*1000,3))))</f>
        <v> </v>
      </c>
    </row>
    <row r="46" spans="2:7" ht="15.75">
      <c r="B46" s="167" t="str">
        <f>IF((inputPrYr!$B44&gt;"  "),(inputPrYr!$B44),"  ")</f>
        <v>Solid Waste</v>
      </c>
      <c r="C46" s="154"/>
      <c r="D46" s="168">
        <f>IF('no levy page21'!C65&gt;0,'no levy page21'!C65,"  ")</f>
        <v>19</v>
      </c>
      <c r="E46" s="259">
        <f>IF('no levy page21'!$E$28&lt;&gt;0,'no levy page21'!$E$28,"  ")</f>
        <v>633632</v>
      </c>
      <c r="F46" s="163"/>
      <c r="G46" s="166"/>
    </row>
    <row r="47" spans="2:7" ht="15.75">
      <c r="B47" s="169" t="str">
        <f>IF((inputPrYr!$B45&gt;"  "),(inputPrYr!$B45),"  ")</f>
        <v>Emergency Tele Service</v>
      </c>
      <c r="C47" s="154"/>
      <c r="D47" s="160">
        <f>IF('no levy page21'!C65&gt;0,'no levy page21'!C65,"  ")</f>
        <v>19</v>
      </c>
      <c r="E47" s="259">
        <f>IF('no levy page21'!$E$59&lt;&gt;0,'no levy page21'!$E$59,"  ")</f>
        <v>65000</v>
      </c>
      <c r="F47" s="163"/>
      <c r="G47" s="166"/>
    </row>
    <row r="48" spans="2:7" ht="15.75">
      <c r="B48" s="167" t="str">
        <f>IF((inputPrYr!$B46&gt;"  "),(inputPrYr!$B46),"  ")</f>
        <v>Special Alcohol</v>
      </c>
      <c r="C48" s="170"/>
      <c r="D48" s="160">
        <f>IF('no levy page22'!C65&gt;0,'no levy page22'!C65,"  ")</f>
        <v>20</v>
      </c>
      <c r="E48" s="259">
        <f>IF('no levy page22'!$E$28&lt;&gt;0,'no levy page22'!$E$28,"  ")</f>
        <v>61325</v>
      </c>
      <c r="F48" s="163"/>
      <c r="G48" s="166"/>
    </row>
    <row r="49" spans="2:7" ht="15.75">
      <c r="B49" s="167" t="str">
        <f>IF((inputPrYr!$B47&gt;"  "),(inputPrYr!$B47),"  ")</f>
        <v>Sheriff Drug Fund</v>
      </c>
      <c r="C49" s="157"/>
      <c r="D49" s="160">
        <f>IF('no levy page22'!C65&gt;0,'no levy page22'!C65,"  ")</f>
        <v>20</v>
      </c>
      <c r="E49" s="259">
        <f>IF('no levy page22'!$E$59&lt;&gt;0,'no levy page22'!$E$59,"  ")</f>
        <v>295581</v>
      </c>
      <c r="F49" s="163"/>
      <c r="G49" s="166"/>
    </row>
    <row r="50" spans="2:7" ht="15.75">
      <c r="B50" s="167" t="str">
        <f>IF((inputPrYr!$B48&gt;"  "),(inputPrYr!$B48),"  ")</f>
        <v>Parks and Recreation</v>
      </c>
      <c r="C50" s="157"/>
      <c r="D50" s="160">
        <f>IF('no levy page23'!C65&gt;0,'no levy page23'!C65,"  ")</f>
        <v>21</v>
      </c>
      <c r="E50" s="259">
        <f>IF('no levy page23'!$E$28&lt;&gt;0,'no levy page23'!$E$28,"  ")</f>
        <v>1543</v>
      </c>
      <c r="F50" s="163"/>
      <c r="G50" s="166"/>
    </row>
    <row r="51" spans="2:7" ht="15.75">
      <c r="B51" s="167" t="str">
        <f>IF((inputPrYr!$B49&gt;"  "),(inputPrYr!$B49),"  ")</f>
        <v>Tourism &amp; Convention</v>
      </c>
      <c r="C51" s="157"/>
      <c r="D51" s="160">
        <f>IF('no levy page23'!C65&gt;0,'no levy page23'!C65,"  ")</f>
        <v>21</v>
      </c>
      <c r="E51" s="259">
        <f>IF('no levy page23'!$E$59&lt;&gt;0,'no levy page23'!$E$59,"  ")</f>
        <v>120000</v>
      </c>
      <c r="F51" s="163"/>
      <c r="G51" s="166"/>
    </row>
    <row r="52" spans="2:7" ht="15.75">
      <c r="B52" s="167" t="str">
        <f>IF((inputPrYr!$B50&gt;"  "),(inputPrYr!$B50),"  ")</f>
        <v>E-911 Cell Phone Tax</v>
      </c>
      <c r="C52" s="157"/>
      <c r="D52" s="160">
        <f>IF('no levy page24'!C65&gt;0,'no levy page24'!C65,"  ")</f>
        <v>22</v>
      </c>
      <c r="E52" s="259">
        <f>IF('no levy page24'!$E$28&lt;&gt;0,'no levy page24'!$E$28,"  ")</f>
        <v>74174</v>
      </c>
      <c r="F52" s="163"/>
      <c r="G52" s="166"/>
    </row>
    <row r="53" spans="2:7" ht="15.75">
      <c r="B53" s="169" t="str">
        <f>IF((inputPrYr!$B51&gt;"  "),(inputPrYr!$B51),"  ")</f>
        <v>Sheriff Concealed Carry</v>
      </c>
      <c r="C53" s="157"/>
      <c r="D53" s="160">
        <f>IF('no levy page24'!C65&gt;0,'no levy page24'!C65,"  ")</f>
        <v>22</v>
      </c>
      <c r="E53" s="259">
        <f>IF('no levy page24'!$E$59&lt;&gt;0,'no levy page24'!$E$59,"  ")</f>
        <v>8120</v>
      </c>
      <c r="F53" s="163"/>
      <c r="G53" s="166"/>
    </row>
    <row r="54" spans="2:7" ht="15.75">
      <c r="B54" s="167" t="str">
        <f>IF((inputPrYr!$B52&gt;"  "),(inputPrYr!$B52),"  ")</f>
        <v>Sheriff Offender Reg</v>
      </c>
      <c r="C54" s="157"/>
      <c r="D54" s="168">
        <f>IF('no levy page25'!C65&gt;0,'no levy page25'!C65,"  ")</f>
        <v>23</v>
      </c>
      <c r="E54" s="259">
        <f>IF('no levy page25'!$E$28&lt;&gt;0,'no levy page25'!$E$28,"  ")</f>
        <v>4199</v>
      </c>
      <c r="F54" s="163"/>
      <c r="G54" s="166"/>
    </row>
    <row r="55" spans="2:7" ht="15.75">
      <c r="B55" s="167" t="str">
        <f>IF((inputPrYr!$B53&gt;"  "),(inputPrYr!$B53),"  ")</f>
        <v>Oil and Gas Trust Fund</v>
      </c>
      <c r="C55" s="157"/>
      <c r="D55" s="168">
        <f>IF('no levy page25'!C65&gt;0,'no levy page25'!C65,"  ")</f>
        <v>23</v>
      </c>
      <c r="E55" s="259">
        <f>IF('no levy page25'!$E$59&lt;&gt;0,'no levy page25'!$E$59,"  ")</f>
        <v>55928</v>
      </c>
      <c r="F55" s="163"/>
      <c r="G55" s="166"/>
    </row>
    <row r="56" spans="2:7" ht="15.75">
      <c r="B56" s="167" t="str">
        <f>IF((inputPrYr!$B57&gt;"  "),(NonBud!$A3),"  ")</f>
        <v>  </v>
      </c>
      <c r="C56" s="154"/>
      <c r="D56" s="168" t="str">
        <f>IF(NonBud!F33&gt;0,NonBud!F33,"  ")</f>
        <v>  </v>
      </c>
      <c r="E56" s="259"/>
      <c r="F56" s="163"/>
      <c r="G56" s="166"/>
    </row>
    <row r="57" spans="2:7" ht="16.5" thickBot="1">
      <c r="B57" s="171" t="s">
        <v>722</v>
      </c>
      <c r="C57" s="170"/>
      <c r="D57" s="172" t="s">
        <v>711</v>
      </c>
      <c r="E57" s="695">
        <f>SUM(E21:E56)</f>
        <v>17689482</v>
      </c>
      <c r="F57" s="695">
        <f>SUM(F21:F56)</f>
        <v>8288270</v>
      </c>
      <c r="G57" s="174">
        <f>IF(SUM(G21:G56)=0,"",SUM(G21:G56))</f>
      </c>
    </row>
    <row r="58" spans="2:7" ht="16.5" thickTop="1">
      <c r="B58" s="175" t="s">
        <v>952</v>
      </c>
      <c r="C58" s="154"/>
      <c r="D58" s="160">
        <f>summ!E68</f>
        <v>24</v>
      </c>
      <c r="E58" s="176"/>
      <c r="F58" s="176"/>
      <c r="G58" s="177"/>
    </row>
    <row r="59" spans="2:7" ht="15.75">
      <c r="B59" s="153" t="s">
        <v>981</v>
      </c>
      <c r="C59" s="154"/>
      <c r="D59" s="160">
        <f>IF(summ2!F42&gt;0,summ2!F42,"")</f>
      </c>
      <c r="E59" s="108"/>
      <c r="F59" s="67"/>
      <c r="G59" s="178" t="s">
        <v>886</v>
      </c>
    </row>
    <row r="60" spans="2:7" ht="15.75">
      <c r="B60" s="734" t="s">
        <v>972</v>
      </c>
      <c r="C60" s="735"/>
      <c r="D60" s="158">
        <f>IF(Nhood!C52&gt;0,Nhood!C52,"")</f>
      </c>
      <c r="E60" s="179" t="s">
        <v>956</v>
      </c>
      <c r="F60" s="180" t="str">
        <f>IF(F57&gt;computation!J35,"Yes","No")</f>
        <v>No</v>
      </c>
      <c r="G60" s="181"/>
    </row>
    <row r="61" spans="2:7" ht="15.75">
      <c r="B61" s="153" t="s">
        <v>955</v>
      </c>
      <c r="C61" s="182"/>
      <c r="D61" s="158">
        <f>IF(Resolution!E55&gt;0,Resolution!E55,"")</f>
      </c>
      <c r="E61" s="108"/>
      <c r="F61" s="69"/>
      <c r="G61" s="733" t="str">
        <f>CONCATENATE("November 1, ",G1-1," Total Assessed Valuation")</f>
        <v>November 1, 2012 Total Assessed Valuation</v>
      </c>
    </row>
    <row r="62" spans="2:7" ht="15.75">
      <c r="B62" s="73" t="s">
        <v>712</v>
      </c>
      <c r="C62" s="69"/>
      <c r="D62" s="73"/>
      <c r="E62" s="69"/>
      <c r="F62" s="67"/>
      <c r="G62" s="700"/>
    </row>
    <row r="63" spans="2:7" ht="15.75">
      <c r="B63" s="183" t="s">
        <v>184</v>
      </c>
      <c r="C63" s="69"/>
      <c r="D63" s="73"/>
      <c r="E63" s="69"/>
      <c r="F63" s="67"/>
      <c r="G63" s="69"/>
    </row>
    <row r="64" spans="2:7" ht="15.75">
      <c r="B64" s="73" t="s">
        <v>885</v>
      </c>
      <c r="C64" s="67"/>
      <c r="D64" s="69"/>
      <c r="E64" s="69"/>
      <c r="F64" s="444"/>
      <c r="G64" s="444"/>
    </row>
    <row r="65" spans="2:7" ht="15.75">
      <c r="B65" s="183" t="s">
        <v>185</v>
      </c>
      <c r="C65" s="107"/>
      <c r="D65" s="69" t="s">
        <v>191</v>
      </c>
      <c r="E65" s="69"/>
      <c r="F65" s="69"/>
      <c r="G65" s="69"/>
    </row>
    <row r="66" spans="2:7" ht="15.75">
      <c r="B66" s="184" t="s">
        <v>186</v>
      </c>
      <c r="C66" s="67"/>
      <c r="D66" s="69"/>
      <c r="E66" s="69"/>
      <c r="F66" s="610"/>
      <c r="G66" s="610"/>
    </row>
    <row r="67" spans="2:7" ht="15.75">
      <c r="B67" s="67" t="s">
        <v>190</v>
      </c>
      <c r="C67" s="185"/>
      <c r="D67" s="69" t="s">
        <v>191</v>
      </c>
      <c r="E67" s="69"/>
      <c r="F67" s="69"/>
      <c r="G67" s="69"/>
    </row>
    <row r="68" spans="2:7" ht="15.75">
      <c r="B68" s="184"/>
      <c r="C68" s="67"/>
      <c r="D68" s="69"/>
      <c r="E68" s="69"/>
      <c r="F68" s="610"/>
      <c r="G68" s="609"/>
    </row>
    <row r="69" spans="2:7" ht="15.75">
      <c r="B69" s="445" t="s">
        <v>953</v>
      </c>
      <c r="C69" s="186">
        <f>G1-1</f>
        <v>2012</v>
      </c>
      <c r="D69" s="69" t="s">
        <v>191</v>
      </c>
      <c r="E69" s="69"/>
      <c r="F69" s="69"/>
      <c r="G69" s="69"/>
    </row>
    <row r="70" spans="2:7" ht="15.75">
      <c r="B70" s="448"/>
      <c r="C70" s="67"/>
      <c r="D70" s="69"/>
      <c r="E70" s="69"/>
      <c r="F70" s="69"/>
      <c r="G70" s="69"/>
    </row>
    <row r="71" spans="2:7" ht="15.75">
      <c r="B71" s="446"/>
      <c r="C71" s="67"/>
      <c r="D71" s="69" t="s">
        <v>191</v>
      </c>
      <c r="E71" s="69"/>
      <c r="F71" s="69"/>
      <c r="G71" s="69"/>
    </row>
    <row r="72" spans="2:7" ht="15.75">
      <c r="B72" s="447" t="s">
        <v>714</v>
      </c>
      <c r="C72" s="67"/>
      <c r="D72" s="725" t="s">
        <v>713</v>
      </c>
      <c r="E72" s="736"/>
      <c r="F72" s="736"/>
      <c r="G72" s="736"/>
    </row>
    <row r="73" spans="2:7" ht="15.75">
      <c r="B73" s="730"/>
      <c r="C73" s="730"/>
      <c r="D73" s="730"/>
      <c r="E73" s="730"/>
      <c r="F73" s="730"/>
      <c r="G73" s="730"/>
    </row>
    <row r="74" spans="4:7" ht="15.75">
      <c r="D74" s="124"/>
      <c r="F74" s="124"/>
      <c r="G74" s="124"/>
    </row>
  </sheetData>
  <sheetProtection/>
  <mergeCells count="8">
    <mergeCell ref="B73:G73"/>
    <mergeCell ref="B2:G2"/>
    <mergeCell ref="F13:F14"/>
    <mergeCell ref="B6:G6"/>
    <mergeCell ref="B4:G4"/>
    <mergeCell ref="G61:G62"/>
    <mergeCell ref="B60:C60"/>
    <mergeCell ref="D72:G72"/>
  </mergeCells>
  <printOptions/>
  <pageMargins left="0.5" right="0.5" top="0.47" bottom="0.23" header="0.25" footer="0"/>
  <pageSetup blackAndWhite="1" fitToHeight="1" fitToWidth="1" horizontalDpi="120" verticalDpi="120" orientation="portrait" scale="65" r:id="rId1"/>
  <headerFooter alignWithMargins="0">
    <oddHeader>&amp;RState of Kansas
County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G9" sqref="G9"/>
    </sheetView>
  </sheetViews>
  <sheetFormatPr defaultColWidth="8.796875" defaultRowHeight="15"/>
  <cols>
    <col min="1" max="1" width="20.796875" style="52" customWidth="1"/>
    <col min="2" max="2" width="9.796875" style="52" customWidth="1"/>
    <col min="3" max="3" width="5.796875" style="52" customWidth="1"/>
    <col min="4" max="7" width="12.796875" style="52" customWidth="1"/>
    <col min="8" max="16384" width="8.8984375" style="52" customWidth="1"/>
  </cols>
  <sheetData>
    <row r="1" spans="1:7" ht="15.75">
      <c r="A1" s="188" t="str">
        <f>inputPrYr!C3</f>
        <v>Russell County</v>
      </c>
      <c r="B1" s="108"/>
      <c r="C1" s="108"/>
      <c r="D1" s="108"/>
      <c r="E1" s="108"/>
      <c r="F1" s="108"/>
      <c r="G1" s="108">
        <f>inputPrYr!C5</f>
        <v>2013</v>
      </c>
    </row>
    <row r="2" spans="1:7" ht="15.75">
      <c r="A2" s="728" t="s">
        <v>940</v>
      </c>
      <c r="B2" s="732"/>
      <c r="C2" s="732"/>
      <c r="D2" s="732"/>
      <c r="E2" s="732"/>
      <c r="F2" s="732"/>
      <c r="G2" s="732"/>
    </row>
    <row r="3" spans="1:7" ht="15.75">
      <c r="A3" s="144"/>
      <c r="B3" s="75"/>
      <c r="C3" s="75"/>
      <c r="D3" s="75"/>
      <c r="E3" s="75"/>
      <c r="F3" s="75"/>
      <c r="G3" s="75"/>
    </row>
    <row r="4" spans="1:7" ht="15.75">
      <c r="A4" s="144"/>
      <c r="B4" s="75"/>
      <c r="C4" s="75"/>
      <c r="D4" s="144"/>
      <c r="E4" s="144"/>
      <c r="F4" s="144"/>
      <c r="G4" s="144"/>
    </row>
    <row r="5" spans="1:7" ht="15.75">
      <c r="A5" s="67"/>
      <c r="B5" s="67"/>
      <c r="C5" s="67"/>
      <c r="D5" s="146" t="str">
        <f>CONCATENATE("",G1," Adopted Budget")</f>
        <v>2013 Adopted Budget</v>
      </c>
      <c r="E5" s="147"/>
      <c r="F5" s="147"/>
      <c r="G5" s="148"/>
    </row>
    <row r="6" spans="1:7" ht="21" customHeight="1">
      <c r="A6" s="67"/>
      <c r="B6" s="67"/>
      <c r="C6" s="149" t="s">
        <v>700</v>
      </c>
      <c r="D6" s="155" t="s">
        <v>60</v>
      </c>
      <c r="E6" s="729" t="str">
        <f>CONCATENATE("Amount of ",G1-1,"      Ad Valorem Tax")</f>
        <v>Amount of 2012      Ad Valorem Tax</v>
      </c>
      <c r="F6" s="150" t="s">
        <v>937</v>
      </c>
      <c r="G6" s="149" t="s">
        <v>701</v>
      </c>
    </row>
    <row r="7" spans="1:7" ht="15.75">
      <c r="A7" s="151" t="s">
        <v>938</v>
      </c>
      <c r="B7" s="96"/>
      <c r="C7" s="152" t="s">
        <v>703</v>
      </c>
      <c r="D7" s="152" t="s">
        <v>61</v>
      </c>
      <c r="E7" s="714"/>
      <c r="F7" s="189" t="s">
        <v>914</v>
      </c>
      <c r="G7" s="152" t="s">
        <v>705</v>
      </c>
    </row>
    <row r="8" spans="1:7" ht="15.75">
      <c r="A8" s="190" t="s">
        <v>939</v>
      </c>
      <c r="B8" s="191" t="s">
        <v>709</v>
      </c>
      <c r="C8" s="163"/>
      <c r="D8" s="163"/>
      <c r="E8" s="163"/>
      <c r="F8" s="163"/>
      <c r="G8" s="163"/>
    </row>
    <row r="9" spans="1:7" ht="15.75">
      <c r="A9" s="192"/>
      <c r="B9" s="193"/>
      <c r="C9" s="193"/>
      <c r="D9" s="193"/>
      <c r="E9" s="193"/>
      <c r="F9" s="193"/>
      <c r="G9" s="166" t="str">
        <f>IF(AND(D9=0,F9&gt;=0)," ",IF(AND(E9&gt;0,F9=0)," ",IF(AND(E9&gt;0,F9&gt;0),ROUND(E9/F9*1000,3))))</f>
        <v> </v>
      </c>
    </row>
    <row r="10" spans="1:7" ht="15.75">
      <c r="A10" s="129"/>
      <c r="B10" s="193"/>
      <c r="C10" s="193"/>
      <c r="D10" s="193"/>
      <c r="E10" s="193"/>
      <c r="F10" s="193"/>
      <c r="G10" s="166" t="str">
        <f aca="true" t="shared" si="0" ref="G10:G37">IF(AND(D10=0,F10&gt;=0)," ",IF(AND(E10&gt;0,F10=0)," ",IF(AND(E10&gt;0,F10&gt;0),ROUND(E10/F10*1000,3))))</f>
        <v> </v>
      </c>
    </row>
    <row r="11" spans="1:7" ht="15.75">
      <c r="A11" s="129"/>
      <c r="B11" s="193"/>
      <c r="C11" s="193"/>
      <c r="D11" s="193"/>
      <c r="E11" s="193"/>
      <c r="F11" s="193"/>
      <c r="G11" s="166" t="str">
        <f t="shared" si="0"/>
        <v> </v>
      </c>
    </row>
    <row r="12" spans="1:7" ht="15.75">
      <c r="A12" s="129"/>
      <c r="B12" s="193"/>
      <c r="C12" s="193"/>
      <c r="D12" s="193"/>
      <c r="E12" s="193"/>
      <c r="F12" s="193"/>
      <c r="G12" s="166" t="str">
        <f t="shared" si="0"/>
        <v> </v>
      </c>
    </row>
    <row r="13" spans="1:7" ht="15.75">
      <c r="A13" s="129"/>
      <c r="B13" s="193"/>
      <c r="C13" s="193"/>
      <c r="D13" s="193"/>
      <c r="E13" s="193"/>
      <c r="F13" s="193"/>
      <c r="G13" s="166" t="str">
        <f t="shared" si="0"/>
        <v> </v>
      </c>
    </row>
    <row r="14" spans="1:7" ht="15.75">
      <c r="A14" s="129"/>
      <c r="B14" s="193"/>
      <c r="C14" s="193"/>
      <c r="D14" s="193"/>
      <c r="E14" s="193"/>
      <c r="F14" s="193"/>
      <c r="G14" s="166" t="str">
        <f t="shared" si="0"/>
        <v> </v>
      </c>
    </row>
    <row r="15" spans="1:7" ht="15.75">
      <c r="A15" s="129"/>
      <c r="B15" s="193"/>
      <c r="C15" s="193"/>
      <c r="D15" s="193"/>
      <c r="E15" s="193"/>
      <c r="F15" s="193"/>
      <c r="G15" s="166" t="str">
        <f t="shared" si="0"/>
        <v> </v>
      </c>
    </row>
    <row r="16" spans="1:7" ht="15.75">
      <c r="A16" s="129"/>
      <c r="B16" s="193"/>
      <c r="C16" s="193"/>
      <c r="D16" s="193"/>
      <c r="E16" s="193"/>
      <c r="F16" s="193"/>
      <c r="G16" s="166" t="str">
        <f t="shared" si="0"/>
        <v> </v>
      </c>
    </row>
    <row r="17" spans="1:7" ht="15.75">
      <c r="A17" s="129"/>
      <c r="B17" s="193"/>
      <c r="C17" s="193"/>
      <c r="D17" s="193"/>
      <c r="E17" s="193"/>
      <c r="F17" s="193"/>
      <c r="G17" s="166" t="str">
        <f t="shared" si="0"/>
        <v> </v>
      </c>
    </row>
    <row r="18" spans="1:7" ht="15.75">
      <c r="A18" s="129"/>
      <c r="B18" s="193"/>
      <c r="C18" s="193"/>
      <c r="D18" s="193"/>
      <c r="E18" s="193"/>
      <c r="F18" s="193"/>
      <c r="G18" s="166" t="str">
        <f t="shared" si="0"/>
        <v> </v>
      </c>
    </row>
    <row r="19" spans="1:7" ht="15.75">
      <c r="A19" s="129"/>
      <c r="B19" s="193"/>
      <c r="C19" s="193"/>
      <c r="D19" s="193"/>
      <c r="E19" s="193"/>
      <c r="F19" s="193"/>
      <c r="G19" s="166" t="str">
        <f t="shared" si="0"/>
        <v> </v>
      </c>
    </row>
    <row r="20" spans="1:7" ht="15.75">
      <c r="A20" s="129"/>
      <c r="B20" s="193"/>
      <c r="C20" s="193"/>
      <c r="D20" s="193"/>
      <c r="E20" s="193"/>
      <c r="F20" s="193"/>
      <c r="G20" s="166" t="str">
        <f t="shared" si="0"/>
        <v> </v>
      </c>
    </row>
    <row r="21" spans="1:7" ht="15.75">
      <c r="A21" s="129"/>
      <c r="B21" s="193"/>
      <c r="C21" s="193"/>
      <c r="D21" s="193"/>
      <c r="E21" s="193"/>
      <c r="F21" s="193"/>
      <c r="G21" s="166" t="str">
        <f t="shared" si="0"/>
        <v> </v>
      </c>
    </row>
    <row r="22" spans="1:7" ht="15.75">
      <c r="A22" s="129"/>
      <c r="B22" s="193"/>
      <c r="C22" s="193"/>
      <c r="D22" s="193"/>
      <c r="E22" s="193"/>
      <c r="F22" s="193"/>
      <c r="G22" s="166" t="str">
        <f t="shared" si="0"/>
        <v> </v>
      </c>
    </row>
    <row r="23" spans="1:7" ht="15.75">
      <c r="A23" s="129"/>
      <c r="B23" s="193"/>
      <c r="C23" s="193"/>
      <c r="D23" s="193"/>
      <c r="E23" s="193"/>
      <c r="F23" s="193"/>
      <c r="G23" s="166" t="str">
        <f t="shared" si="0"/>
        <v> </v>
      </c>
    </row>
    <row r="24" spans="1:7" ht="15.75">
      <c r="A24" s="129"/>
      <c r="B24" s="193"/>
      <c r="C24" s="193"/>
      <c r="D24" s="193"/>
      <c r="E24" s="193"/>
      <c r="F24" s="193"/>
      <c r="G24" s="166" t="str">
        <f t="shared" si="0"/>
        <v> </v>
      </c>
    </row>
    <row r="25" spans="1:7" ht="15.75">
      <c r="A25" s="129"/>
      <c r="B25" s="193"/>
      <c r="C25" s="193"/>
      <c r="D25" s="193"/>
      <c r="E25" s="193"/>
      <c r="F25" s="193"/>
      <c r="G25" s="166" t="str">
        <f t="shared" si="0"/>
        <v> </v>
      </c>
    </row>
    <row r="26" spans="1:7" ht="15.75">
      <c r="A26" s="129"/>
      <c r="B26" s="193"/>
      <c r="C26" s="193"/>
      <c r="D26" s="193"/>
      <c r="E26" s="193"/>
      <c r="F26" s="193"/>
      <c r="G26" s="166" t="str">
        <f t="shared" si="0"/>
        <v> </v>
      </c>
    </row>
    <row r="27" spans="1:7" ht="15.75">
      <c r="A27" s="129"/>
      <c r="B27" s="193"/>
      <c r="C27" s="193"/>
      <c r="D27" s="193"/>
      <c r="E27" s="193"/>
      <c r="F27" s="193"/>
      <c r="G27" s="166" t="str">
        <f t="shared" si="0"/>
        <v> </v>
      </c>
    </row>
    <row r="28" spans="1:7" ht="15.75">
      <c r="A28" s="129"/>
      <c r="B28" s="194"/>
      <c r="C28" s="193"/>
      <c r="D28" s="193"/>
      <c r="E28" s="194"/>
      <c r="F28" s="194"/>
      <c r="G28" s="166" t="str">
        <f t="shared" si="0"/>
        <v> </v>
      </c>
    </row>
    <row r="29" spans="1:7" ht="15.75">
      <c r="A29" s="129"/>
      <c r="B29" s="194"/>
      <c r="C29" s="193"/>
      <c r="D29" s="193"/>
      <c r="E29" s="194"/>
      <c r="F29" s="194"/>
      <c r="G29" s="166" t="str">
        <f t="shared" si="0"/>
        <v> </v>
      </c>
    </row>
    <row r="30" spans="1:7" ht="15.75">
      <c r="A30" s="129"/>
      <c r="B30" s="194"/>
      <c r="C30" s="193"/>
      <c r="D30" s="193"/>
      <c r="E30" s="194"/>
      <c r="F30" s="194"/>
      <c r="G30" s="166" t="str">
        <f t="shared" si="0"/>
        <v> </v>
      </c>
    </row>
    <row r="31" spans="1:7" ht="15.75">
      <c r="A31" s="129"/>
      <c r="B31" s="194"/>
      <c r="C31" s="193"/>
      <c r="D31" s="193"/>
      <c r="E31" s="194"/>
      <c r="F31" s="194"/>
      <c r="G31" s="166" t="str">
        <f t="shared" si="0"/>
        <v> </v>
      </c>
    </row>
    <row r="32" spans="1:7" ht="15.75">
      <c r="A32" s="129"/>
      <c r="B32" s="194"/>
      <c r="C32" s="193"/>
      <c r="D32" s="193"/>
      <c r="E32" s="194"/>
      <c r="F32" s="194"/>
      <c r="G32" s="166" t="str">
        <f t="shared" si="0"/>
        <v> </v>
      </c>
    </row>
    <row r="33" spans="1:7" ht="15.75">
      <c r="A33" s="129"/>
      <c r="B33" s="194"/>
      <c r="C33" s="193"/>
      <c r="D33" s="193"/>
      <c r="E33" s="194"/>
      <c r="F33" s="194"/>
      <c r="G33" s="166" t="str">
        <f t="shared" si="0"/>
        <v> </v>
      </c>
    </row>
    <row r="34" spans="1:7" ht="15.75">
      <c r="A34" s="129"/>
      <c r="B34" s="194"/>
      <c r="C34" s="193"/>
      <c r="D34" s="193"/>
      <c r="E34" s="194"/>
      <c r="F34" s="194"/>
      <c r="G34" s="166" t="str">
        <f t="shared" si="0"/>
        <v> </v>
      </c>
    </row>
    <row r="35" spans="1:7" ht="15.75">
      <c r="A35" s="129"/>
      <c r="B35" s="194"/>
      <c r="C35" s="193"/>
      <c r="D35" s="193"/>
      <c r="E35" s="194"/>
      <c r="F35" s="194"/>
      <c r="G35" s="166" t="str">
        <f t="shared" si="0"/>
        <v> </v>
      </c>
    </row>
    <row r="36" spans="1:7" ht="15.75">
      <c r="A36" s="129"/>
      <c r="B36" s="194"/>
      <c r="C36" s="193"/>
      <c r="D36" s="193"/>
      <c r="E36" s="194"/>
      <c r="F36" s="194"/>
      <c r="G36" s="166" t="str">
        <f t="shared" si="0"/>
        <v> </v>
      </c>
    </row>
    <row r="37" spans="1:7" ht="15.75">
      <c r="A37" s="129"/>
      <c r="B37" s="194"/>
      <c r="C37" s="193"/>
      <c r="D37" s="193"/>
      <c r="E37" s="194"/>
      <c r="F37" s="194"/>
      <c r="G37" s="166" t="str">
        <f t="shared" si="0"/>
        <v> </v>
      </c>
    </row>
    <row r="38" spans="1:7" ht="16.5" thickBot="1">
      <c r="A38" s="153" t="s">
        <v>710</v>
      </c>
      <c r="B38" s="154"/>
      <c r="C38" s="195" t="s">
        <v>711</v>
      </c>
      <c r="D38" s="173">
        <f>SUM(D9:D37)</f>
        <v>0</v>
      </c>
      <c r="E38" s="173">
        <f>SUM(E9:E37)</f>
        <v>0</v>
      </c>
      <c r="F38" s="196"/>
      <c r="G38" s="174">
        <f>SUM(G9:G37)</f>
        <v>0</v>
      </c>
    </row>
    <row r="39" spans="1:7" ht="16.5" thickTop="1">
      <c r="A39" s="73"/>
      <c r="B39" s="69"/>
      <c r="C39" s="444"/>
      <c r="D39" s="67"/>
      <c r="E39" s="67"/>
      <c r="F39" s="176"/>
      <c r="G39" s="67"/>
    </row>
    <row r="40" spans="1:7" ht="15.75">
      <c r="A40" s="73"/>
      <c r="B40" s="69"/>
      <c r="C40" s="176"/>
      <c r="D40" s="67"/>
      <c r="E40" s="67"/>
      <c r="F40" s="67"/>
      <c r="G40" s="67"/>
    </row>
    <row r="41" spans="1:7" ht="15.75">
      <c r="A41" s="73"/>
      <c r="B41" s="67"/>
      <c r="C41" s="67"/>
      <c r="D41" s="67"/>
      <c r="E41" s="67"/>
      <c r="F41" s="67"/>
      <c r="G41" s="67"/>
    </row>
    <row r="42" spans="1:7" ht="15.75">
      <c r="A42" s="197"/>
      <c r="B42" s="124"/>
      <c r="C42" s="124"/>
      <c r="D42" s="124"/>
      <c r="E42" s="124"/>
      <c r="F42" s="124"/>
      <c r="G42" s="124"/>
    </row>
    <row r="43" spans="1:7" ht="15.75">
      <c r="A43" s="198"/>
      <c r="B43" s="198"/>
      <c r="C43" s="198"/>
      <c r="D43" s="198"/>
      <c r="E43" s="198"/>
      <c r="F43" s="198"/>
      <c r="G43" s="198"/>
    </row>
    <row r="44" spans="1:7" ht="15.75">
      <c r="A44" s="124"/>
      <c r="B44" s="124"/>
      <c r="C44" s="124"/>
      <c r="D44" s="124"/>
      <c r="E44" s="124"/>
      <c r="F44" s="124"/>
      <c r="G44" s="199"/>
    </row>
    <row r="54" spans="1:7" ht="15.75">
      <c r="A54" s="124"/>
      <c r="B54" s="124"/>
      <c r="C54" s="124"/>
      <c r="D54" s="124"/>
      <c r="E54" s="124"/>
      <c r="F54" s="124"/>
      <c r="G54" s="124"/>
    </row>
    <row r="58" spans="1:7" ht="15.75">
      <c r="A58" s="124"/>
      <c r="B58" s="124"/>
      <c r="C58" s="124"/>
      <c r="D58" s="197"/>
      <c r="E58" s="124"/>
      <c r="F58" s="124"/>
      <c r="G58" s="124"/>
    </row>
  </sheetData>
  <sheetProtection sheet="1"/>
  <mergeCells count="2">
    <mergeCell ref="E6:E7"/>
    <mergeCell ref="A2:G2"/>
  </mergeCells>
  <printOptions/>
  <pageMargins left="0.5" right="0.5" top="0.72" bottom="0.23" header="0.25" footer="0"/>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B1">
      <selection activeCell="J1" sqref="J1"/>
    </sheetView>
  </sheetViews>
  <sheetFormatPr defaultColWidth="8.796875" defaultRowHeight="15.75" customHeight="1"/>
  <cols>
    <col min="1" max="2" width="3.296875" style="52" customWidth="1"/>
    <col min="3" max="3" width="31.296875" style="52" customWidth="1"/>
    <col min="4" max="4" width="2.296875" style="52" customWidth="1"/>
    <col min="5" max="5" width="15.796875" style="52" customWidth="1"/>
    <col min="6" max="6" width="2" style="52" customWidth="1"/>
    <col min="7" max="7" width="15.796875" style="52" customWidth="1"/>
    <col min="8" max="8" width="1.8984375" style="52" customWidth="1"/>
    <col min="9" max="9" width="1.796875" style="52" customWidth="1"/>
    <col min="10" max="10" width="15.796875" style="52" customWidth="1"/>
    <col min="11" max="16384" width="8.8984375" style="52" customWidth="1"/>
  </cols>
  <sheetData>
    <row r="1" spans="1:10" ht="15.75" customHeight="1">
      <c r="A1" s="67"/>
      <c r="B1" s="67"/>
      <c r="C1" s="200" t="str">
        <f>inputPrYr!C3</f>
        <v>Russell County</v>
      </c>
      <c r="D1" s="67"/>
      <c r="E1" s="67"/>
      <c r="F1" s="67"/>
      <c r="G1" s="67"/>
      <c r="H1" s="67"/>
      <c r="I1" s="67"/>
      <c r="J1" s="67">
        <f>inputPrYr!C5</f>
        <v>2013</v>
      </c>
    </row>
    <row r="2" spans="1:10" ht="15.75" customHeight="1">
      <c r="A2" s="67"/>
      <c r="B2" s="67"/>
      <c r="C2" s="67"/>
      <c r="D2" s="67"/>
      <c r="E2" s="67"/>
      <c r="F2" s="67"/>
      <c r="G2" s="67"/>
      <c r="H2" s="67"/>
      <c r="I2" s="67"/>
      <c r="J2" s="67"/>
    </row>
    <row r="3" spans="1:10" ht="15.75">
      <c r="A3" s="728" t="str">
        <f>CONCATENATE("Computation to Determine Limit for ",J1,"")</f>
        <v>Computation to Determine Limit for 2013</v>
      </c>
      <c r="B3" s="738"/>
      <c r="C3" s="738"/>
      <c r="D3" s="738"/>
      <c r="E3" s="738"/>
      <c r="F3" s="738"/>
      <c r="G3" s="738"/>
      <c r="H3" s="738"/>
      <c r="I3" s="738"/>
      <c r="J3" s="738"/>
    </row>
    <row r="4" spans="1:10" ht="15.75">
      <c r="A4" s="67"/>
      <c r="B4" s="67"/>
      <c r="C4" s="67"/>
      <c r="D4" s="67"/>
      <c r="E4" s="738"/>
      <c r="F4" s="738"/>
      <c r="G4" s="738"/>
      <c r="H4" s="201"/>
      <c r="I4" s="67"/>
      <c r="J4" s="202" t="s">
        <v>816</v>
      </c>
    </row>
    <row r="5" spans="1:10" ht="15.75">
      <c r="A5" s="203" t="s">
        <v>817</v>
      </c>
      <c r="B5" s="67" t="str">
        <f>CONCATENATE("Total Tax Levy Amount in ",J1-1," Budget")</f>
        <v>Total Tax Levy Amount in 2012 Budget</v>
      </c>
      <c r="C5" s="67"/>
      <c r="D5" s="67"/>
      <c r="E5" s="127"/>
      <c r="F5" s="127"/>
      <c r="G5" s="127"/>
      <c r="H5" s="204" t="s">
        <v>818</v>
      </c>
      <c r="I5" s="127" t="s">
        <v>819</v>
      </c>
      <c r="J5" s="205">
        <f>inputPrYr!E41</f>
        <v>8342704</v>
      </c>
    </row>
    <row r="6" spans="1:10" ht="15.75">
      <c r="A6" s="203" t="s">
        <v>820</v>
      </c>
      <c r="B6" s="67" t="str">
        <f>CONCATENATE("Debt Service Levy in ",J1-1," Budget")</f>
        <v>Debt Service Levy in 2012 Budget</v>
      </c>
      <c r="C6" s="67"/>
      <c r="D6" s="67"/>
      <c r="E6" s="127"/>
      <c r="F6" s="127"/>
      <c r="G6" s="127"/>
      <c r="H6" s="206" t="s">
        <v>821</v>
      </c>
      <c r="I6" s="207" t="s">
        <v>819</v>
      </c>
      <c r="J6" s="208">
        <f>inputPrYr!E17</f>
        <v>0</v>
      </c>
    </row>
    <row r="7" spans="1:10" ht="15.75">
      <c r="A7" s="203" t="s">
        <v>822</v>
      </c>
      <c r="B7" s="209" t="s">
        <v>841</v>
      </c>
      <c r="C7" s="67"/>
      <c r="D7" s="67"/>
      <c r="E7" s="127"/>
      <c r="F7" s="127"/>
      <c r="G7" s="127"/>
      <c r="H7" s="207"/>
      <c r="I7" s="207" t="s">
        <v>819</v>
      </c>
      <c r="J7" s="210">
        <f>J5-J6</f>
        <v>8342704</v>
      </c>
    </row>
    <row r="8" spans="1:10" ht="15.75">
      <c r="A8" s="67"/>
      <c r="B8" s="67"/>
      <c r="C8" s="67"/>
      <c r="D8" s="67"/>
      <c r="E8" s="127"/>
      <c r="F8" s="127"/>
      <c r="G8" s="127"/>
      <c r="H8" s="207"/>
      <c r="I8" s="207"/>
      <c r="J8" s="207"/>
    </row>
    <row r="9" spans="1:10" ht="15.75">
      <c r="A9" s="67"/>
      <c r="B9" s="209" t="str">
        <f>CONCATENATE("",J1-1," Valuation Information for Valuation Adjustments:")</f>
        <v>2012 Valuation Information for Valuation Adjustments:</v>
      </c>
      <c r="C9" s="67"/>
      <c r="D9" s="67"/>
      <c r="E9" s="127"/>
      <c r="F9" s="127"/>
      <c r="G9" s="127"/>
      <c r="H9" s="207"/>
      <c r="I9" s="207"/>
      <c r="J9" s="207"/>
    </row>
    <row r="10" spans="1:10" ht="15.75">
      <c r="A10" s="67"/>
      <c r="B10" s="67"/>
      <c r="C10" s="209"/>
      <c r="D10" s="67"/>
      <c r="E10" s="127"/>
      <c r="F10" s="127"/>
      <c r="G10" s="127"/>
      <c r="H10" s="207"/>
      <c r="I10" s="207"/>
      <c r="J10" s="207"/>
    </row>
    <row r="11" spans="1:10" ht="15.75">
      <c r="A11" s="203" t="s">
        <v>823</v>
      </c>
      <c r="B11" s="209" t="str">
        <f>CONCATENATE("New Improvements for ",J1-1,":")</f>
        <v>New Improvements for 2012:</v>
      </c>
      <c r="C11" s="67"/>
      <c r="D11" s="67"/>
      <c r="E11" s="204"/>
      <c r="F11" s="204" t="s">
        <v>818</v>
      </c>
      <c r="G11" s="205">
        <f>inputOth!E6</f>
        <v>739240</v>
      </c>
      <c r="H11" s="211"/>
      <c r="I11" s="207"/>
      <c r="J11" s="207"/>
    </row>
    <row r="12" spans="1:10" ht="15.75">
      <c r="A12" s="203"/>
      <c r="B12" s="203"/>
      <c r="C12" s="67"/>
      <c r="D12" s="67"/>
      <c r="E12" s="204"/>
      <c r="F12" s="204"/>
      <c r="G12" s="100"/>
      <c r="H12" s="211"/>
      <c r="I12" s="207"/>
      <c r="J12" s="207"/>
    </row>
    <row r="13" spans="1:10" ht="15.75">
      <c r="A13" s="203" t="s">
        <v>824</v>
      </c>
      <c r="B13" s="209" t="str">
        <f>CONCATENATE("Increase in Personal Property for ",J1-1,":")</f>
        <v>Increase in Personal Property for 2012:</v>
      </c>
      <c r="C13" s="67"/>
      <c r="D13" s="67"/>
      <c r="E13" s="204"/>
      <c r="F13" s="204"/>
      <c r="G13" s="100"/>
      <c r="H13" s="211"/>
      <c r="I13" s="207"/>
      <c r="J13" s="207"/>
    </row>
    <row r="14" spans="1:10" ht="15.75">
      <c r="A14" s="67"/>
      <c r="B14" s="67" t="s">
        <v>825</v>
      </c>
      <c r="C14" s="67" t="str">
        <f>CONCATENATE("Personal Property ",J1-1,"")</f>
        <v>Personal Property 2012</v>
      </c>
      <c r="D14" s="203" t="s">
        <v>818</v>
      </c>
      <c r="E14" s="205">
        <f>inputOth!E7</f>
        <v>2607686</v>
      </c>
      <c r="F14" s="204"/>
      <c r="G14" s="127"/>
      <c r="H14" s="207"/>
      <c r="I14" s="211"/>
      <c r="J14" s="207"/>
    </row>
    <row r="15" spans="1:10" ht="15.75">
      <c r="A15" s="203"/>
      <c r="B15" s="67" t="s">
        <v>826</v>
      </c>
      <c r="C15" s="67" t="str">
        <f>CONCATENATE("Personal Property ",J1-2,"")</f>
        <v>Personal Property 2011</v>
      </c>
      <c r="D15" s="203" t="s">
        <v>821</v>
      </c>
      <c r="E15" s="132">
        <f>inputOth!E9</f>
        <v>2878849</v>
      </c>
      <c r="F15" s="204"/>
      <c r="G15" s="100"/>
      <c r="H15" s="211"/>
      <c r="I15" s="207"/>
      <c r="J15" s="207"/>
    </row>
    <row r="16" spans="1:10" ht="15.75">
      <c r="A16" s="203"/>
      <c r="B16" s="67" t="s">
        <v>827</v>
      </c>
      <c r="C16" s="67" t="s">
        <v>843</v>
      </c>
      <c r="D16" s="67"/>
      <c r="E16" s="127"/>
      <c r="F16" s="127" t="s">
        <v>818</v>
      </c>
      <c r="G16" s="205">
        <f>IF(E14&gt;E15,E14-E15,0)</f>
        <v>0</v>
      </c>
      <c r="H16" s="211"/>
      <c r="I16" s="207"/>
      <c r="J16" s="207"/>
    </row>
    <row r="17" spans="1:10" ht="15.75">
      <c r="A17" s="203"/>
      <c r="B17" s="203"/>
      <c r="C17" s="67"/>
      <c r="D17" s="67"/>
      <c r="E17" s="127"/>
      <c r="F17" s="127"/>
      <c r="G17" s="100" t="s">
        <v>833</v>
      </c>
      <c r="H17" s="211"/>
      <c r="I17" s="207"/>
      <c r="J17" s="207"/>
    </row>
    <row r="18" spans="1:10" ht="15.75">
      <c r="A18" s="203"/>
      <c r="B18" s="203"/>
      <c r="C18" s="67"/>
      <c r="D18" s="203"/>
      <c r="E18" s="100"/>
      <c r="F18" s="127"/>
      <c r="G18" s="100"/>
      <c r="H18" s="211"/>
      <c r="I18" s="207"/>
      <c r="J18" s="207"/>
    </row>
    <row r="19" spans="1:10" ht="15.75">
      <c r="A19" s="203" t="s">
        <v>828</v>
      </c>
      <c r="B19" s="209" t="str">
        <f>CONCATENATE("Valuation of Property that has Changed in Use during ",J1-1,":")</f>
        <v>Valuation of Property that has Changed in Use during 2012:</v>
      </c>
      <c r="C19" s="67"/>
      <c r="D19" s="67"/>
      <c r="E19" s="127"/>
      <c r="F19" s="127"/>
      <c r="G19" s="127">
        <f>inputOth!E8</f>
        <v>196117</v>
      </c>
      <c r="H19" s="207"/>
      <c r="I19" s="207"/>
      <c r="J19" s="207"/>
    </row>
    <row r="20" spans="1:10" ht="15.75">
      <c r="A20" s="203"/>
      <c r="B20" s="67"/>
      <c r="C20" s="67"/>
      <c r="D20" s="203"/>
      <c r="E20" s="100"/>
      <c r="F20" s="127"/>
      <c r="G20" s="212"/>
      <c r="H20" s="211"/>
      <c r="I20" s="207"/>
      <c r="J20" s="207"/>
    </row>
    <row r="21" spans="1:10" ht="15.75">
      <c r="A21" s="203" t="s">
        <v>837</v>
      </c>
      <c r="B21" s="209" t="s">
        <v>842</v>
      </c>
      <c r="C21" s="67"/>
      <c r="D21" s="67"/>
      <c r="E21" s="127"/>
      <c r="F21" s="127"/>
      <c r="G21" s="205">
        <f>G11+G16+G19</f>
        <v>935357</v>
      </c>
      <c r="H21" s="211"/>
      <c r="I21" s="207"/>
      <c r="J21" s="207"/>
    </row>
    <row r="22" spans="1:10" ht="15.75">
      <c r="A22" s="203"/>
      <c r="B22" s="203"/>
      <c r="C22" s="209"/>
      <c r="D22" s="67"/>
      <c r="E22" s="127"/>
      <c r="F22" s="127"/>
      <c r="G22" s="100"/>
      <c r="H22" s="211"/>
      <c r="I22" s="207"/>
      <c r="J22" s="207"/>
    </row>
    <row r="23" spans="1:10" ht="15.75">
      <c r="A23" s="203" t="s">
        <v>838</v>
      </c>
      <c r="B23" s="67" t="str">
        <f>CONCATENATE("Total Estimated Valuation July 1,",J1-1,"")</f>
        <v>Total Estimated Valuation July 1,2012</v>
      </c>
      <c r="C23" s="67"/>
      <c r="D23" s="67"/>
      <c r="E23" s="205">
        <f>inputOth!E5</f>
        <v>112143509</v>
      </c>
      <c r="F23" s="127"/>
      <c r="G23" s="127"/>
      <c r="H23" s="207"/>
      <c r="I23" s="206"/>
      <c r="J23" s="207"/>
    </row>
    <row r="24" spans="1:10" ht="15.75">
      <c r="A24" s="203"/>
      <c r="B24" s="203"/>
      <c r="C24" s="67"/>
      <c r="D24" s="67"/>
      <c r="E24" s="100"/>
      <c r="F24" s="127"/>
      <c r="G24" s="127"/>
      <c r="H24" s="207"/>
      <c r="I24" s="206"/>
      <c r="J24" s="207"/>
    </row>
    <row r="25" spans="1:10" ht="15.75">
      <c r="A25" s="203" t="s">
        <v>829</v>
      </c>
      <c r="B25" s="209" t="s">
        <v>846</v>
      </c>
      <c r="C25" s="67"/>
      <c r="D25" s="67"/>
      <c r="E25" s="127"/>
      <c r="F25" s="127"/>
      <c r="G25" s="205">
        <f>E23-G21</f>
        <v>111208152</v>
      </c>
      <c r="H25" s="211"/>
      <c r="I25" s="206"/>
      <c r="J25" s="207"/>
    </row>
    <row r="26" spans="1:10" ht="15.75">
      <c r="A26" s="203"/>
      <c r="B26" s="203"/>
      <c r="C26" s="209"/>
      <c r="D26" s="67"/>
      <c r="E26" s="67"/>
      <c r="F26" s="67"/>
      <c r="G26" s="213"/>
      <c r="H26" s="214"/>
      <c r="I26" s="215"/>
      <c r="J26" s="108"/>
    </row>
    <row r="27" spans="1:10" ht="15.75">
      <c r="A27" s="203" t="s">
        <v>830</v>
      </c>
      <c r="B27" s="67" t="s">
        <v>845</v>
      </c>
      <c r="C27" s="67"/>
      <c r="D27" s="67"/>
      <c r="E27" s="67"/>
      <c r="F27" s="67"/>
      <c r="G27" s="216">
        <f>IF(G21&gt;0,G21/G25,0)</f>
        <v>0.008410867217719794</v>
      </c>
      <c r="H27" s="214"/>
      <c r="I27" s="108"/>
      <c r="J27" s="108"/>
    </row>
    <row r="28" spans="1:10" ht="15.75">
      <c r="A28" s="203"/>
      <c r="B28" s="203"/>
      <c r="C28" s="67"/>
      <c r="D28" s="67"/>
      <c r="E28" s="67"/>
      <c r="F28" s="67"/>
      <c r="G28" s="69"/>
      <c r="H28" s="214"/>
      <c r="I28" s="108"/>
      <c r="J28" s="108"/>
    </row>
    <row r="29" spans="1:10" ht="15.75">
      <c r="A29" s="203" t="s">
        <v>831</v>
      </c>
      <c r="B29" s="67" t="s">
        <v>844</v>
      </c>
      <c r="C29" s="67"/>
      <c r="D29" s="67"/>
      <c r="E29" s="67"/>
      <c r="F29" s="67"/>
      <c r="G29" s="69"/>
      <c r="H29" s="217" t="s">
        <v>818</v>
      </c>
      <c r="I29" s="108" t="s">
        <v>819</v>
      </c>
      <c r="J29" s="218">
        <f>ROUND(G27*J7,0)</f>
        <v>70169</v>
      </c>
    </row>
    <row r="30" spans="1:10" ht="15.75">
      <c r="A30" s="203"/>
      <c r="B30" s="203"/>
      <c r="C30" s="67"/>
      <c r="D30" s="67"/>
      <c r="E30" s="67"/>
      <c r="F30" s="67"/>
      <c r="G30" s="69"/>
      <c r="H30" s="217"/>
      <c r="I30" s="108"/>
      <c r="J30" s="211"/>
    </row>
    <row r="31" spans="1:10" ht="16.5" thickBot="1">
      <c r="A31" s="203" t="s">
        <v>832</v>
      </c>
      <c r="B31" s="209" t="s">
        <v>849</v>
      </c>
      <c r="C31" s="67"/>
      <c r="D31" s="67"/>
      <c r="E31" s="67"/>
      <c r="F31" s="67"/>
      <c r="G31" s="67"/>
      <c r="H31" s="108"/>
      <c r="I31" s="108" t="s">
        <v>819</v>
      </c>
      <c r="J31" s="219">
        <f>J7+J29</f>
        <v>8412873</v>
      </c>
    </row>
    <row r="32" spans="1:10" ht="16.5" thickTop="1">
      <c r="A32" s="67"/>
      <c r="B32" s="67"/>
      <c r="C32" s="67"/>
      <c r="D32" s="67"/>
      <c r="E32" s="67"/>
      <c r="F32" s="67"/>
      <c r="G32" s="67"/>
      <c r="H32" s="67"/>
      <c r="I32" s="67"/>
      <c r="J32" s="108"/>
    </row>
    <row r="33" spans="1:10" ht="15.75">
      <c r="A33" s="203" t="s">
        <v>847</v>
      </c>
      <c r="B33" s="209" t="str">
        <f>CONCATENATE("Debt Service Levy in this ",J1-1," Budget")</f>
        <v>Debt Service Levy in this 2012 Budget</v>
      </c>
      <c r="C33" s="67"/>
      <c r="D33" s="67"/>
      <c r="E33" s="67"/>
      <c r="F33" s="67"/>
      <c r="G33" s="67"/>
      <c r="H33" s="67"/>
      <c r="I33" s="67"/>
      <c r="J33" s="220">
        <f>DebtService!E57</f>
        <v>0</v>
      </c>
    </row>
    <row r="34" spans="1:10" ht="15.75">
      <c r="A34" s="203"/>
      <c r="B34" s="209"/>
      <c r="C34" s="67"/>
      <c r="D34" s="67"/>
      <c r="E34" s="67"/>
      <c r="F34" s="67"/>
      <c r="G34" s="67"/>
      <c r="H34" s="67"/>
      <c r="I34" s="67"/>
      <c r="J34" s="69"/>
    </row>
    <row r="35" spans="1:10" ht="16.5" thickBot="1">
      <c r="A35" s="203" t="s">
        <v>848</v>
      </c>
      <c r="B35" s="209" t="s">
        <v>850</v>
      </c>
      <c r="C35" s="67"/>
      <c r="D35" s="67"/>
      <c r="E35" s="67"/>
      <c r="F35" s="67"/>
      <c r="G35" s="67"/>
      <c r="H35" s="67"/>
      <c r="I35" s="67"/>
      <c r="J35" s="221">
        <f>J31+J33</f>
        <v>8412873</v>
      </c>
    </row>
    <row r="36" spans="1:10" ht="16.5" thickTop="1">
      <c r="A36" s="67"/>
      <c r="B36" s="67"/>
      <c r="C36" s="67"/>
      <c r="D36" s="67"/>
      <c r="E36" s="67"/>
      <c r="F36" s="67"/>
      <c r="G36" s="67"/>
      <c r="H36" s="67"/>
      <c r="I36" s="67"/>
      <c r="J36" s="67"/>
    </row>
    <row r="37" spans="1:10" s="222" customFormat="1" ht="18.75">
      <c r="A37" s="737" t="str">
        <f>CONCATENATE("If the ",J1," budget includes tax levies exceeding the total on line 14, you must adopt a")</f>
        <v>If the 2013 budget includes tax levies exceeding the total on line 14, you must adopt a</v>
      </c>
      <c r="B37" s="737"/>
      <c r="C37" s="737"/>
      <c r="D37" s="737"/>
      <c r="E37" s="737"/>
      <c r="F37" s="737"/>
      <c r="G37" s="737"/>
      <c r="H37" s="737"/>
      <c r="I37" s="737"/>
      <c r="J37" s="737"/>
    </row>
    <row r="38" spans="1:10" s="222" customFormat="1" ht="18.75">
      <c r="A38" s="737" t="s">
        <v>903</v>
      </c>
      <c r="B38" s="737"/>
      <c r="C38" s="737"/>
      <c r="D38" s="737"/>
      <c r="E38" s="737"/>
      <c r="F38" s="737"/>
      <c r="G38" s="737"/>
      <c r="H38" s="737"/>
      <c r="I38" s="737"/>
      <c r="J38" s="737"/>
    </row>
  </sheetData>
  <sheetProtection sheet="1" objects="1" scenarios="1"/>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5" r:id="rId1"/>
  <headerFooter alignWithMargins="0">
    <oddHeader>&amp;RState of Kansas
County
</oddHeader>
    <oddFooter>&amp;CPage No.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2012-07-24T15:00:42Z</cp:lastPrinted>
  <dcterms:created xsi:type="dcterms:W3CDTF">1998-08-26T13:26:11Z</dcterms:created>
  <dcterms:modified xsi:type="dcterms:W3CDTF">2014-01-20T15:30:41Z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