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05" activeTab="4"/>
  </bookViews>
  <sheets>
    <sheet name="instructions" sheetId="1" r:id="rId1"/>
    <sheet name="inputPrYr" sheetId="2" r:id="rId2"/>
    <sheet name="inputOth" sheetId="3" r:id="rId3"/>
    <sheet name="inputBudSum" sheetId="4" r:id="rId4"/>
    <sheet name="cert" sheetId="5" r:id="rId5"/>
    <sheet name="cert2" sheetId="6" r:id="rId6"/>
    <sheet name="computation" sheetId="7" r:id="rId7"/>
    <sheet name="mvalloc" sheetId="8" r:id="rId8"/>
    <sheet name="transfers" sheetId="9" r:id="rId9"/>
    <sheet name="TransfersStatutes" sheetId="10" state="hidden" r:id="rId10"/>
    <sheet name="debt" sheetId="11" r:id="rId11"/>
    <sheet name="lpform" sheetId="12" r:id="rId12"/>
    <sheet name="general" sheetId="13" r:id="rId13"/>
    <sheet name="gen-detail" sheetId="14" r:id="rId14"/>
    <sheet name="DebtService" sheetId="15" r:id="rId15"/>
    <sheet name="road" sheetId="16" r:id="rId16"/>
    <sheet name="RoadDetail" sheetId="17" state="hidden" r:id="rId17"/>
    <sheet name="levy page10" sheetId="18" r:id="rId18"/>
    <sheet name="levy page11" sheetId="19" r:id="rId19"/>
    <sheet name="levy page12" sheetId="20" r:id="rId20"/>
    <sheet name="levy page13" sheetId="21" state="hidden" r:id="rId21"/>
    <sheet name="levy page14" sheetId="22" state="hidden" r:id="rId22"/>
    <sheet name="levy page15" sheetId="23" state="hidden" r:id="rId23"/>
    <sheet name="levy page16" sheetId="24" state="hidden" r:id="rId24"/>
    <sheet name="levy page17" sheetId="25" state="hidden" r:id="rId25"/>
    <sheet name="levy page18" sheetId="26" state="hidden" r:id="rId26"/>
    <sheet name="levy page19" sheetId="27" state="hidden" r:id="rId27"/>
    <sheet name="levy page20" sheetId="28" state="hidden" r:id="rId28"/>
    <sheet name="no levy page21" sheetId="29" r:id="rId29"/>
    <sheet name="no levy page22" sheetId="30" r:id="rId30"/>
    <sheet name="no levy page23" sheetId="31" r:id="rId31"/>
    <sheet name="no levy page24" sheetId="32" r:id="rId32"/>
    <sheet name="no levy page25" sheetId="33" r:id="rId33"/>
    <sheet name="no levy page26" sheetId="34" r:id="rId34"/>
    <sheet name="no levy page27" sheetId="35" state="hidden" r:id="rId35"/>
    <sheet name="no levy page28" sheetId="36" state="hidden" r:id="rId36"/>
    <sheet name="nonbudA" sheetId="37" r:id="rId37"/>
    <sheet name="nonbudB" sheetId="38" r:id="rId38"/>
    <sheet name="nonbudC" sheetId="39" state="hidden" r:id="rId39"/>
    <sheet name="nonbudD" sheetId="40" state="hidden" r:id="rId40"/>
    <sheet name="NonBudFunds" sheetId="41" state="hidden" r:id="rId41"/>
    <sheet name="summ" sheetId="42" r:id="rId42"/>
    <sheet name="summ2" sheetId="43" r:id="rId43"/>
    <sheet name="Nhood" sheetId="44" r:id="rId44"/>
    <sheet name="Resolution" sheetId="45" r:id="rId45"/>
    <sheet name="Tab A" sheetId="46" r:id="rId46"/>
    <sheet name="Tab B" sheetId="47" r:id="rId47"/>
    <sheet name="Tab C" sheetId="48" r:id="rId48"/>
    <sheet name="Tab D" sheetId="49" r:id="rId49"/>
    <sheet name="Tab E" sheetId="50" r:id="rId50"/>
    <sheet name="Mill Rate Computation" sheetId="51" r:id="rId51"/>
    <sheet name="Helpful Links" sheetId="52" r:id="rId52"/>
    <sheet name="legend" sheetId="53" r:id="rId53"/>
  </sheets>
  <definedNames>
    <definedName name="_xlnm.Print_Area" localSheetId="14">'DebtService'!$B$1:$E$59</definedName>
    <definedName name="_xlnm.Print_Area" localSheetId="12">'general'!$A$1:$E$127</definedName>
    <definedName name="_xlnm.Print_Area" localSheetId="1">'inputPrYr'!$A$1:$F$125</definedName>
    <definedName name="_xlnm.Print_Area" localSheetId="0">'instructions'!$A$1:$A$107</definedName>
    <definedName name="_xlnm.Print_Area" localSheetId="17">'levy page10'!$A$1:$E$86</definedName>
    <definedName name="_xlnm.Print_Area" localSheetId="18">'levy page11'!$A$1:$E$86</definedName>
    <definedName name="_xlnm.Print_Area" localSheetId="19">'levy page12'!$A$1:$E$86</definedName>
    <definedName name="_xlnm.Print_Area" localSheetId="20">'levy page13'!$A$1:$E$86</definedName>
    <definedName name="_xlnm.Print_Area" localSheetId="21">'levy page14'!$A$1:$E$86</definedName>
    <definedName name="_xlnm.Print_Area" localSheetId="22">'levy page15'!$A$1:$E$86</definedName>
    <definedName name="_xlnm.Print_Area" localSheetId="23">'levy page16'!$A$1:$E$86</definedName>
    <definedName name="_xlnm.Print_Area" localSheetId="24">'levy page17'!$A$1:$E$86</definedName>
    <definedName name="_xlnm.Print_Area" localSheetId="25">'levy page18'!$A$1:$E$86</definedName>
    <definedName name="_xlnm.Print_Area" localSheetId="26">'levy page19'!$A$1:$E$86</definedName>
    <definedName name="_xlnm.Print_Area" localSheetId="27">'levy page20'!$A$1:$E$86</definedName>
    <definedName name="_xlnm.Print_Area" localSheetId="15">'road'!$B$1:$E$120</definedName>
    <definedName name="_xlnm.Print_Area" localSheetId="41">'summ'!$A$1:$H$78</definedName>
  </definedNames>
  <calcPr fullCalcOnLoad="1"/>
</workbook>
</file>

<file path=xl/sharedStrings.xml><?xml version="1.0" encoding="utf-8"?>
<sst xmlns="http://schemas.openxmlformats.org/spreadsheetml/2006/main" count="2849" uniqueCount="1115">
  <si>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</si>
  <si>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</si>
  <si>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</si>
  <si>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</si>
  <si>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</si>
  <si>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</si>
  <si>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</si>
  <si>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City &amp; County Highway</t>
  </si>
  <si>
    <t>County Equalization</t>
  </si>
  <si>
    <t>Expenditures from detail page:</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</si>
  <si>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</si>
  <si>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</si>
  <si>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</si>
  <si>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</si>
  <si>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</si>
  <si>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</si>
  <si>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</si>
  <si>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</si>
  <si>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</si>
  <si>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</si>
  <si>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</si>
  <si>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</si>
  <si>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</si>
  <si>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</si>
  <si>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</si>
  <si>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</si>
  <si>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</si>
  <si>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</si>
  <si>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</si>
  <si>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</si>
  <si>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</si>
  <si>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</si>
  <si>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</si>
  <si>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r>
      <t>**</t>
    </r>
    <r>
      <rPr>
        <sz val="12"/>
        <rFont val="Times New Roman"/>
        <family val="1"/>
      </rPr>
      <t xml:space="preserve"> Note: The Total Detail Expenditures amounts should agree to Road Subtotal amounts.</t>
    </r>
  </si>
  <si>
    <r>
      <t>Total Detail Expenditures</t>
    </r>
    <r>
      <rPr>
        <sz val="12"/>
        <color indexed="10"/>
        <rFont val="Times New Roman"/>
        <family val="1"/>
      </rPr>
      <t>**</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</si>
  <si>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</si>
  <si>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</si>
  <si>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</si>
  <si>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</si>
  <si>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</si>
  <si>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</si>
  <si>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</si>
  <si>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</si>
  <si>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</si>
  <si>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</si>
  <si>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</si>
  <si>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</si>
  <si>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</si>
  <si>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</si>
  <si>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</si>
  <si>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</si>
  <si>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</si>
  <si>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</si>
  <si>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</si>
  <si>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</si>
  <si>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</si>
  <si>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</si>
  <si>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</si>
  <si>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</si>
  <si>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</si>
  <si>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</si>
  <si>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</si>
  <si>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</si>
  <si>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</si>
  <si>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</si>
  <si>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</si>
  <si>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</si>
  <si>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</si>
  <si>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</si>
  <si>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</si>
  <si>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</si>
  <si>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</si>
  <si>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</si>
  <si>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</si>
  <si>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</si>
  <si>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Miscellaneous</t>
  </si>
  <si>
    <t>Does miscellaneous exceed 10% of Total Receipts</t>
  </si>
  <si>
    <t>Neighborhood Revitalization Rebate</t>
  </si>
  <si>
    <t>Does miscellaneous exceed 10% of Total Expenditure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</si>
  <si>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</si>
  <si>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</si>
  <si>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</si>
  <si>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</si>
  <si>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</si>
  <si>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</si>
  <si>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</si>
  <si>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</si>
  <si>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</si>
  <si>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</si>
  <si>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</si>
  <si>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</si>
  <si>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</si>
  <si>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</si>
  <si>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</si>
  <si>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</si>
  <si>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</si>
  <si>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</si>
  <si>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</si>
  <si>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</si>
  <si>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</si>
  <si>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</si>
  <si>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</si>
  <si>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</si>
  <si>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</si>
  <si>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</si>
  <si>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</si>
  <si>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</si>
  <si>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</si>
  <si>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</si>
  <si>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</si>
  <si>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</si>
  <si>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</si>
  <si>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</si>
  <si>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</si>
  <si>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</si>
  <si>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</si>
  <si>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</si>
  <si>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</si>
  <si>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</si>
  <si>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</si>
  <si>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</si>
  <si>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</si>
  <si>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</si>
  <si>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</si>
  <si>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</si>
  <si>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</si>
  <si>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</si>
  <si>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</si>
  <si>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</si>
  <si>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</si>
  <si>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</si>
  <si>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</si>
  <si>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</si>
  <si>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</si>
  <si>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</si>
  <si>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</si>
  <si>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</si>
  <si>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</si>
  <si>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</si>
  <si>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</si>
  <si>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</si>
  <si>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</si>
  <si>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</si>
  <si>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</si>
  <si>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</si>
  <si>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</si>
  <si>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</si>
  <si>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</si>
  <si>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</si>
  <si>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</si>
  <si>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</si>
  <si>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</si>
  <si>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</si>
  <si>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TOTAL</t>
  </si>
  <si>
    <t>County Treas Motor Vehicle Estimate</t>
  </si>
  <si>
    <t>County Treasurers Recreational Vehicle Estimate</t>
  </si>
  <si>
    <t>Motor Vehicle Factor</t>
  </si>
  <si>
    <t>MVT</t>
  </si>
  <si>
    <t>Totals</t>
  </si>
  <si>
    <t>District Court</t>
  </si>
  <si>
    <t>Adopted Budget</t>
  </si>
  <si>
    <t>Ad Valorem Tax</t>
  </si>
  <si>
    <t>Delinquent Tax</t>
  </si>
  <si>
    <t>Motor Vehicle Tax</t>
  </si>
  <si>
    <t>Recreational Vehicle Tax</t>
  </si>
  <si>
    <t>Interest on Idle Funds</t>
  </si>
  <si>
    <t>Total Receipts</t>
  </si>
  <si>
    <t>Resources Available:</t>
  </si>
  <si>
    <t xml:space="preserve">Page No. </t>
  </si>
  <si>
    <t xml:space="preserve">General </t>
  </si>
  <si>
    <t>Expenditures:</t>
  </si>
  <si>
    <t>Total Expenditures</t>
  </si>
  <si>
    <t>Tax Required</t>
  </si>
  <si>
    <t>%</t>
  </si>
  <si>
    <t>General Fund - Detail Expend</t>
  </si>
  <si>
    <t>General Administration</t>
  </si>
  <si>
    <t xml:space="preserve">  Salaries</t>
  </si>
  <si>
    <t xml:space="preserve">  Contractual</t>
  </si>
  <si>
    <t xml:space="preserve">  Commodities</t>
  </si>
  <si>
    <t xml:space="preserve">  Capital Outlay</t>
  </si>
  <si>
    <t>Airport</t>
  </si>
  <si>
    <t>Appraisal</t>
  </si>
  <si>
    <t>County Attorney/Counselor</t>
  </si>
  <si>
    <t>County Commission</t>
  </si>
  <si>
    <t>County Treasurer</t>
  </si>
  <si>
    <t>Debt Service</t>
  </si>
  <si>
    <t>Economic Development</t>
  </si>
  <si>
    <t>Election</t>
  </si>
  <si>
    <t>Employee Benefits</t>
  </si>
  <si>
    <t>Health</t>
  </si>
  <si>
    <t>Register of Deeds</t>
  </si>
  <si>
    <t>Road &amp; Bridge</t>
  </si>
  <si>
    <t>Solid Waste</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</si>
  <si>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</si>
  <si>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</si>
  <si>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</si>
  <si>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</si>
  <si>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</si>
  <si>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</si>
  <si>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</si>
  <si>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</si>
  <si>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</si>
  <si>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</si>
  <si>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</si>
  <si>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</si>
  <si>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</si>
  <si>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</si>
  <si>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</si>
  <si>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</si>
  <si>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</si>
  <si>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</si>
  <si>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</si>
  <si>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</si>
  <si>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</si>
  <si>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</si>
  <si>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</si>
  <si>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</si>
  <si>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</si>
  <si>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</si>
  <si>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</si>
  <si>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</si>
  <si>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</si>
  <si>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</si>
  <si>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</si>
  <si>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</si>
  <si>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</si>
  <si>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</si>
  <si>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</si>
  <si>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</si>
  <si>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</si>
  <si>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</si>
  <si>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</si>
  <si>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</si>
  <si>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</si>
  <si>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</si>
  <si>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</si>
  <si>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</si>
  <si>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</si>
  <si>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</si>
  <si>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</si>
  <si>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</si>
  <si>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 ROAD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</si>
  <si>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</si>
  <si>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</si>
  <si>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</si>
  <si>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</si>
  <si>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</si>
  <si>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</si>
  <si>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</si>
  <si>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</si>
  <si>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</si>
  <si>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</si>
  <si>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</si>
  <si>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</si>
  <si>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</si>
  <si>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</si>
  <si>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</si>
  <si>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</si>
  <si>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</si>
  <si>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</si>
  <si>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</si>
  <si>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</si>
  <si>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</si>
  <si>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</si>
  <si>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</si>
  <si>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</si>
  <si>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</si>
  <si>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</si>
  <si>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</si>
  <si>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</si>
  <si>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</si>
  <si>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</si>
  <si>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</si>
  <si>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</si>
  <si>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</si>
  <si>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</si>
  <si>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</si>
  <si>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</si>
  <si>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</si>
  <si>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</si>
  <si>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</si>
  <si>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</si>
  <si>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</si>
  <si>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</si>
  <si>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</si>
  <si>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</si>
  <si>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</si>
  <si>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</si>
  <si>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</si>
  <si>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</si>
  <si>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</si>
  <si>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</si>
  <si>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</si>
  <si>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</si>
  <si>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</si>
  <si>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</si>
  <si>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</si>
  <si>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</si>
  <si>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</si>
  <si>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Page 7e</t>
  </si>
  <si>
    <t>COUNTY RESOLUTION</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</si>
  <si>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</si>
  <si>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</si>
  <si>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</si>
  <si>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</si>
  <si>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</si>
  <si>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</si>
  <si>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</si>
  <si>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</si>
  <si>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</si>
  <si>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</si>
  <si>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</si>
  <si>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</si>
  <si>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Total - Page 7b</t>
  </si>
  <si>
    <t>Total - Page7c</t>
  </si>
  <si>
    <t>Total - Page7d</t>
  </si>
  <si>
    <t>Total - Page7e</t>
  </si>
  <si>
    <t>Total  - Page 7f</t>
  </si>
  <si>
    <t>Total - Page7b</t>
  </si>
  <si>
    <t>Total - Page 7c</t>
  </si>
  <si>
    <t>Page 7f</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</si>
  <si>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</si>
  <si>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</si>
  <si>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</si>
  <si>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</si>
  <si>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</si>
  <si>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</si>
  <si>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</si>
  <si>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</si>
  <si>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</si>
  <si>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</si>
  <si>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</si>
  <si>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</si>
  <si>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</si>
  <si>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</si>
  <si>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In Lieu of Tax (IRB)</t>
  </si>
  <si>
    <t>Neighborhood Revitalization</t>
  </si>
  <si>
    <t>LAVTR</t>
  </si>
  <si>
    <t>City and County Revenue Sharing</t>
  </si>
  <si>
    <t>Computation of Delinquency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</si>
  <si>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</si>
  <si>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</si>
  <si>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</si>
  <si>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</si>
  <si>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</si>
  <si>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</si>
  <si>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</si>
  <si>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</si>
  <si>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</si>
  <si>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</si>
  <si>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</si>
  <si>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</si>
  <si>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</si>
  <si>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</si>
  <si>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</si>
  <si>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</si>
  <si>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</si>
  <si>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</si>
  <si>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</si>
  <si>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</si>
  <si>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</si>
  <si>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</si>
  <si>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</si>
  <si>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</si>
  <si>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</si>
  <si>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</si>
  <si>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</si>
  <si>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</si>
  <si>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</si>
  <si>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</si>
  <si>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</si>
  <si>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</si>
  <si>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</si>
  <si>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</si>
  <si>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</si>
  <si>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</si>
  <si>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</si>
  <si>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</si>
  <si>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</si>
  <si>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</si>
  <si>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</si>
  <si>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</si>
  <si>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</si>
  <si>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</si>
  <si>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</si>
  <si>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</si>
  <si>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</si>
  <si>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</si>
  <si>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</si>
  <si>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</si>
  <si>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</si>
  <si>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</si>
  <si>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</si>
  <si>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</si>
  <si>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</si>
  <si>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</si>
  <si>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</si>
  <si>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</si>
  <si>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</si>
  <si>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</si>
  <si>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</si>
  <si>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</si>
  <si>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</si>
  <si>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</si>
  <si>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</si>
  <si>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</si>
  <si>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</si>
  <si>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</si>
  <si>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</si>
  <si>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</si>
  <si>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</si>
  <si>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</si>
  <si>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</si>
  <si>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</si>
  <si>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</si>
  <si>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</si>
  <si>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</si>
  <si>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</si>
  <si>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</si>
  <si>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</si>
  <si>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</si>
  <si>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</si>
  <si>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</si>
  <si>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</si>
  <si>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</si>
  <si>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</si>
  <si>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</si>
  <si>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</si>
  <si>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</si>
  <si>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</si>
  <si>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</si>
  <si>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</si>
  <si>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</si>
  <si>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</si>
  <si>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</si>
  <si>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</si>
  <si>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</si>
  <si>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</si>
  <si>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</si>
  <si>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</si>
  <si>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</si>
  <si>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</si>
  <si>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</si>
  <si>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</si>
  <si>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</si>
  <si>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</si>
  <si>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</si>
  <si>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</si>
  <si>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</si>
  <si>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</si>
  <si>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</si>
  <si>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</si>
  <si>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</si>
  <si>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</si>
  <si>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</si>
  <si>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</si>
  <si>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</si>
  <si>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</si>
  <si>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</si>
  <si>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</si>
  <si>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</si>
  <si>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</si>
  <si>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</si>
  <si>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</si>
  <si>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</si>
  <si>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</si>
  <si>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</si>
  <si>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</si>
  <si>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</si>
  <si>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</si>
  <si>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</si>
  <si>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</si>
  <si>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</si>
  <si>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</si>
  <si>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</si>
  <si>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</si>
  <si>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</si>
  <si>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</si>
  <si>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</si>
  <si>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</si>
  <si>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</si>
  <si>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</si>
  <si>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</si>
  <si>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</si>
  <si>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</si>
  <si>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</si>
  <si>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</si>
  <si>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</si>
  <si>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</si>
  <si>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</si>
  <si>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</si>
  <si>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</si>
  <si>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</si>
  <si>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</si>
  <si>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</si>
  <si>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</si>
  <si>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</si>
  <si>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</si>
  <si>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</si>
  <si>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</si>
  <si>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</si>
  <si>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</si>
  <si>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</si>
  <si>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</si>
  <si>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</si>
  <si>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</si>
  <si>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</si>
  <si>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</si>
  <si>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</si>
  <si>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</si>
  <si>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</si>
  <si>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</si>
  <si>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</si>
  <si>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</si>
  <si>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</si>
  <si>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</si>
  <si>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</si>
  <si>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</si>
  <si>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</si>
  <si>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</si>
  <si>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</si>
  <si>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</si>
  <si>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</si>
  <si>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</si>
  <si>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</si>
  <si>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</si>
  <si>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</si>
  <si>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</si>
  <si>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</si>
  <si>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</si>
  <si>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</si>
  <si>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</si>
  <si>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</si>
  <si>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</si>
  <si>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</si>
  <si>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</si>
  <si>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</si>
  <si>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</si>
  <si>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</si>
  <si>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</si>
  <si>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</si>
  <si>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</si>
  <si>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</si>
  <si>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</si>
  <si>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</si>
  <si>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</si>
  <si>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</si>
  <si>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</si>
  <si>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</si>
  <si>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</si>
  <si>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</si>
  <si>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</si>
  <si>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</si>
  <si>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</si>
  <si>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</si>
  <si>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</si>
  <si>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</si>
  <si>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</si>
  <si>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</si>
  <si>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</si>
  <si>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</si>
  <si>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</si>
  <si>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</si>
  <si>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</si>
  <si>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</si>
  <si>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</si>
  <si>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</si>
  <si>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</si>
  <si>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</si>
  <si>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</si>
  <si>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</si>
  <si>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</si>
  <si>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</si>
  <si>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</si>
  <si>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</si>
  <si>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</si>
  <si>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</si>
  <si>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</si>
  <si>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</si>
  <si>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</si>
  <si>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</si>
  <si>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</si>
  <si>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</si>
  <si>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</si>
  <si>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</si>
  <si>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</si>
  <si>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</si>
  <si>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</si>
  <si>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</si>
  <si>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</si>
  <si>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</si>
  <si>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</si>
  <si>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</si>
  <si>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</si>
  <si>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</si>
  <si>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</si>
  <si>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</si>
  <si>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</si>
  <si>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</si>
  <si>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</si>
  <si>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</si>
  <si>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</si>
  <si>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</si>
  <si>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</si>
  <si>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</si>
  <si>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</si>
  <si>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</si>
  <si>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</si>
  <si>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</si>
  <si>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</si>
  <si>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</si>
  <si>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</si>
  <si>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</si>
  <si>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</si>
  <si>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</si>
  <si>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</si>
  <si>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</si>
  <si>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</si>
  <si>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</si>
  <si>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</si>
  <si>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</si>
  <si>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</si>
  <si>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</si>
  <si>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</si>
  <si>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</si>
  <si>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</si>
  <si>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</si>
  <si>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</si>
  <si>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</si>
  <si>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</si>
  <si>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</si>
  <si>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</si>
  <si>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</si>
  <si>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</si>
  <si>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</si>
  <si>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</si>
  <si>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</si>
  <si>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</si>
  <si>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</si>
  <si>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</si>
  <si>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</si>
  <si>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</si>
  <si>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</si>
  <si>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</si>
  <si>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</si>
  <si>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</si>
  <si>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</si>
  <si>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</si>
  <si>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</si>
  <si>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</si>
  <si>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</si>
  <si>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</si>
  <si>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</si>
  <si>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</si>
  <si>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</si>
  <si>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</si>
  <si>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</si>
  <si>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</si>
  <si>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</si>
  <si>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</si>
  <si>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</si>
  <si>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</si>
  <si>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</si>
  <si>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</si>
  <si>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</si>
  <si>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</si>
  <si>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</si>
  <si>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</si>
  <si>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</si>
  <si>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</si>
  <si>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</si>
  <si>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</si>
  <si>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</si>
  <si>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</si>
  <si>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</si>
  <si>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</si>
  <si>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</si>
  <si>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</si>
  <si>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</si>
  <si>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</si>
  <si>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</si>
  <si>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</si>
  <si>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</si>
  <si>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Does miscellaneous exceed 10% of Total Exp</t>
  </si>
  <si>
    <t>Does miscellaneous exceed 10% of Total Rec</t>
  </si>
  <si>
    <t xml:space="preserve">Road &amp; Bridge Fund </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</si>
  <si>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</si>
  <si>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</si>
  <si>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</si>
  <si>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</si>
  <si>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</si>
  <si>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</si>
  <si>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</si>
  <si>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</si>
  <si>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</si>
  <si>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</si>
  <si>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</si>
  <si>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</si>
  <si>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</si>
  <si>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</si>
  <si>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</si>
  <si>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</si>
  <si>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</si>
  <si>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</si>
  <si>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</si>
  <si>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</si>
  <si>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</si>
  <si>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</si>
  <si>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</si>
  <si>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</si>
  <si>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</si>
  <si>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</si>
  <si>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</si>
  <si>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</si>
  <si>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</si>
  <si>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</si>
  <si>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</si>
  <si>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</si>
  <si>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</si>
  <si>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</si>
  <si>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</si>
  <si>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</si>
  <si>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</si>
  <si>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</si>
  <si>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</si>
  <si>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</si>
  <si>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</si>
  <si>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</si>
  <si>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</si>
  <si>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</si>
  <si>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</si>
  <si>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</si>
  <si>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</si>
  <si>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</si>
  <si>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</si>
  <si>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</si>
  <si>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</si>
  <si>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</si>
  <si>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</si>
  <si>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</si>
  <si>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</si>
  <si>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</si>
  <si>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</si>
  <si>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</si>
  <si>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</si>
  <si>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</si>
  <si>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</si>
  <si>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</si>
  <si>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</si>
  <si>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</si>
  <si>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</si>
  <si>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</si>
  <si>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</si>
  <si>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</si>
  <si>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</si>
  <si>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</si>
  <si>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</si>
  <si>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</si>
  <si>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</si>
  <si>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</si>
  <si>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</si>
  <si>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</si>
  <si>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</si>
  <si>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</si>
  <si>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</si>
  <si>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</si>
  <si>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</si>
  <si>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</si>
  <si>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</si>
  <si>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</si>
  <si>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</si>
  <si>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</si>
  <si>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</si>
  <si>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</si>
  <si>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</si>
  <si>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</si>
  <si>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</si>
  <si>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</si>
  <si>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</si>
  <si>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</si>
  <si>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</si>
  <si>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</si>
  <si>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</si>
  <si>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</si>
  <si>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</si>
  <si>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</si>
  <si>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</si>
  <si>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</si>
  <si>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</si>
  <si>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</si>
  <si>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</si>
  <si>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</si>
  <si>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</si>
  <si>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</si>
  <si>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</si>
  <si>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</si>
  <si>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</si>
  <si>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</si>
  <si>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</si>
  <si>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</si>
  <si>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</si>
  <si>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</si>
  <si>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</si>
  <si>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</si>
  <si>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</si>
  <si>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</si>
  <si>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</si>
  <si>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</si>
  <si>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</si>
  <si>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</si>
  <si>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</si>
  <si>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tabs changed proposed year expenditure column to 'Budget Authority for Expenditures'</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</si>
  <si>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</si>
  <si>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Type</t>
  </si>
  <si>
    <t xml:space="preserve"> Debt</t>
  </si>
  <si>
    <t xml:space="preserve"> Purchased</t>
  </si>
  <si>
    <t>Items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</si>
  <si>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</si>
  <si>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</si>
  <si>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</si>
  <si>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</si>
  <si>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</si>
  <si>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</si>
  <si>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</si>
  <si>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</si>
  <si>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</si>
  <si>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</si>
  <si>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</si>
  <si>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</si>
  <si>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</si>
  <si>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</si>
  <si>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</si>
  <si>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</si>
  <si>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</si>
  <si>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</si>
  <si>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</si>
  <si>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</si>
  <si>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</si>
  <si>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</si>
  <si>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</si>
  <si>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</si>
  <si>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</si>
  <si>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</si>
  <si>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</si>
  <si>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</si>
  <si>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</si>
  <si>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</si>
  <si>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</si>
  <si>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3b. Once a date has been entered in the Date block, the following statement will appear: 'Latest date for notice to be published in your newspaper'.  Please ensure to take into consideration as to when your newspaper is published when arriving at the hearing date.</t>
  </si>
  <si>
    <t>6.  Motor Vehicle Allocation(mvalloc)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</si>
  <si>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</si>
  <si>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</si>
  <si>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</si>
  <si>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</si>
  <si>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</si>
  <si>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</si>
  <si>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</si>
  <si>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</si>
  <si>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</si>
  <si>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</si>
  <si>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10k. Each fund after the "unencumbered cash bal dec31", will show the budget authority expenditure amount for the actual and current year. </t>
  </si>
  <si>
    <r>
      <t>10l.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</si>
  <si>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10m.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</si>
  <si>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10n.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</si>
  <si>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</si>
  <si>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</si>
  <si>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</si>
  <si>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</si>
  <si>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The following were changed to this spreadsheet on 12/23/11</t>
  </si>
  <si>
    <t>5. Instructions tab, changed #11b to reflect all tax levy pages with 'Projected Carryover' table</t>
  </si>
  <si>
    <t>6. Instructions tab, changed #11c to reflect all tax levy pages with 'Desired Carryover' and warning about delinquency rate</t>
  </si>
  <si>
    <t>7. Instructions tab, added #11d for last year mill rate, proposed total mill rate, and last year total mill rate</t>
  </si>
  <si>
    <t>8. Instructions tab, changed #12b added name of official</t>
  </si>
  <si>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</si>
  <si>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</si>
  <si>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</si>
  <si>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</si>
  <si>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</si>
  <si>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</si>
  <si>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</si>
  <si>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</si>
  <si>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</si>
  <si>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</si>
  <si>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</si>
  <si>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</si>
  <si>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</si>
  <si>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</si>
  <si>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</si>
  <si>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</si>
  <si>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</si>
  <si>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</si>
  <si>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t>Email:</t>
  </si>
  <si>
    <t>____________________________________  __________________________________</t>
  </si>
  <si>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</si>
  <si>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</si>
  <si>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</si>
  <si>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</si>
  <si>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</si>
  <si>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</si>
  <si>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</si>
  <si>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Rice County</t>
  </si>
  <si>
    <t>12-16,102</t>
  </si>
  <si>
    <t>Emergency Medical Services</t>
  </si>
  <si>
    <t>65-6113</t>
  </si>
  <si>
    <t>Noxious Weed</t>
  </si>
  <si>
    <t>2-1318</t>
  </si>
  <si>
    <t>Historical Society</t>
  </si>
  <si>
    <t>Senior Citizens</t>
  </si>
  <si>
    <t>65-204</t>
  </si>
  <si>
    <t>73-402</t>
  </si>
  <si>
    <t>12-1680</t>
  </si>
  <si>
    <t>Detention</t>
  </si>
  <si>
    <t>Special Alcohol Fund</t>
  </si>
  <si>
    <t>Transient Guest Tax</t>
  </si>
  <si>
    <t>Equipment Reserve</t>
  </si>
  <si>
    <t>Capital Improvements</t>
  </si>
  <si>
    <t>Risk Management</t>
  </si>
  <si>
    <t>911 Fund</t>
  </si>
  <si>
    <t>Wireless 911</t>
  </si>
  <si>
    <t>EMS Special Equipment</t>
  </si>
  <si>
    <t>Solid Waste Recycling</t>
  </si>
  <si>
    <t>Weed Capital Outlay</t>
  </si>
  <si>
    <t>Road &amp; Bridge Sp Machinery</t>
  </si>
  <si>
    <t>Treasurer Motor Vehicle</t>
  </si>
  <si>
    <t>Sp Prosecutors Trust</t>
  </si>
  <si>
    <t>Prosecutor Training Assistance</t>
  </si>
  <si>
    <t>EMS Reserve</t>
  </si>
  <si>
    <t>Deeds Technology</t>
  </si>
  <si>
    <t>Parks &amp; Recreation</t>
  </si>
  <si>
    <t>Energy Manager Grant</t>
  </si>
  <si>
    <t>Penalties &amp; Interest</t>
  </si>
  <si>
    <t>Local Retail Sales Tax</t>
  </si>
  <si>
    <t>Mineral Tax</t>
  </si>
  <si>
    <t>In Lieu of Tax</t>
  </si>
  <si>
    <t>Local Alcoholic Liquor Tax</t>
  </si>
  <si>
    <t>Special Assessments</t>
  </si>
  <si>
    <t>Mortgage Registrations</t>
  </si>
  <si>
    <t>Officers Fees (Memo)</t>
  </si>
  <si>
    <t>Transfer from Treasurer's Motor Vehicle Fund</t>
  </si>
  <si>
    <t>Diversion Fees</t>
  </si>
  <si>
    <t>Airport Hangar Rent</t>
  </si>
  <si>
    <t>Dispatch Reimbursements</t>
  </si>
  <si>
    <t>Airport City Reimbursement</t>
  </si>
  <si>
    <t>Election Reimbursements</t>
  </si>
  <si>
    <t>Reimbursements (Memo)</t>
  </si>
  <si>
    <t>Grants</t>
  </si>
  <si>
    <t>State Environmental Planning Grant</t>
  </si>
  <si>
    <t>Solid Waste E-Waste Grant</t>
  </si>
  <si>
    <t>Miscellaneous (Memo)</t>
  </si>
  <si>
    <t>Cash Rent</t>
  </si>
  <si>
    <t>Appropriations</t>
  </si>
  <si>
    <t xml:space="preserve">  Mental Health</t>
  </si>
  <si>
    <t xml:space="preserve">  Mental Retardation</t>
  </si>
  <si>
    <t xml:space="preserve">  Extension Council</t>
  </si>
  <si>
    <t xml:space="preserve">  Agricultural Building</t>
  </si>
  <si>
    <t xml:space="preserve">  Fair</t>
  </si>
  <si>
    <t xml:space="preserve">  Soil Conservation</t>
  </si>
  <si>
    <t xml:space="preserve">  Transfers Out-Equipment Reserve</t>
  </si>
  <si>
    <t>Courthouse</t>
  </si>
  <si>
    <t>Commissioners Special</t>
  </si>
  <si>
    <t xml:space="preserve">  Transfer Out - Detention Building Rent</t>
  </si>
  <si>
    <t xml:space="preserve">  Economic Development</t>
  </si>
  <si>
    <t xml:space="preserve">  Juvenile Detention</t>
  </si>
  <si>
    <t xml:space="preserve">  District Court - jury fees</t>
  </si>
  <si>
    <t>Communications</t>
  </si>
  <si>
    <t xml:space="preserve">  Transfer Out - Equipment Reserve</t>
  </si>
  <si>
    <t xml:space="preserve">  Transfer Out - Building Rental - Detention</t>
  </si>
  <si>
    <t xml:space="preserve">  Board Worker Expense</t>
  </si>
  <si>
    <t>Emergency Management</t>
  </si>
  <si>
    <t xml:space="preserve">Transfers </t>
  </si>
  <si>
    <t xml:space="preserve">  Risk Management</t>
  </si>
  <si>
    <t xml:space="preserve">  Equipment Reserve</t>
  </si>
  <si>
    <t xml:space="preserve">  Capital Improvements</t>
  </si>
  <si>
    <t xml:space="preserve">  R &amp; B Fund -sales tax</t>
  </si>
  <si>
    <t>GIS</t>
  </si>
  <si>
    <t>Planning &amp; Zoning</t>
  </si>
  <si>
    <t>Sheriff</t>
  </si>
  <si>
    <t xml:space="preserve">  Detention Expense</t>
  </si>
  <si>
    <t>Fees</t>
  </si>
  <si>
    <t>Transfer from General - Sales Tax</t>
  </si>
  <si>
    <t>Salaries</t>
  </si>
  <si>
    <t>Employee Screening Tests</t>
  </si>
  <si>
    <t>Dues &amp; Membership</t>
  </si>
  <si>
    <t>Insurance</t>
  </si>
  <si>
    <t>Maintenance-Equipment</t>
  </si>
  <si>
    <t>Professional Services</t>
  </si>
  <si>
    <t>Maintenance - Building</t>
  </si>
  <si>
    <t>Services Lease &amp; Rent</t>
  </si>
  <si>
    <t>Matching Funds - KDOT Project</t>
  </si>
  <si>
    <t>Contracted Work</t>
  </si>
  <si>
    <t>Telecommunications</t>
  </si>
  <si>
    <t>Other Contractual Services</t>
  </si>
  <si>
    <t>Utilities</t>
  </si>
  <si>
    <t>Outside Labor</t>
  </si>
  <si>
    <t>Transfer Out - Road, Machine, Bridge</t>
  </si>
  <si>
    <t>Commodities</t>
  </si>
  <si>
    <t>Capital Outlay</t>
  </si>
  <si>
    <t>Vehicle Maintenance</t>
  </si>
  <si>
    <t>Lease Purchase - CAT Grader</t>
  </si>
  <si>
    <t>Insurance Proceeds</t>
  </si>
  <si>
    <t>Payment in Lieu of Tax</t>
  </si>
  <si>
    <t>FICA Expense</t>
  </si>
  <si>
    <t>State Unemployment Expense</t>
  </si>
  <si>
    <t>Health/Dental Ins Expense</t>
  </si>
  <si>
    <t>KPERS Expense</t>
  </si>
  <si>
    <t>Collections Current Year</t>
  </si>
  <si>
    <t>Collections Prior Year</t>
  </si>
  <si>
    <t>Contractual</t>
  </si>
  <si>
    <t>Transfer Out -EMS Equipment</t>
  </si>
  <si>
    <t>Sale of Chemical &amp; Reimbursements</t>
  </si>
  <si>
    <t>Contractual Services</t>
  </si>
  <si>
    <t>Transfer Out - Nox Weed Cap Outlay</t>
  </si>
  <si>
    <t>WIC</t>
  </si>
  <si>
    <t>Grants &amp; Reimbursements</t>
  </si>
  <si>
    <t>Transfer Out - Equipment Reserve</t>
  </si>
  <si>
    <t>Prisoner Care</t>
  </si>
  <si>
    <t>Inmate Services Revenue</t>
  </si>
  <si>
    <t>Transfer In - Building Rental</t>
  </si>
  <si>
    <t>Booking Fees</t>
  </si>
  <si>
    <t>Food Supplies</t>
  </si>
  <si>
    <t>Local Alcohol Liquor Tax</t>
  </si>
  <si>
    <t>DARE Program Supplies</t>
  </si>
  <si>
    <t>Transfer In Budget-General</t>
  </si>
  <si>
    <t>Transfer In Budget - Health</t>
  </si>
  <si>
    <t>Transfer In Budget - Deeds Tech</t>
  </si>
  <si>
    <t>Transfer In Budget - 911</t>
  </si>
  <si>
    <t>Transfer In Budget - Detention</t>
  </si>
  <si>
    <t>Computer Equip/Software</t>
  </si>
  <si>
    <t>Operational Equipment</t>
  </si>
  <si>
    <t>Office Equipment</t>
  </si>
  <si>
    <t>Transfer In Budget - Budget</t>
  </si>
  <si>
    <t>Building</t>
  </si>
  <si>
    <t>Improvements/non-building</t>
  </si>
  <si>
    <t>Bridge Repairs</t>
  </si>
  <si>
    <t>Transfer In - General</t>
  </si>
  <si>
    <t>Claims</t>
  </si>
  <si>
    <t>E911 Tax</t>
  </si>
  <si>
    <t>Transfer In - Wireless 911</t>
  </si>
  <si>
    <t>911 Wireless Collection</t>
  </si>
  <si>
    <t>State Grant</t>
  </si>
  <si>
    <t>Transfer Out - 911 Fund</t>
  </si>
  <si>
    <t>Transfer In Budget - EMS</t>
  </si>
  <si>
    <t>Vehicular Equipment</t>
  </si>
  <si>
    <t>Lease Purchase - Ambulance</t>
  </si>
  <si>
    <t>Transfer In Budget - Weed</t>
  </si>
  <si>
    <t xml:space="preserve">  Transfer Out - Budget</t>
  </si>
  <si>
    <t>NRP</t>
  </si>
  <si>
    <t>Emp. Benefits</t>
  </si>
  <si>
    <t>Travel/Mileage</t>
  </si>
  <si>
    <t>Operating Supplies</t>
  </si>
  <si>
    <t>Energy Mgr Expenses</t>
  </si>
  <si>
    <t>KDOT Project Reimb</t>
  </si>
  <si>
    <t>Transfer In - R &amp; B</t>
  </si>
  <si>
    <t>Misc</t>
  </si>
  <si>
    <t>Medical Reimbursement</t>
  </si>
  <si>
    <t>MV</t>
  </si>
  <si>
    <t>Sales Tax</t>
  </si>
  <si>
    <t>Driver License</t>
  </si>
  <si>
    <t>Transfer Out-General</t>
  </si>
  <si>
    <t>Transfer Out-Eq Res</t>
  </si>
  <si>
    <t>Disbursement</t>
  </si>
  <si>
    <t>Overpayment Refunds</t>
  </si>
  <si>
    <t>Capital Assets</t>
  </si>
  <si>
    <t>Computer Equipment</t>
  </si>
  <si>
    <t>Asset Forfeiture</t>
  </si>
  <si>
    <t>`</t>
  </si>
  <si>
    <t>Local Alcohol Liquor</t>
  </si>
  <si>
    <t>Misc. Disb</t>
  </si>
  <si>
    <t>4790 transferred from DC</t>
  </si>
  <si>
    <t xml:space="preserve">  Transfer to Equipment Reserve</t>
  </si>
  <si>
    <t>Cash Carryover</t>
  </si>
  <si>
    <t xml:space="preserve">  Transfers Out - Budget</t>
  </si>
  <si>
    <t>First Bank - CAT Grader</t>
  </si>
  <si>
    <t>Public Building Commission</t>
  </si>
  <si>
    <t xml:space="preserve">  Refunding Revenue</t>
  </si>
  <si>
    <t>2-3%</t>
  </si>
  <si>
    <t>6-1 &amp; 12-1</t>
  </si>
  <si>
    <t>Gen - Appraiser</t>
  </si>
  <si>
    <t>Gen - Clerk</t>
  </si>
  <si>
    <t>Gen - Courthouse</t>
  </si>
  <si>
    <t>Gen - Comm Special</t>
  </si>
  <si>
    <t>Detention Rent</t>
  </si>
  <si>
    <t>Gen - Communications</t>
  </si>
  <si>
    <t>Gen - District Court</t>
  </si>
  <si>
    <t>Gen - Eco. Devo.</t>
  </si>
  <si>
    <t>Revolving Loan</t>
  </si>
  <si>
    <t>Gen - Election</t>
  </si>
  <si>
    <t>Gen - Sheriff</t>
  </si>
  <si>
    <t>Gen - Deeds</t>
  </si>
  <si>
    <t>Gen - Solid Waste</t>
  </si>
  <si>
    <t>Road, Machine, Bridge</t>
  </si>
  <si>
    <t>Weed</t>
  </si>
  <si>
    <t>Deed Tech</t>
  </si>
  <si>
    <t>Special Auto</t>
  </si>
  <si>
    <t>K.S.A. 19-119</t>
  </si>
  <si>
    <t>Comm. Authority</t>
  </si>
  <si>
    <t>Gen - Transfers</t>
  </si>
  <si>
    <t>Gen - Local Sales Tax</t>
  </si>
  <si>
    <t>K.S.A. 68-141g</t>
  </si>
  <si>
    <t>K.S.A. 2-1318</t>
  </si>
  <si>
    <t>K.S.A. 28-115a</t>
  </si>
  <si>
    <t>K.S.A. 8-145</t>
  </si>
  <si>
    <t>Split</t>
  </si>
  <si>
    <t>EMS</t>
  </si>
  <si>
    <t>EMS Equipment</t>
  </si>
  <si>
    <t>Alicia Showalter</t>
  </si>
  <si>
    <t>August 13, 2012</t>
  </si>
  <si>
    <t>10:00 a.m.</t>
  </si>
  <si>
    <t>Commissioners Room at the Courthouse</t>
  </si>
  <si>
    <t>the Rice County Clerks Office</t>
  </si>
  <si>
    <t>RESOLUTION NO.</t>
  </si>
  <si>
    <t xml:space="preserve"> Commissioners will be published in the Sterling Bulletin.   Interested persons can also address questions concerning the budget to Rice County Clerks Office by calling Alicia Showalter between the hours of 8:00 a.m. to 5:00 p.m., Monday through Fridays, excluding holidays.  </t>
  </si>
  <si>
    <t>Bond Payment LEC Building</t>
  </si>
  <si>
    <t>Transfer from Debt Service</t>
  </si>
  <si>
    <t>Transfer out to Road &amp; Bridge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</si>
</sst>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
    <numFmt numFmtId="194" formatCode="#,##0.000_);[Red]\(#,##0.000\)"/>
  </numFmts>
  <fonts count="9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val="single"/>
      <sz val="8"/>
      <color indexed="10"/>
      <name val="Times New Roman"/>
      <family val="1"/>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b/>
      <u val="single"/>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rgb="FFFF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s>
  <cellStyleXfs count="4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10"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843">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horizontal="centerContinuous"/>
    </xf>
    <xf numFmtId="37" fontId="4" fillId="0" borderId="0" xfId="0" applyNumberFormat="1" applyFont="1" applyAlignment="1" applyProtection="1">
      <alignment horizontal="left"/>
      <protection locked="0"/>
    </xf>
    <xf numFmtId="37" fontId="4" fillId="0" borderId="0" xfId="0" applyNumberFormat="1" applyFont="1" applyAlignment="1" applyProtection="1">
      <alignment horizontal="center"/>
      <protection locked="0"/>
    </xf>
    <xf numFmtId="0" fontId="4" fillId="0" borderId="0" xfId="0" applyFont="1" applyAlignment="1">
      <alignment/>
    </xf>
    <xf numFmtId="0" fontId="4" fillId="0" borderId="0" xfId="0" applyFont="1" applyAlignment="1" applyProtection="1">
      <alignment horizontal="centerContinuous"/>
      <protection locked="0"/>
    </xf>
    <xf numFmtId="37" fontId="4" fillId="0" borderId="10" xfId="0" applyNumberFormat="1" applyFont="1" applyBorder="1" applyAlignment="1" applyProtection="1">
      <alignment horizontal="fill"/>
      <protection locked="0"/>
    </xf>
    <xf numFmtId="37" fontId="4" fillId="33" borderId="11" xfId="0" applyNumberFormat="1" applyFont="1" applyFill="1" applyBorder="1" applyAlignment="1" applyProtection="1">
      <alignment/>
      <protection locked="0"/>
    </xf>
    <xf numFmtId="0" fontId="4" fillId="33" borderId="0" xfId="0" applyFont="1" applyFill="1" applyAlignment="1" applyProtection="1">
      <alignment/>
      <protection locked="0"/>
    </xf>
    <xf numFmtId="164" fontId="4" fillId="33" borderId="11" xfId="0" applyNumberFormat="1" applyFont="1" applyFill="1" applyBorder="1" applyAlignment="1" applyProtection="1">
      <alignment/>
      <protection locked="0"/>
    </xf>
    <xf numFmtId="37" fontId="4" fillId="34" borderId="12"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0" xfId="0" applyNumberFormat="1" applyFont="1" applyFill="1" applyAlignment="1" applyProtection="1">
      <alignment horizontal="fill"/>
      <protection/>
    </xf>
    <xf numFmtId="37" fontId="4" fillId="34" borderId="13" xfId="0" applyNumberFormat="1"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0" fontId="4" fillId="34" borderId="15" xfId="0" applyFont="1" applyFill="1" applyBorder="1" applyAlignment="1" applyProtection="1">
      <alignment horizontal="centerContinuous"/>
      <protection/>
    </xf>
    <xf numFmtId="37" fontId="4" fillId="34" borderId="16" xfId="0" applyNumberFormat="1"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37" fontId="4" fillId="34" borderId="11" xfId="0" applyNumberFormat="1" applyFont="1" applyFill="1" applyBorder="1" applyAlignment="1" applyProtection="1">
      <alignment/>
      <protection/>
    </xf>
    <xf numFmtId="37" fontId="4" fillId="34" borderId="10" xfId="0" applyNumberFormat="1" applyFont="1" applyFill="1" applyBorder="1" applyAlignment="1" applyProtection="1">
      <alignment horizontal="fill"/>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17" xfId="0" applyFont="1" applyFill="1" applyBorder="1" applyAlignment="1" applyProtection="1">
      <alignment horizontal="center"/>
      <protection/>
    </xf>
    <xf numFmtId="0" fontId="4" fillId="34" borderId="0" xfId="0" applyFont="1" applyFill="1" applyAlignment="1" applyProtection="1">
      <alignment horizontal="center"/>
      <protection/>
    </xf>
    <xf numFmtId="37" fontId="4"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centerContinuous"/>
      <protection/>
    </xf>
    <xf numFmtId="0" fontId="4" fillId="34" borderId="16" xfId="0" applyFont="1" applyFill="1" applyBorder="1" applyAlignment="1" applyProtection="1">
      <alignment horizontal="centerContinuous"/>
      <protection/>
    </xf>
    <xf numFmtId="1" fontId="4" fillId="34" borderId="13" xfId="0" applyNumberFormat="1" applyFont="1" applyFill="1" applyBorder="1" applyAlignment="1" applyProtection="1">
      <alignment horizontal="centerContinuous"/>
      <protection/>
    </xf>
    <xf numFmtId="164" fontId="4" fillId="34" borderId="11" xfId="0" applyNumberFormat="1" applyFont="1" applyFill="1" applyBorder="1" applyAlignment="1" applyProtection="1">
      <alignment/>
      <protection/>
    </xf>
    <xf numFmtId="0" fontId="14"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12" fillId="0" borderId="0" xfId="404" applyAlignment="1">
      <alignment vertical="top"/>
      <protection/>
    </xf>
    <xf numFmtId="0" fontId="12" fillId="0" borderId="0" xfId="404">
      <alignment/>
      <protection/>
    </xf>
    <xf numFmtId="0" fontId="15"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16" fillId="0" borderId="0" xfId="0" applyFont="1" applyAlignment="1">
      <alignment/>
    </xf>
    <xf numFmtId="0" fontId="16" fillId="0" borderId="0" xfId="0" applyNumberFormat="1" applyFont="1" applyAlignment="1">
      <alignment/>
    </xf>
    <xf numFmtId="0" fontId="8" fillId="0" borderId="0" xfId="0" applyFont="1" applyAlignment="1">
      <alignment/>
    </xf>
    <xf numFmtId="0" fontId="8" fillId="0" borderId="0" xfId="0" applyFont="1" applyAlignment="1">
      <alignment/>
    </xf>
    <xf numFmtId="0" fontId="17" fillId="0" borderId="0" xfId="0" applyFont="1" applyAlignment="1">
      <alignment/>
    </xf>
    <xf numFmtId="0"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0" fontId="4" fillId="0" borderId="0" xfId="0" applyFont="1" applyAlignment="1">
      <alignment vertical="top"/>
    </xf>
    <xf numFmtId="0" fontId="4" fillId="0" borderId="0" xfId="404" applyFont="1" applyAlignment="1">
      <alignment vertical="top"/>
      <protection/>
    </xf>
    <xf numFmtId="0" fontId="21" fillId="0" borderId="0" xfId="0" applyNumberFormat="1" applyFont="1" applyAlignment="1">
      <alignment vertical="top"/>
    </xf>
    <xf numFmtId="0" fontId="21" fillId="0" borderId="0" xfId="0" applyFont="1" applyAlignment="1">
      <alignment/>
    </xf>
    <xf numFmtId="0" fontId="4" fillId="0" borderId="0" xfId="404" applyFont="1">
      <alignment/>
      <protection/>
    </xf>
    <xf numFmtId="164" fontId="4" fillId="34" borderId="11" xfId="0" applyNumberFormat="1" applyFont="1" applyFill="1" applyBorder="1" applyAlignment="1" applyProtection="1">
      <alignment/>
      <protection locked="0"/>
    </xf>
    <xf numFmtId="0" fontId="4" fillId="0" borderId="0" xfId="0" applyFont="1" applyAlignment="1">
      <alignment horizontal="right"/>
    </xf>
    <xf numFmtId="166" fontId="4" fillId="34" borderId="0" xfId="0" applyNumberFormat="1" applyFont="1" applyFill="1" applyAlignment="1" applyProtection="1">
      <alignment horizontal="center"/>
      <protection/>
    </xf>
    <xf numFmtId="37" fontId="4"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0"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9"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6" borderId="0" xfId="0" applyFont="1" applyFill="1" applyAlignment="1">
      <alignment vertical="center" wrapText="1"/>
    </xf>
    <xf numFmtId="0" fontId="4" fillId="37"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3" borderId="10" xfId="0" applyFont="1" applyFill="1" applyBorder="1" applyAlignment="1" applyProtection="1">
      <alignment vertical="center"/>
      <protection/>
    </xf>
    <xf numFmtId="37" fontId="4" fillId="33" borderId="10"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6" borderId="16" xfId="0" applyFont="1" applyFill="1" applyBorder="1" applyAlignment="1" applyProtection="1">
      <alignment horizontal="center" vertical="center"/>
      <protection/>
    </xf>
    <xf numFmtId="37" fontId="4" fillId="36" borderId="16" xfId="0" applyNumberFormat="1" applyFont="1" applyFill="1" applyBorder="1" applyAlignment="1" applyProtection="1">
      <alignment horizontal="center" vertical="center"/>
      <protection/>
    </xf>
    <xf numFmtId="0" fontId="4" fillId="36" borderId="16"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6" borderId="17"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wrapText="1"/>
      <protection locked="0"/>
    </xf>
    <xf numFmtId="164" fontId="4" fillId="33" borderId="11" xfId="0" applyNumberFormat="1" applyFont="1" applyFill="1" applyBorder="1" applyAlignment="1" applyProtection="1">
      <alignment vertical="center"/>
      <protection locked="0"/>
    </xf>
    <xf numFmtId="0" fontId="4" fillId="34" borderId="11" xfId="0"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locked="0"/>
    </xf>
    <xf numFmtId="0" fontId="4" fillId="33" borderId="11" xfId="0" applyFont="1" applyFill="1" applyBorder="1" applyAlignment="1" applyProtection="1">
      <alignment horizontal="left" vertical="center"/>
      <protection locked="0"/>
    </xf>
    <xf numFmtId="0" fontId="4" fillId="33"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0" fontId="4" fillId="34" borderId="15" xfId="0" applyFont="1" applyFill="1" applyBorder="1" applyAlignment="1" applyProtection="1">
      <alignment vertical="center"/>
      <protection/>
    </xf>
    <xf numFmtId="3" fontId="4" fillId="35" borderId="15" xfId="0" applyNumberFormat="1" applyFont="1" applyFill="1" applyBorder="1" applyAlignment="1" applyProtection="1">
      <alignment vertical="center"/>
      <protection/>
    </xf>
    <xf numFmtId="164" fontId="4" fillId="35" borderId="11" xfId="0" applyNumberFormat="1" applyFont="1" applyFill="1" applyBorder="1" applyAlignment="1" applyProtection="1">
      <alignment vertical="center"/>
      <protection/>
    </xf>
    <xf numFmtId="164" fontId="4" fillId="34" borderId="10" xfId="0" applyNumberFormat="1" applyFont="1" applyFill="1" applyBorder="1" applyAlignment="1" applyProtection="1">
      <alignment vertical="center"/>
      <protection locked="0"/>
    </xf>
    <xf numFmtId="0" fontId="4" fillId="34" borderId="18" xfId="0" applyFont="1" applyFill="1" applyBorder="1" applyAlignment="1" applyProtection="1">
      <alignment vertical="center"/>
      <protection/>
    </xf>
    <xf numFmtId="3" fontId="4" fillId="35" borderId="11"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1" xfId="0" applyNumberFormat="1" applyFont="1" applyFill="1" applyBorder="1" applyAlignment="1" applyProtection="1">
      <alignment vertical="center"/>
      <protection/>
    </xf>
    <xf numFmtId="37" fontId="4" fillId="36" borderId="10" xfId="0" applyNumberFormat="1" applyFont="1" applyFill="1" applyBorder="1" applyAlignment="1" applyProtection="1">
      <alignment horizontal="left" vertical="center"/>
      <protection/>
    </xf>
    <xf numFmtId="0" fontId="4" fillId="36" borderId="10" xfId="0" applyFont="1" applyFill="1" applyBorder="1" applyAlignment="1" applyProtection="1">
      <alignment vertical="center"/>
      <protection/>
    </xf>
    <xf numFmtId="37" fontId="4" fillId="36" borderId="14" xfId="0" applyNumberFormat="1" applyFont="1" applyFill="1" applyBorder="1" applyAlignment="1" applyProtection="1">
      <alignment horizontal="left" vertical="center"/>
      <protection/>
    </xf>
    <xf numFmtId="0" fontId="4" fillId="36" borderId="14" xfId="0" applyFont="1" applyFill="1" applyBorder="1" applyAlignment="1" applyProtection="1">
      <alignment vertical="center"/>
      <protection/>
    </xf>
    <xf numFmtId="0" fontId="4" fillId="34" borderId="14"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23"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8" borderId="10"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4"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4" xfId="0" applyNumberFormat="1" applyFont="1" applyFill="1" applyBorder="1" applyAlignment="1" applyProtection="1">
      <alignment horizontal="left" vertical="center"/>
      <protection/>
    </xf>
    <xf numFmtId="37" fontId="4" fillId="33" borderId="11" xfId="0" applyNumberFormat="1" applyFont="1" applyFill="1" applyBorder="1" applyAlignment="1" applyProtection="1">
      <alignment vertical="center"/>
      <protection locked="0"/>
    </xf>
    <xf numFmtId="37" fontId="4" fillId="34" borderId="13" xfId="0" applyNumberFormat="1" applyFont="1" applyFill="1" applyBorder="1" applyAlignment="1" applyProtection="1">
      <alignment horizontal="left" vertical="center"/>
      <protection/>
    </xf>
    <xf numFmtId="3" fontId="4" fillId="34" borderId="18" xfId="0" applyNumberFormat="1"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0" fontId="0" fillId="34" borderId="0" xfId="0" applyFill="1" applyAlignment="1">
      <alignment vertical="center"/>
    </xf>
    <xf numFmtId="0" fontId="4" fillId="36" borderId="16" xfId="0" applyFont="1" applyFill="1" applyBorder="1" applyAlignment="1">
      <alignment horizontal="center" vertical="center"/>
    </xf>
    <xf numFmtId="0" fontId="4" fillId="36" borderId="12" xfId="0" applyFont="1" applyFill="1" applyBorder="1" applyAlignment="1">
      <alignment horizontal="center" vertical="center"/>
    </xf>
    <xf numFmtId="0" fontId="24" fillId="34" borderId="0" xfId="0" applyFont="1" applyFill="1" applyAlignment="1">
      <alignment vertical="center"/>
    </xf>
    <xf numFmtId="0" fontId="30" fillId="34" borderId="0" xfId="0" applyFont="1" applyFill="1" applyAlignment="1">
      <alignment vertical="center"/>
    </xf>
    <xf numFmtId="0" fontId="4" fillId="36" borderId="17" xfId="0" applyFont="1" applyFill="1" applyBorder="1" applyAlignment="1">
      <alignment horizontal="center" vertical="center"/>
    </xf>
    <xf numFmtId="37" fontId="4" fillId="34" borderId="17" xfId="0" applyNumberFormat="1" applyFont="1" applyFill="1" applyBorder="1" applyAlignment="1">
      <alignment vertical="center"/>
    </xf>
    <xf numFmtId="3" fontId="4" fillId="33" borderId="17" xfId="0" applyNumberFormat="1" applyFont="1" applyFill="1" applyBorder="1" applyAlignment="1" applyProtection="1">
      <alignment vertical="center"/>
      <protection locked="0"/>
    </xf>
    <xf numFmtId="0" fontId="18" fillId="34" borderId="0" xfId="0" applyFont="1" applyFill="1" applyAlignment="1">
      <alignment vertical="center"/>
    </xf>
    <xf numFmtId="0" fontId="18" fillId="0" borderId="0" xfId="0" applyFont="1" applyAlignment="1">
      <alignment vertical="center"/>
    </xf>
    <xf numFmtId="0" fontId="18" fillId="34" borderId="0" xfId="0" applyFont="1" applyFill="1" applyAlignment="1" applyProtection="1">
      <alignment vertical="center"/>
      <protection/>
    </xf>
    <xf numFmtId="0" fontId="0" fillId="0" borderId="0" xfId="0" applyAlignment="1">
      <alignment vertical="center"/>
    </xf>
    <xf numFmtId="37" fontId="18" fillId="34" borderId="0" xfId="0" applyNumberFormat="1" applyFont="1" applyFill="1" applyAlignment="1" applyProtection="1">
      <alignment horizontal="centerContinuous" vertical="center"/>
      <protection/>
    </xf>
    <xf numFmtId="0" fontId="18"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left" vertical="center"/>
      <protection/>
    </xf>
    <xf numFmtId="37" fontId="18" fillId="34" borderId="0" xfId="0" applyNumberFormat="1" applyFont="1" applyFill="1" applyAlignment="1" applyProtection="1">
      <alignment horizontal="fill" vertical="center"/>
      <protection/>
    </xf>
    <xf numFmtId="37" fontId="18" fillId="34" borderId="13" xfId="0" applyNumberFormat="1" applyFont="1" applyFill="1" applyBorder="1" applyAlignment="1" applyProtection="1">
      <alignment horizontal="centerContinuous" vertical="center"/>
      <protection/>
    </xf>
    <xf numFmtId="0" fontId="18" fillId="34" borderId="14" xfId="0" applyFont="1" applyFill="1" applyBorder="1" applyAlignment="1" applyProtection="1">
      <alignment horizontal="centerContinuous" vertical="center"/>
      <protection/>
    </xf>
    <xf numFmtId="0" fontId="18" fillId="34" borderId="15" xfId="0" applyFont="1" applyFill="1" applyBorder="1" applyAlignment="1" applyProtection="1">
      <alignment horizontal="centerContinuous" vertical="center"/>
      <protection/>
    </xf>
    <xf numFmtId="37" fontId="18" fillId="34" borderId="16" xfId="0" applyNumberFormat="1" applyFont="1" applyFill="1" applyBorder="1" applyAlignment="1" applyProtection="1">
      <alignment horizontal="center" vertical="center"/>
      <protection/>
    </xf>
    <xf numFmtId="37" fontId="19" fillId="34" borderId="10" xfId="0" applyNumberFormat="1" applyFont="1" applyFill="1" applyBorder="1" applyAlignment="1" applyProtection="1">
      <alignment horizontal="left" vertical="center"/>
      <protection/>
    </xf>
    <xf numFmtId="0" fontId="18" fillId="34" borderId="10" xfId="0" applyFont="1" applyFill="1" applyBorder="1" applyAlignment="1" applyProtection="1">
      <alignment vertical="center"/>
      <protection/>
    </xf>
    <xf numFmtId="37" fontId="18" fillId="34" borderId="17" xfId="0" applyNumberFormat="1" applyFont="1" applyFill="1" applyBorder="1" applyAlignment="1" applyProtection="1">
      <alignment horizontal="center" vertical="center"/>
      <protection/>
    </xf>
    <xf numFmtId="37" fontId="18" fillId="34" borderId="11" xfId="0" applyNumberFormat="1" applyFont="1" applyFill="1" applyBorder="1" applyAlignment="1" applyProtection="1">
      <alignment horizontal="left" vertical="center"/>
      <protection/>
    </xf>
    <xf numFmtId="37" fontId="18" fillId="34" borderId="12" xfId="0" applyNumberFormat="1" applyFont="1" applyFill="1" applyBorder="1" applyAlignment="1" applyProtection="1">
      <alignment horizontal="center" vertical="center"/>
      <protection/>
    </xf>
    <xf numFmtId="0" fontId="18" fillId="34" borderId="0" xfId="0" applyFont="1" applyFill="1" applyBorder="1" applyAlignment="1" applyProtection="1">
      <alignment vertical="center"/>
      <protection/>
    </xf>
    <xf numFmtId="37" fontId="18" fillId="34" borderId="13" xfId="0" applyNumberFormat="1" applyFont="1" applyFill="1" applyBorder="1" applyAlignment="1" applyProtection="1">
      <alignment horizontal="left" vertical="center"/>
      <protection/>
    </xf>
    <xf numFmtId="0" fontId="18" fillId="34" borderId="15" xfId="0" applyFont="1" applyFill="1" applyBorder="1" applyAlignment="1" applyProtection="1">
      <alignment vertical="center"/>
      <protection/>
    </xf>
    <xf numFmtId="37" fontId="18" fillId="34" borderId="18" xfId="0" applyNumberFormat="1" applyFont="1" applyFill="1" applyBorder="1" applyAlignment="1" applyProtection="1">
      <alignment horizontal="center" vertical="center"/>
      <protection/>
    </xf>
    <xf numFmtId="37" fontId="18" fillId="34" borderId="11" xfId="0" applyNumberFormat="1" applyFont="1" applyFill="1" applyBorder="1" applyAlignment="1" applyProtection="1">
      <alignment horizontal="center" vertical="center"/>
      <protection/>
    </xf>
    <xf numFmtId="0" fontId="18" fillId="34" borderId="12" xfId="0" applyFont="1" applyFill="1" applyBorder="1" applyAlignment="1" applyProtection="1">
      <alignment vertical="center"/>
      <protection/>
    </xf>
    <xf numFmtId="37" fontId="18" fillId="34" borderId="15" xfId="0" applyNumberFormat="1" applyFont="1" applyFill="1" applyBorder="1" applyAlignment="1" applyProtection="1">
      <alignment horizontal="center" vertical="center"/>
      <protection/>
    </xf>
    <xf numFmtId="37" fontId="28" fillId="34" borderId="17" xfId="0" applyNumberFormat="1" applyFont="1" applyFill="1" applyBorder="1" applyAlignment="1" applyProtection="1">
      <alignment horizontal="left" vertical="center"/>
      <protection/>
    </xf>
    <xf numFmtId="37" fontId="28" fillId="34" borderId="17" xfId="0" applyNumberFormat="1" applyFont="1" applyFill="1" applyBorder="1" applyAlignment="1" applyProtection="1">
      <alignment horizontal="center" vertical="center"/>
      <protection/>
    </xf>
    <xf numFmtId="0" fontId="18" fillId="34" borderId="11" xfId="0" applyFont="1" applyFill="1" applyBorder="1" applyAlignment="1" applyProtection="1">
      <alignment vertical="center"/>
      <protection/>
    </xf>
    <xf numFmtId="0" fontId="18" fillId="34" borderId="17" xfId="0" applyFont="1" applyFill="1" applyBorder="1" applyAlignment="1" applyProtection="1">
      <alignment vertical="center"/>
      <protection/>
    </xf>
    <xf numFmtId="37" fontId="18" fillId="34" borderId="13" xfId="0" applyNumberFormat="1" applyFont="1" applyFill="1" applyBorder="1" applyAlignment="1" applyProtection="1">
      <alignment horizontal="center" vertical="center"/>
      <protection/>
    </xf>
    <xf numFmtId="37" fontId="18" fillId="34" borderId="11" xfId="0" applyNumberFormat="1" applyFont="1" applyFill="1" applyBorder="1" applyAlignment="1" applyProtection="1">
      <alignment vertical="center"/>
      <protection/>
    </xf>
    <xf numFmtId="183"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horizontal="center" vertical="center"/>
      <protection/>
    </xf>
    <xf numFmtId="0" fontId="18" fillId="34" borderId="11" xfId="0" applyFont="1" applyFill="1" applyBorder="1" applyAlignment="1" applyProtection="1">
      <alignment horizontal="center" vertical="center"/>
      <protection/>
    </xf>
    <xf numFmtId="0" fontId="18" fillId="34" borderId="16" xfId="0" applyFont="1" applyFill="1" applyBorder="1" applyAlignment="1" applyProtection="1">
      <alignment vertical="center"/>
      <protection/>
    </xf>
    <xf numFmtId="37" fontId="19" fillId="34" borderId="16" xfId="0" applyNumberFormat="1" applyFont="1" applyFill="1" applyBorder="1" applyAlignment="1" applyProtection="1">
      <alignment horizontal="left" vertical="center"/>
      <protection/>
    </xf>
    <xf numFmtId="37" fontId="18" fillId="34" borderId="19" xfId="0" applyNumberFormat="1" applyFont="1" applyFill="1" applyBorder="1" applyAlignment="1" applyProtection="1">
      <alignment horizontal="left" vertical="center"/>
      <protection/>
    </xf>
    <xf numFmtId="0" fontId="18" fillId="34" borderId="20" xfId="0" applyFont="1" applyFill="1" applyBorder="1" applyAlignment="1" applyProtection="1">
      <alignment vertical="center"/>
      <protection/>
    </xf>
    <xf numFmtId="37" fontId="18" fillId="34" borderId="0"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0" fontId="4" fillId="39" borderId="11" xfId="0" applyFont="1" applyFill="1" applyBorder="1" applyAlignment="1">
      <alignment horizontal="center" vertical="center" shrinkToFit="1"/>
    </xf>
    <xf numFmtId="0" fontId="24" fillId="39" borderId="15" xfId="0" applyFont="1" applyFill="1" applyBorder="1" applyAlignment="1" applyProtection="1">
      <alignment horizontal="center" vertical="center"/>
      <protection/>
    </xf>
    <xf numFmtId="3" fontId="18" fillId="33" borderId="11" xfId="0" applyNumberFormat="1" applyFont="1" applyFill="1" applyBorder="1" applyAlignment="1" applyProtection="1">
      <alignment vertical="center"/>
      <protection locked="0"/>
    </xf>
    <xf numFmtId="37" fontId="18" fillId="34" borderId="15" xfId="0" applyNumberFormat="1" applyFont="1" applyFill="1" applyBorder="1" applyAlignment="1" applyProtection="1">
      <alignment horizontal="fill" vertical="center"/>
      <protection/>
    </xf>
    <xf numFmtId="37" fontId="18" fillId="34" borderId="0" xfId="0" applyNumberFormat="1" applyFont="1" applyFill="1" applyAlignment="1" applyProtection="1">
      <alignment horizontal="right" vertical="center"/>
      <protection/>
    </xf>
    <xf numFmtId="0" fontId="18" fillId="33" borderId="10" xfId="0" applyFont="1" applyFill="1" applyBorder="1" applyAlignment="1" applyProtection="1">
      <alignment vertical="center"/>
      <protection locked="0"/>
    </xf>
    <xf numFmtId="0" fontId="18" fillId="33" borderId="14" xfId="0" applyFont="1" applyFill="1" applyBorder="1" applyAlignment="1" applyProtection="1">
      <alignment vertical="center"/>
      <protection locked="0"/>
    </xf>
    <xf numFmtId="0" fontId="18" fillId="34" borderId="0" xfId="0" applyFont="1" applyFill="1" applyAlignment="1" applyProtection="1">
      <alignment horizontal="right" vertical="center"/>
      <protection/>
    </xf>
    <xf numFmtId="0" fontId="18" fillId="34" borderId="0" xfId="0" applyFont="1" applyFill="1" applyAlignment="1" applyProtection="1">
      <alignment horizontal="left" vertical="center"/>
      <protection/>
    </xf>
    <xf numFmtId="0" fontId="18"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3" xfId="0" applyNumberFormat="1"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37" fontId="4" fillId="34" borderId="16"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37" fontId="4"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4" fillId="33" borderId="11" xfId="0" applyNumberFormat="1" applyFont="1" applyFill="1" applyBorder="1" applyAlignment="1" applyProtection="1">
      <alignment horizontal="left" vertical="center"/>
      <protection locked="0"/>
    </xf>
    <xf numFmtId="37" fontId="4" fillId="34" borderId="11" xfId="0" applyNumberFormat="1" applyFont="1" applyFill="1" applyBorder="1" applyAlignment="1" applyProtection="1">
      <alignment horizontal="fill" vertical="center"/>
      <protection/>
    </xf>
    <xf numFmtId="37" fontId="4" fillId="35" borderId="21" xfId="0" applyNumberFormat="1" applyFont="1" applyFill="1" applyBorder="1" applyAlignment="1" applyProtection="1">
      <alignment vertical="center"/>
      <protection/>
    </xf>
    <xf numFmtId="183" fontId="4" fillId="35" borderId="21"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2" xfId="0" applyFont="1" applyFill="1" applyBorder="1" applyAlignment="1" applyProtection="1">
      <alignment vertical="center"/>
      <protection/>
    </xf>
    <xf numFmtId="171"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3" xfId="0" applyNumberFormat="1" applyFont="1" applyFill="1" applyBorder="1" applyAlignment="1" applyProtection="1">
      <alignment vertical="center"/>
      <protection/>
    </xf>
    <xf numFmtId="0" fontId="7" fillId="0" borderId="0" xfId="0" applyFont="1" applyAlignment="1">
      <alignment vertical="center"/>
    </xf>
    <xf numFmtId="37" fontId="4"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3" borderId="17" xfId="0" applyFont="1" applyFill="1" applyBorder="1" applyAlignment="1" applyProtection="1">
      <alignment vertical="center"/>
      <protection locked="0"/>
    </xf>
    <xf numFmtId="175" fontId="4" fillId="33" borderId="17" xfId="42" applyNumberFormat="1" applyFont="1" applyFill="1" applyBorder="1" applyAlignment="1" applyProtection="1">
      <alignment vertical="center"/>
      <protection locked="0"/>
    </xf>
    <xf numFmtId="175" fontId="4" fillId="33" borderId="11" xfId="42" applyNumberFormat="1"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4" fillId="34" borderId="11"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403" applyFont="1" applyFill="1" applyAlignment="1" applyProtection="1">
      <alignment horizontal="centerContinuous" vertical="center"/>
      <protection/>
    </xf>
    <xf numFmtId="0" fontId="4" fillId="34" borderId="10" xfId="0" applyFont="1" applyFill="1" applyBorder="1" applyAlignment="1" applyProtection="1">
      <alignment horizontal="fill" vertical="center"/>
      <protection/>
    </xf>
    <xf numFmtId="0" fontId="4" fillId="34" borderId="16" xfId="0" applyFont="1" applyFill="1" applyBorder="1" applyAlignment="1" applyProtection="1">
      <alignment horizontal="center" vertical="center"/>
      <protection/>
    </xf>
    <xf numFmtId="0" fontId="4" fillId="34" borderId="19" xfId="0" applyFont="1" applyFill="1" applyBorder="1" applyAlignment="1" applyProtection="1">
      <alignment horizontal="centerContinuous" vertical="center"/>
      <protection/>
    </xf>
    <xf numFmtId="0" fontId="4" fillId="34" borderId="20"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 vertical="center"/>
      <protection/>
    </xf>
    <xf numFmtId="1" fontId="4" fillId="34" borderId="27"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left" vertical="center"/>
      <protection/>
    </xf>
    <xf numFmtId="0" fontId="4" fillId="34" borderId="17" xfId="0" applyFont="1" applyFill="1" applyBorder="1" applyAlignment="1" applyProtection="1">
      <alignment horizontal="center" vertical="center"/>
      <protection/>
    </xf>
    <xf numFmtId="2" fontId="4" fillId="34" borderId="11"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0" fontId="4" fillId="33" borderId="11" xfId="0" applyFont="1" applyFill="1" applyBorder="1" applyAlignment="1" applyProtection="1">
      <alignment horizontal="center" vertical="center"/>
      <protection locked="0"/>
    </xf>
    <xf numFmtId="2" fontId="4" fillId="33" borderId="11" xfId="0" applyNumberFormat="1" applyFont="1" applyFill="1" applyBorder="1" applyAlignment="1" applyProtection="1">
      <alignment horizontal="center" vertical="center"/>
      <protection locked="0"/>
    </xf>
    <xf numFmtId="3" fontId="4" fillId="33" borderId="11" xfId="0" applyNumberFormat="1" applyFont="1" applyFill="1" applyBorder="1" applyAlignment="1" applyProtection="1">
      <alignment horizontal="center" vertical="center"/>
      <protection locked="0"/>
    </xf>
    <xf numFmtId="37" fontId="4" fillId="33" borderId="11" xfId="0" applyNumberFormat="1" applyFont="1" applyFill="1" applyBorder="1" applyAlignment="1" applyProtection="1">
      <alignment horizontal="center" vertical="center"/>
      <protection locked="0"/>
    </xf>
    <xf numFmtId="173" fontId="4" fillId="33" borderId="11" xfId="0" applyNumberFormat="1" applyFont="1" applyFill="1" applyBorder="1" applyAlignment="1" applyProtection="1">
      <alignment horizontal="center" vertical="center"/>
      <protection locked="0"/>
    </xf>
    <xf numFmtId="0" fontId="5" fillId="34" borderId="11" xfId="0" applyFont="1" applyFill="1" applyBorder="1" applyAlignment="1" applyProtection="1">
      <alignment horizontal="center" vertical="center"/>
      <protection/>
    </xf>
    <xf numFmtId="172" fontId="5" fillId="34" borderId="11" xfId="0" applyNumberFormat="1" applyFont="1" applyFill="1" applyBorder="1" applyAlignment="1" applyProtection="1">
      <alignment horizontal="center" vertical="center"/>
      <protection/>
    </xf>
    <xf numFmtId="2" fontId="5" fillId="34" borderId="11"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37" fontId="5" fillId="35" borderId="11" xfId="0" applyNumberFormat="1" applyFont="1" applyFill="1" applyBorder="1" applyAlignment="1" applyProtection="1">
      <alignment horizontal="center" vertical="center"/>
      <protection/>
    </xf>
    <xf numFmtId="173" fontId="5" fillId="34" borderId="11" xfId="0" applyNumberFormat="1" applyFont="1" applyFill="1" applyBorder="1" applyAlignment="1" applyProtection="1">
      <alignment horizontal="center" vertical="center"/>
      <protection/>
    </xf>
    <xf numFmtId="172" fontId="4" fillId="34" borderId="11" xfId="0" applyNumberFormat="1" applyFont="1" applyFill="1" applyBorder="1" applyAlignment="1" applyProtection="1">
      <alignment horizontal="center" vertical="center"/>
      <protection/>
    </xf>
    <xf numFmtId="2" fontId="4" fillId="34" borderId="11" xfId="0" applyNumberFormat="1" applyFont="1" applyFill="1" applyBorder="1" applyAlignment="1" applyProtection="1">
      <alignment horizontal="center" vertical="center"/>
      <protection/>
    </xf>
    <xf numFmtId="3" fontId="4" fillId="34" borderId="11" xfId="0" applyNumberFormat="1" applyFont="1" applyFill="1" applyBorder="1" applyAlignment="1" applyProtection="1">
      <alignment horizontal="center" vertical="center"/>
      <protection/>
    </xf>
    <xf numFmtId="173" fontId="4" fillId="34" borderId="11" xfId="0" applyNumberFormat="1" applyFont="1" applyFill="1" applyBorder="1" applyAlignment="1" applyProtection="1">
      <alignment horizontal="center" vertical="center"/>
      <protection/>
    </xf>
    <xf numFmtId="1" fontId="5" fillId="34" borderId="11" xfId="0" applyNumberFormat="1" applyFont="1" applyFill="1" applyBorder="1" applyAlignment="1" applyProtection="1">
      <alignment horizontal="center" vertical="center"/>
      <protection/>
    </xf>
    <xf numFmtId="3" fontId="5" fillId="35" borderId="11" xfId="0" applyNumberFormat="1" applyFont="1" applyFill="1" applyBorder="1" applyAlignment="1" applyProtection="1">
      <alignment horizontal="center" vertical="center"/>
      <protection/>
    </xf>
    <xf numFmtId="1" fontId="4" fillId="34" borderId="11"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8" xfId="0" applyFont="1" applyFill="1" applyBorder="1" applyAlignment="1" applyProtection="1">
      <alignment vertical="center"/>
      <protection/>
    </xf>
    <xf numFmtId="0" fontId="4" fillId="34" borderId="16" xfId="0" applyFont="1" applyFill="1" applyBorder="1" applyAlignment="1" applyProtection="1">
      <alignment vertical="center"/>
      <protection/>
    </xf>
    <xf numFmtId="0" fontId="4" fillId="34" borderId="27"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4" fontId="4" fillId="34" borderId="17" xfId="0" applyNumberFormat="1" applyFont="1" applyFill="1" applyBorder="1" applyAlignment="1" applyProtection="1" quotePrefix="1">
      <alignment horizontal="center" vertical="center"/>
      <protection/>
    </xf>
    <xf numFmtId="0" fontId="4" fillId="33" borderId="11" xfId="0" applyFont="1" applyFill="1" applyBorder="1" applyAlignment="1" applyProtection="1">
      <alignment vertical="center"/>
      <protection locked="0"/>
    </xf>
    <xf numFmtId="1" fontId="4" fillId="33" borderId="11" xfId="0" applyNumberFormat="1" applyFont="1" applyFill="1" applyBorder="1" applyAlignment="1" applyProtection="1">
      <alignment vertical="center"/>
      <protection locked="0"/>
    </xf>
    <xf numFmtId="2" fontId="4" fillId="33" borderId="11" xfId="0" applyNumberFormat="1" applyFont="1" applyFill="1" applyBorder="1" applyAlignment="1" applyProtection="1">
      <alignment vertical="center"/>
      <protection locked="0"/>
    </xf>
    <xf numFmtId="3" fontId="5" fillId="35" borderId="21" xfId="0" applyNumberFormat="1" applyFont="1" applyFill="1" applyBorder="1" applyAlignment="1" applyProtection="1">
      <alignment vertical="center"/>
      <protection/>
    </xf>
    <xf numFmtId="0" fontId="4" fillId="0" borderId="0" xfId="0" applyFont="1" applyBorder="1" applyAlignment="1">
      <alignment vertical="center"/>
    </xf>
    <xf numFmtId="0" fontId="4" fillId="37" borderId="0" xfId="402" applyFont="1" applyFill="1" applyAlignment="1" applyProtection="1">
      <alignment vertical="center"/>
      <protection/>
    </xf>
    <xf numFmtId="0" fontId="4" fillId="37" borderId="0" xfId="0" applyFont="1" applyFill="1" applyAlignment="1" applyProtection="1">
      <alignment vertical="center"/>
      <protection/>
    </xf>
    <xf numFmtId="0" fontId="4" fillId="34" borderId="0" xfId="0" applyFont="1" applyFill="1" applyAlignment="1" applyProtection="1" quotePrefix="1">
      <alignment horizontal="right" vertical="center"/>
      <protection/>
    </xf>
    <xf numFmtId="0" fontId="4" fillId="34" borderId="0" xfId="0" applyFont="1" applyFill="1" applyAlignment="1" applyProtection="1">
      <alignment horizontal="left" vertical="center"/>
      <protection/>
    </xf>
    <xf numFmtId="1" fontId="4" fillId="34" borderId="17"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left" vertical="center"/>
      <protection/>
    </xf>
    <xf numFmtId="3" fontId="4" fillId="33" borderId="15" xfId="0" applyNumberFormat="1" applyFont="1" applyFill="1" applyBorder="1" applyAlignment="1" applyProtection="1">
      <alignment vertical="center"/>
      <protection locked="0"/>
    </xf>
    <xf numFmtId="37" fontId="4" fillId="34" borderId="13"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37" fontId="4" fillId="33" borderId="13" xfId="0" applyNumberFormat="1" applyFont="1" applyFill="1" applyBorder="1" applyAlignment="1" applyProtection="1">
      <alignment vertical="center"/>
      <protection locked="0"/>
    </xf>
    <xf numFmtId="0" fontId="4" fillId="33" borderId="13" xfId="0" applyFont="1" applyFill="1" applyBorder="1" applyAlignment="1" applyProtection="1">
      <alignment horizontal="left" vertical="center"/>
      <protection locked="0"/>
    </xf>
    <xf numFmtId="0" fontId="4" fillId="34" borderId="13" xfId="0" applyFont="1" applyFill="1" applyBorder="1" applyAlignment="1" applyProtection="1">
      <alignment vertical="center"/>
      <protection/>
    </xf>
    <xf numFmtId="3" fontId="24" fillId="40" borderId="20"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left" vertical="center"/>
      <protection/>
    </xf>
    <xf numFmtId="37" fontId="5" fillId="35" borderId="11"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7"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vertical="center"/>
      <protection/>
    </xf>
    <xf numFmtId="37" fontId="4" fillId="39" borderId="11" xfId="0" applyNumberFormat="1" applyFont="1" applyFill="1" applyBorder="1" applyAlignment="1" applyProtection="1">
      <alignment vertical="center"/>
      <protection/>
    </xf>
    <xf numFmtId="0" fontId="4" fillId="33" borderId="13" xfId="0" applyFont="1" applyFill="1" applyBorder="1" applyAlignment="1" applyProtection="1">
      <alignment vertical="center"/>
      <protection locked="0"/>
    </xf>
    <xf numFmtId="37" fontId="4" fillId="35" borderId="11" xfId="0" applyNumberFormat="1" applyFont="1" applyFill="1" applyBorder="1" applyAlignment="1" applyProtection="1">
      <alignment vertical="center"/>
      <protection/>
    </xf>
    <xf numFmtId="0" fontId="24" fillId="0" borderId="0" xfId="0" applyFont="1" applyAlignment="1">
      <alignment vertical="center"/>
    </xf>
    <xf numFmtId="0" fontId="25" fillId="34" borderId="0" xfId="0" applyFont="1" applyFill="1" applyAlignment="1" applyProtection="1">
      <alignment horizontal="center" vertical="center"/>
      <protection/>
    </xf>
    <xf numFmtId="0" fontId="4" fillId="34" borderId="0" xfId="0" applyFont="1" applyFill="1" applyAlignment="1">
      <alignment horizontal="right" vertical="center"/>
    </xf>
    <xf numFmtId="1" fontId="4" fillId="34" borderId="16" xfId="0" applyNumberFormat="1" applyFont="1" applyFill="1" applyBorder="1" applyAlignment="1" applyProtection="1">
      <alignment horizontal="center" vertical="center"/>
      <protection/>
    </xf>
    <xf numFmtId="0" fontId="4" fillId="33" borderId="11" xfId="0" applyFont="1" applyFill="1" applyBorder="1" applyAlignment="1" applyProtection="1">
      <alignment horizontal="left" vertical="center"/>
      <protection locked="0"/>
    </xf>
    <xf numFmtId="37" fontId="4" fillId="35" borderId="16"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5" borderId="0" xfId="0" applyFont="1" applyFill="1" applyAlignment="1" applyProtection="1">
      <alignment horizontal="left" vertical="center"/>
      <protection/>
    </xf>
    <xf numFmtId="37" fontId="5" fillId="39" borderId="21" xfId="0" applyNumberFormat="1" applyFont="1" applyFill="1" applyBorder="1" applyAlignment="1" applyProtection="1">
      <alignment vertical="center"/>
      <protection/>
    </xf>
    <xf numFmtId="0" fontId="24" fillId="37" borderId="0" xfId="0" applyFont="1" applyFill="1" applyAlignment="1">
      <alignment vertical="center"/>
    </xf>
    <xf numFmtId="37" fontId="4" fillId="37" borderId="0" xfId="0" applyNumberFormat="1" applyFont="1" applyFill="1" applyAlignment="1">
      <alignment vertical="center"/>
    </xf>
    <xf numFmtId="37" fontId="4" fillId="0" borderId="0" xfId="0" applyNumberFormat="1" applyFont="1" applyAlignment="1">
      <alignment vertical="center"/>
    </xf>
    <xf numFmtId="166"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 fontId="4" fillId="34" borderId="11" xfId="42" applyNumberFormat="1" applyFont="1" applyFill="1" applyBorder="1" applyAlignment="1" applyProtection="1">
      <alignment horizontal="right" vertical="center"/>
      <protection/>
    </xf>
    <xf numFmtId="37" fontId="4" fillId="34" borderId="27" xfId="0" applyNumberFormat="1" applyFont="1" applyFill="1" applyBorder="1" applyAlignment="1" applyProtection="1">
      <alignment horizontal="left" vertical="center"/>
      <protection/>
    </xf>
    <xf numFmtId="3" fontId="4" fillId="34" borderId="11" xfId="0" applyNumberFormat="1" applyFont="1" applyFill="1" applyBorder="1" applyAlignment="1" applyProtection="1">
      <alignment horizontal="fill" vertical="center"/>
      <protection/>
    </xf>
    <xf numFmtId="3" fontId="4" fillId="33" borderId="11" xfId="0" applyNumberFormat="1" applyFont="1" applyFill="1" applyBorder="1" applyAlignment="1" applyProtection="1">
      <alignment horizontal="right" vertical="center"/>
      <protection locked="0"/>
    </xf>
    <xf numFmtId="3" fontId="4" fillId="34" borderId="11" xfId="0" applyNumberFormat="1" applyFont="1" applyFill="1" applyBorder="1" applyAlignment="1" applyProtection="1">
      <alignment horizontal="right" vertical="center"/>
      <protection/>
    </xf>
    <xf numFmtId="0" fontId="4" fillId="34" borderId="13" xfId="0" applyNumberFormat="1" applyFont="1" applyFill="1" applyBorder="1" applyAlignment="1" applyProtection="1">
      <alignment horizontal="left" vertical="center"/>
      <protection/>
    </xf>
    <xf numFmtId="0" fontId="4" fillId="33" borderId="13" xfId="0" applyNumberFormat="1" applyFont="1" applyFill="1" applyBorder="1" applyAlignment="1" applyProtection="1">
      <alignment horizontal="left" vertical="center"/>
      <protection locked="0"/>
    </xf>
    <xf numFmtId="3" fontId="4" fillId="33" borderId="11"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24" fillId="40" borderId="11" xfId="0" applyNumberFormat="1" applyFont="1" applyFill="1" applyBorder="1" applyAlignment="1" applyProtection="1">
      <alignment horizontal="center" vertical="center"/>
      <protection/>
    </xf>
    <xf numFmtId="3" fontId="5" fillId="35" borderId="17" xfId="0" applyNumberFormat="1" applyFont="1" applyFill="1" applyBorder="1" applyAlignment="1" applyProtection="1">
      <alignment horizontal="right" vertical="center"/>
      <protection/>
    </xf>
    <xf numFmtId="3" fontId="5" fillId="35" borderId="11" xfId="0" applyNumberFormat="1" applyFont="1" applyFill="1" applyBorder="1" applyAlignment="1" applyProtection="1">
      <alignment horizontal="right" vertical="center"/>
      <protection/>
    </xf>
    <xf numFmtId="0" fontId="24" fillId="0" borderId="0" xfId="0" applyFont="1" applyAlignment="1" applyProtection="1">
      <alignment vertical="center"/>
      <protection/>
    </xf>
    <xf numFmtId="3" fontId="4" fillId="39" borderId="11"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3" borderId="13" xfId="0" applyFont="1" applyFill="1" applyBorder="1" applyAlignment="1" applyProtection="1">
      <alignment horizontal="left" vertical="center"/>
      <protection/>
    </xf>
    <xf numFmtId="0" fontId="4" fillId="33" borderId="13" xfId="0" applyFont="1" applyFill="1" applyBorder="1" applyAlignment="1">
      <alignment vertical="center"/>
    </xf>
    <xf numFmtId="3" fontId="5" fillId="35" borderId="11"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37" fontId="4" fillId="33" borderId="13" xfId="0" applyNumberFormat="1" applyFont="1" applyFill="1" applyBorder="1" applyAlignment="1" applyProtection="1">
      <alignment vertical="center"/>
      <protection/>
    </xf>
    <xf numFmtId="0" fontId="24" fillId="37" borderId="0" xfId="0" applyFont="1" applyFill="1" applyAlignment="1" applyProtection="1">
      <alignment vertical="center"/>
      <protection/>
    </xf>
    <xf numFmtId="37" fontId="4" fillId="37" borderId="0" xfId="0" applyNumberFormat="1" applyFont="1" applyFill="1" applyAlignment="1" applyProtection="1">
      <alignment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31" fillId="34" borderId="0" xfId="0" applyFont="1" applyFill="1" applyAlignment="1">
      <alignment horizontal="center" vertical="center"/>
    </xf>
    <xf numFmtId="0" fontId="4" fillId="34" borderId="15" xfId="0" applyFont="1" applyFill="1" applyBorder="1" applyAlignment="1">
      <alignment horizontal="center" vertical="center"/>
    </xf>
    <xf numFmtId="0" fontId="4" fillId="34" borderId="10" xfId="0" applyFont="1" applyFill="1" applyBorder="1" applyAlignment="1">
      <alignment vertical="center"/>
    </xf>
    <xf numFmtId="0" fontId="22" fillId="34" borderId="16" xfId="0" applyFont="1" applyFill="1" applyBorder="1" applyAlignment="1">
      <alignment vertical="center"/>
    </xf>
    <xf numFmtId="0" fontId="22" fillId="34" borderId="15" xfId="0" applyFont="1" applyFill="1" applyBorder="1" applyAlignment="1">
      <alignment horizontal="center" vertical="center"/>
    </xf>
    <xf numFmtId="0" fontId="22" fillId="34" borderId="20" xfId="0" applyFont="1" applyFill="1" applyBorder="1" applyAlignment="1">
      <alignment vertical="center"/>
    </xf>
    <xf numFmtId="0" fontId="22" fillId="34" borderId="11" xfId="0" applyFont="1" applyFill="1" applyBorder="1" applyAlignment="1">
      <alignment horizontal="center" vertical="center"/>
    </xf>
    <xf numFmtId="0" fontId="4" fillId="34" borderId="15" xfId="0" applyFont="1" applyFill="1" applyBorder="1" applyAlignment="1">
      <alignment vertical="center"/>
    </xf>
    <xf numFmtId="0" fontId="4" fillId="34" borderId="11" xfId="0" applyFont="1" applyFill="1" applyBorder="1" applyAlignment="1">
      <alignment horizontal="center" vertical="center"/>
    </xf>
    <xf numFmtId="0" fontId="22" fillId="34" borderId="27" xfId="0" applyFont="1" applyFill="1" applyBorder="1" applyAlignment="1">
      <alignment vertical="center"/>
    </xf>
    <xf numFmtId="3" fontId="22" fillId="33" borderId="11" xfId="0" applyNumberFormat="1" applyFont="1" applyFill="1" applyBorder="1" applyAlignment="1" applyProtection="1">
      <alignment horizontal="center" vertical="center"/>
      <protection locked="0"/>
    </xf>
    <xf numFmtId="0" fontId="22" fillId="34" borderId="10" xfId="0" applyFont="1" applyFill="1" applyBorder="1" applyAlignment="1">
      <alignment vertical="center"/>
    </xf>
    <xf numFmtId="3" fontId="22" fillId="35" borderId="11"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1" xfId="0" applyFont="1" applyFill="1" applyBorder="1" applyAlignment="1" applyProtection="1">
      <alignment vertical="center"/>
      <protection locked="0"/>
    </xf>
    <xf numFmtId="0" fontId="22" fillId="33" borderId="20" xfId="0" applyFont="1" applyFill="1" applyBorder="1" applyAlignment="1" applyProtection="1">
      <alignment vertical="center"/>
      <protection locked="0"/>
    </xf>
    <xf numFmtId="0" fontId="22" fillId="33" borderId="0" xfId="0" applyFont="1" applyFill="1" applyAlignment="1" applyProtection="1">
      <alignment vertical="center"/>
      <protection locked="0"/>
    </xf>
    <xf numFmtId="0" fontId="22" fillId="33" borderId="15" xfId="0" applyFont="1" applyFill="1" applyBorder="1" applyAlignment="1" applyProtection="1">
      <alignment vertical="center"/>
      <protection locked="0"/>
    </xf>
    <xf numFmtId="0" fontId="22" fillId="33" borderId="17" xfId="0" applyFont="1" applyFill="1" applyBorder="1" applyAlignment="1" applyProtection="1">
      <alignment vertical="center"/>
      <protection locked="0"/>
    </xf>
    <xf numFmtId="0" fontId="22" fillId="33" borderId="24" xfId="0" applyFont="1" applyFill="1" applyBorder="1" applyAlignment="1" applyProtection="1">
      <alignment vertical="center"/>
      <protection locked="0"/>
    </xf>
    <xf numFmtId="3" fontId="22" fillId="34" borderId="11" xfId="0" applyNumberFormat="1" applyFont="1" applyFill="1" applyBorder="1" applyAlignment="1">
      <alignment horizontal="center" vertical="center"/>
    </xf>
    <xf numFmtId="3" fontId="27" fillId="39" borderId="11" xfId="0" applyNumberFormat="1" applyFont="1" applyFill="1" applyBorder="1" applyAlignment="1">
      <alignment horizontal="center"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3" fontId="27" fillId="35" borderId="11" xfId="0" applyNumberFormat="1" applyFont="1" applyFill="1" applyBorder="1" applyAlignment="1">
      <alignment horizontal="center" vertical="center"/>
    </xf>
    <xf numFmtId="0" fontId="4" fillId="0" borderId="0" xfId="0" applyFont="1" applyAlignment="1">
      <alignment horizontal="centerContinuous" vertical="center"/>
    </xf>
    <xf numFmtId="0" fontId="4" fillId="34" borderId="16" xfId="0" applyFont="1" applyFill="1" applyBorder="1" applyAlignment="1" applyProtection="1">
      <alignment horizontal="centerContinuous" vertical="center"/>
      <protection/>
    </xf>
    <xf numFmtId="1" fontId="4" fillId="34" borderId="13" xfId="0" applyNumberFormat="1" applyFont="1" applyFill="1" applyBorder="1" applyAlignment="1" applyProtection="1">
      <alignment horizontal="centerContinuous" vertical="center"/>
      <protection/>
    </xf>
    <xf numFmtId="164"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vertical="center"/>
      <protection locked="0"/>
    </xf>
    <xf numFmtId="1" fontId="4" fillId="34" borderId="0" xfId="0" applyNumberFormat="1" applyFont="1" applyFill="1" applyAlignment="1" applyProtection="1">
      <alignment vertical="center"/>
      <protection/>
    </xf>
    <xf numFmtId="1" fontId="6" fillId="34" borderId="0" xfId="0" applyNumberFormat="1" applyFont="1" applyFill="1" applyAlignment="1" applyProtection="1">
      <alignment horizontal="center" vertical="center"/>
      <protection/>
    </xf>
    <xf numFmtId="37" fontId="4" fillId="34" borderId="21" xfId="0" applyNumberFormat="1" applyFont="1" applyFill="1" applyBorder="1" applyAlignment="1" applyProtection="1">
      <alignment vertical="center"/>
      <protection/>
    </xf>
    <xf numFmtId="0" fontId="4" fillId="34" borderId="16"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3" fontId="4" fillId="33" borderId="11" xfId="0" applyNumberFormat="1" applyFont="1" applyFill="1" applyBorder="1" applyAlignment="1" applyProtection="1">
      <alignment horizontal="center" vertical="center"/>
      <protection locked="0"/>
    </xf>
    <xf numFmtId="184" fontId="4" fillId="34" borderId="11" xfId="0" applyNumberFormat="1" applyFont="1" applyFill="1" applyBorder="1" applyAlignment="1" applyProtection="1">
      <alignment horizontal="center" vertical="center"/>
      <protection/>
    </xf>
    <xf numFmtId="3" fontId="4" fillId="33" borderId="16" xfId="0" applyNumberFormat="1" applyFont="1" applyFill="1" applyBorder="1" applyAlignment="1" applyProtection="1">
      <alignment horizontal="center" vertical="center"/>
      <protection locked="0"/>
    </xf>
    <xf numFmtId="3" fontId="4" fillId="34" borderId="21" xfId="0" applyNumberFormat="1" applyFont="1" applyFill="1" applyBorder="1" applyAlignment="1" applyProtection="1">
      <alignment horizontal="center" vertical="center"/>
      <protection/>
    </xf>
    <xf numFmtId="184" fontId="4" fillId="34" borderId="21"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4" fontId="4" fillId="34" borderId="10"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0"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0" fontId="6" fillId="0" borderId="0" xfId="0" applyFont="1" applyAlignment="1">
      <alignment vertical="center"/>
    </xf>
    <xf numFmtId="0" fontId="32" fillId="0" borderId="0" xfId="0" applyFont="1" applyAlignment="1">
      <alignment horizontal="center" vertical="center"/>
    </xf>
    <xf numFmtId="0" fontId="5" fillId="0" borderId="0" xfId="0" applyFont="1" applyAlignment="1">
      <alignment vertical="center" wrapText="1"/>
    </xf>
    <xf numFmtId="3" fontId="37" fillId="39" borderId="0" xfId="0" applyNumberFormat="1" applyFont="1" applyFill="1" applyAlignment="1">
      <alignment horizontal="center" vertical="center"/>
    </xf>
    <xf numFmtId="0" fontId="4" fillId="0" borderId="0" xfId="358" applyNumberFormat="1" applyFont="1" applyAlignment="1">
      <alignment vertical="center" wrapText="1"/>
      <protection/>
    </xf>
    <xf numFmtId="0" fontId="4" fillId="0" borderId="0" xfId="367" applyNumberFormat="1" applyFont="1" applyAlignment="1">
      <alignment vertical="center" wrapText="1"/>
      <protection/>
    </xf>
    <xf numFmtId="0" fontId="4" fillId="0" borderId="0" xfId="374" applyFont="1" applyAlignment="1">
      <alignment vertical="center" wrapText="1"/>
      <protection/>
    </xf>
    <xf numFmtId="0" fontId="4" fillId="0" borderId="0" xfId="186" applyFont="1" applyAlignment="1">
      <alignment vertical="center" wrapText="1"/>
      <protection/>
    </xf>
    <xf numFmtId="0" fontId="0" fillId="0" borderId="0" xfId="0" applyAlignment="1">
      <alignment/>
    </xf>
    <xf numFmtId="37" fontId="18" fillId="34" borderId="0" xfId="0" applyNumberFormat="1" applyFont="1" applyFill="1" applyBorder="1" applyAlignment="1" applyProtection="1">
      <alignment horizontal="left" vertical="center"/>
      <protection/>
    </xf>
    <xf numFmtId="0" fontId="4" fillId="0" borderId="0" xfId="394" applyFont="1" applyAlignment="1">
      <alignment vertical="center"/>
      <protection/>
    </xf>
    <xf numFmtId="37" fontId="18" fillId="34" borderId="0" xfId="0" applyNumberFormat="1" applyFont="1" applyFill="1" applyBorder="1" applyAlignment="1" applyProtection="1">
      <alignment horizontal="fill" vertical="center"/>
      <protection/>
    </xf>
    <xf numFmtId="0" fontId="12" fillId="0" borderId="0" xfId="382" applyFont="1">
      <alignment/>
      <protection/>
    </xf>
    <xf numFmtId="0" fontId="4" fillId="0" borderId="0" xfId="382" applyFont="1" applyAlignment="1">
      <alignment horizontal="left" vertical="center"/>
      <protection/>
    </xf>
    <xf numFmtId="49" fontId="4" fillId="33" borderId="0" xfId="382" applyNumberFormat="1" applyFont="1" applyFill="1" applyAlignment="1" applyProtection="1">
      <alignment horizontal="left" vertical="center"/>
      <protection locked="0"/>
    </xf>
    <xf numFmtId="185" fontId="22" fillId="0" borderId="0" xfId="382" applyNumberFormat="1" applyFont="1" applyAlignment="1">
      <alignment horizontal="left" vertical="center"/>
      <protection/>
    </xf>
    <xf numFmtId="49" fontId="4" fillId="0" borderId="0" xfId="382" applyNumberFormat="1" applyFont="1" applyAlignment="1">
      <alignment horizontal="left" vertical="center"/>
      <protection/>
    </xf>
    <xf numFmtId="0" fontId="22" fillId="0" borderId="0" xfId="382" applyFont="1" applyAlignment="1">
      <alignment horizontal="left" vertical="center"/>
      <protection/>
    </xf>
    <xf numFmtId="186" fontId="22" fillId="0" borderId="0" xfId="382" applyNumberFormat="1" applyFont="1" applyAlignment="1">
      <alignment horizontal="left" vertical="center"/>
      <protection/>
    </xf>
    <xf numFmtId="0" fontId="4" fillId="33" borderId="0" xfId="382" applyFont="1" applyFill="1" applyAlignment="1" applyProtection="1">
      <alignment horizontal="left" vertical="center"/>
      <protection locked="0"/>
    </xf>
    <xf numFmtId="0" fontId="12" fillId="33" borderId="0" xfId="382" applyFont="1" applyFill="1" applyAlignment="1" applyProtection="1">
      <alignment horizontal="left" vertical="center"/>
      <protection locked="0"/>
    </xf>
    <xf numFmtId="0" fontId="6" fillId="0" borderId="0" xfId="122" applyFont="1" applyAlignment="1">
      <alignment vertical="center"/>
      <protection/>
    </xf>
    <xf numFmtId="0" fontId="4" fillId="0" borderId="0" xfId="126" applyFont="1" applyAlignment="1">
      <alignment vertical="center"/>
      <protection/>
    </xf>
    <xf numFmtId="0" fontId="2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3" applyFont="1">
      <alignment/>
      <protection/>
    </xf>
    <xf numFmtId="0" fontId="0" fillId="0" borderId="0" xfId="203" applyFont="1" applyFill="1">
      <alignment/>
      <protection/>
    </xf>
    <xf numFmtId="0" fontId="0" fillId="0" borderId="0" xfId="0" applyFont="1" applyAlignment="1">
      <alignment/>
    </xf>
    <xf numFmtId="0" fontId="1" fillId="0" borderId="0" xfId="0" applyFont="1" applyAlignment="1">
      <alignment horizontal="center"/>
    </xf>
    <xf numFmtId="0" fontId="4" fillId="0" borderId="0" xfId="399" applyFont="1" applyAlignment="1">
      <alignment vertical="center" wrapText="1"/>
      <protection/>
    </xf>
    <xf numFmtId="0" fontId="4" fillId="0" borderId="0" xfId="75" applyFont="1" applyAlignment="1">
      <alignment vertical="center" wrapText="1"/>
      <protection/>
    </xf>
    <xf numFmtId="0" fontId="6" fillId="0" borderId="0" xfId="121" applyFont="1" applyAlignment="1">
      <alignment vertical="center"/>
      <protection/>
    </xf>
    <xf numFmtId="0" fontId="88"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 fontId="22" fillId="35" borderId="17" xfId="0" applyNumberFormat="1" applyFont="1" applyFill="1" applyBorder="1" applyAlignment="1">
      <alignment horizontal="center" vertical="center"/>
    </xf>
    <xf numFmtId="0" fontId="4" fillId="33" borderId="10" xfId="0" applyFont="1" applyFill="1" applyBorder="1" applyAlignment="1" applyProtection="1">
      <alignment vertical="center"/>
      <protection locked="0"/>
    </xf>
    <xf numFmtId="14" fontId="4" fillId="33" borderId="11" xfId="0" applyNumberFormat="1" applyFont="1" applyFill="1" applyBorder="1" applyAlignment="1" applyProtection="1">
      <alignment vertical="center"/>
      <protection locked="0"/>
    </xf>
    <xf numFmtId="14" fontId="4" fillId="33" borderId="11" xfId="0" applyNumberFormat="1" applyFont="1" applyFill="1" applyBorder="1" applyAlignment="1" applyProtection="1">
      <alignment horizontal="center" vertical="center"/>
      <protection locked="0"/>
    </xf>
    <xf numFmtId="37" fontId="4" fillId="41" borderId="11"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24" fillId="40" borderId="13" xfId="0" applyNumberFormat="1" applyFont="1" applyFill="1" applyBorder="1" applyAlignment="1" applyProtection="1">
      <alignment horizontal="center" vertical="center"/>
      <protection/>
    </xf>
    <xf numFmtId="3" fontId="5" fillId="35" borderId="13" xfId="0" applyNumberFormat="1" applyFont="1" applyFill="1" applyBorder="1" applyAlignment="1" applyProtection="1">
      <alignment vertical="center"/>
      <protection/>
    </xf>
    <xf numFmtId="0" fontId="4" fillId="34" borderId="27" xfId="0" applyNumberFormat="1" applyFont="1" applyFill="1" applyBorder="1" applyAlignment="1" applyProtection="1">
      <alignment horizontal="center" vertical="center"/>
      <protection/>
    </xf>
    <xf numFmtId="3" fontId="4" fillId="34" borderId="13" xfId="0" applyNumberFormat="1" applyFont="1" applyFill="1" applyBorder="1" applyAlignment="1" applyProtection="1">
      <alignment vertical="center"/>
      <protection/>
    </xf>
    <xf numFmtId="3" fontId="4" fillId="35" borderId="13" xfId="0" applyNumberFormat="1" applyFont="1" applyFill="1" applyBorder="1" applyAlignment="1" applyProtection="1">
      <alignment vertical="center"/>
      <protection/>
    </xf>
    <xf numFmtId="3" fontId="4" fillId="34" borderId="13" xfId="0" applyNumberFormat="1" applyFont="1" applyFill="1" applyBorder="1" applyAlignment="1" applyProtection="1">
      <alignment horizontal="right" vertical="center"/>
      <protection locked="0"/>
    </xf>
    <xf numFmtId="3" fontId="4" fillId="33" borderId="13" xfId="0" applyNumberFormat="1" applyFont="1" applyFill="1" applyBorder="1" applyAlignment="1" applyProtection="1">
      <alignment horizontal="right" vertical="center"/>
      <protection locked="0"/>
    </xf>
    <xf numFmtId="3" fontId="4" fillId="34" borderId="13" xfId="0" applyNumberFormat="1" applyFont="1" applyFill="1" applyBorder="1" applyAlignment="1" applyProtection="1">
      <alignment horizontal="right" vertical="center"/>
      <protection/>
    </xf>
    <xf numFmtId="3" fontId="4" fillId="34" borderId="13" xfId="42" applyNumberFormat="1" applyFont="1" applyFill="1" applyBorder="1" applyAlignment="1" applyProtection="1">
      <alignment horizontal="right" vertical="center"/>
      <protection/>
    </xf>
    <xf numFmtId="3" fontId="5" fillId="35" borderId="27" xfId="0" applyNumberFormat="1" applyFont="1" applyFill="1" applyBorder="1" applyAlignment="1" applyProtection="1">
      <alignment horizontal="right" vertical="center"/>
      <protection/>
    </xf>
    <xf numFmtId="3" fontId="5" fillId="35" borderId="13" xfId="0" applyNumberFormat="1" applyFont="1" applyFill="1" applyBorder="1" applyAlignment="1" applyProtection="1">
      <alignment horizontal="right" vertical="center"/>
      <protection/>
    </xf>
    <xf numFmtId="3" fontId="4" fillId="35" borderId="13" xfId="0" applyNumberFormat="1" applyFont="1" applyFill="1" applyBorder="1" applyAlignment="1" applyProtection="1">
      <alignment horizontal="right" vertical="center"/>
      <protection/>
    </xf>
    <xf numFmtId="49" fontId="4" fillId="33" borderId="11" xfId="0" applyNumberFormat="1" applyFont="1" applyFill="1" applyBorder="1" applyAlignment="1" applyProtection="1">
      <alignment horizontal="center" vertical="center"/>
      <protection locked="0"/>
    </xf>
    <xf numFmtId="37" fontId="18" fillId="34" borderId="0" xfId="0" applyNumberFormat="1" applyFont="1" applyFill="1" applyAlignment="1" applyProtection="1">
      <alignment horizontal="center" vertical="center"/>
      <protection locked="0"/>
    </xf>
    <xf numFmtId="37" fontId="18" fillId="34" borderId="0" xfId="0" applyNumberFormat="1" applyFont="1" applyFill="1" applyAlignment="1" applyProtection="1">
      <alignment horizontal="left" vertical="center"/>
      <protection locked="0"/>
    </xf>
    <xf numFmtId="0" fontId="18" fillId="36" borderId="11" xfId="0" applyFont="1" applyFill="1" applyBorder="1" applyAlignment="1" applyProtection="1">
      <alignment horizontal="center" vertical="center"/>
      <protection/>
    </xf>
    <xf numFmtId="37" fontId="18" fillId="34" borderId="22" xfId="0" applyNumberFormat="1" applyFont="1" applyFill="1" applyBorder="1" applyAlignment="1" applyProtection="1">
      <alignment horizontal="center" vertical="center"/>
      <protection/>
    </xf>
    <xf numFmtId="0" fontId="45" fillId="0" borderId="0" xfId="0" applyFont="1" applyAlignment="1" applyProtection="1">
      <alignment vertical="center"/>
      <protection/>
    </xf>
    <xf numFmtId="0" fontId="18" fillId="39" borderId="10" xfId="77" applyFont="1" applyFill="1" applyBorder="1" applyAlignment="1" applyProtection="1">
      <alignment vertical="center"/>
      <protection/>
    </xf>
    <xf numFmtId="0" fontId="18" fillId="34" borderId="28" xfId="77" applyFont="1" applyFill="1" applyBorder="1" applyAlignment="1" applyProtection="1">
      <alignment vertical="center"/>
      <protection/>
    </xf>
    <xf numFmtId="0" fontId="4" fillId="39" borderId="18" xfId="77" applyFont="1" applyFill="1" applyBorder="1" applyAlignment="1" applyProtection="1">
      <alignment vertical="center"/>
      <protection/>
    </xf>
    <xf numFmtId="0" fontId="18" fillId="39" borderId="18" xfId="77" applyFont="1" applyFill="1" applyBorder="1" applyAlignment="1" applyProtection="1">
      <alignment vertical="center"/>
      <protection/>
    </xf>
    <xf numFmtId="37" fontId="18" fillId="34" borderId="17" xfId="86" applyNumberFormat="1" applyFont="1" applyFill="1" applyBorder="1" applyAlignment="1" applyProtection="1">
      <alignment horizontal="center" vertical="center"/>
      <protection/>
    </xf>
    <xf numFmtId="37" fontId="18" fillId="34" borderId="12" xfId="86" applyNumberFormat="1" applyFont="1" applyFill="1" applyBorder="1" applyAlignment="1" applyProtection="1">
      <alignment horizontal="center" vertical="center"/>
      <protection/>
    </xf>
    <xf numFmtId="3" fontId="24" fillId="33" borderId="11" xfId="0" applyNumberFormat="1" applyFont="1" applyFill="1" applyBorder="1" applyAlignment="1" applyProtection="1">
      <alignment horizontal="center" vertical="center"/>
      <protection/>
    </xf>
    <xf numFmtId="0" fontId="25" fillId="34" borderId="11" xfId="0" applyFont="1" applyFill="1" applyBorder="1" applyAlignment="1" applyProtection="1">
      <alignment horizontal="center" vertical="center"/>
      <protection/>
    </xf>
    <xf numFmtId="3" fontId="25" fillId="34" borderId="11" xfId="0" applyNumberFormat="1" applyFont="1" applyFill="1" applyBorder="1" applyAlignment="1" applyProtection="1">
      <alignment horizontal="center" vertical="center"/>
      <protection/>
    </xf>
    <xf numFmtId="3" fontId="24" fillId="40" borderId="16"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4" fillId="39" borderId="13" xfId="0" applyNumberFormat="1" applyFont="1" applyFill="1" applyBorder="1" applyAlignment="1" applyProtection="1">
      <alignment vertical="center"/>
      <protection/>
    </xf>
    <xf numFmtId="0" fontId="34" fillId="0" borderId="0" xfId="0" applyFont="1" applyAlignment="1">
      <alignment/>
    </xf>
    <xf numFmtId="0" fontId="33"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5" fillId="0" borderId="0" xfId="0" applyFont="1" applyAlignment="1">
      <alignment wrapText="1"/>
    </xf>
    <xf numFmtId="0" fontId="38" fillId="0" borderId="0" xfId="0" applyFont="1" applyAlignment="1">
      <alignment vertical="center"/>
    </xf>
    <xf numFmtId="0" fontId="39" fillId="0" borderId="0" xfId="0" applyFont="1" applyAlignment="1">
      <alignment horizontal="center"/>
    </xf>
    <xf numFmtId="37" fontId="4" fillId="34" borderId="12" xfId="77" applyNumberFormat="1" applyFont="1" applyFill="1" applyBorder="1" applyAlignment="1" applyProtection="1">
      <alignment horizontal="center" vertical="center"/>
      <protection/>
    </xf>
    <xf numFmtId="37" fontId="4" fillId="34" borderId="17" xfId="77" applyNumberFormat="1" applyFont="1" applyFill="1" applyBorder="1" applyAlignment="1" applyProtection="1">
      <alignment horizontal="center" vertical="center"/>
      <protection/>
    </xf>
    <xf numFmtId="0" fontId="19" fillId="39" borderId="10" xfId="77" applyFont="1" applyFill="1" applyBorder="1" applyAlignment="1" applyProtection="1">
      <alignment vertical="center"/>
      <protection/>
    </xf>
    <xf numFmtId="190" fontId="19" fillId="39" borderId="27" xfId="77" applyNumberFormat="1" applyFont="1" applyFill="1" applyBorder="1" applyAlignment="1" applyProtection="1">
      <alignment horizontal="center" vertical="center"/>
      <protection/>
    </xf>
    <xf numFmtId="190" fontId="18" fillId="34" borderId="28" xfId="77" applyNumberFormat="1" applyFont="1" applyFill="1" applyBorder="1" applyAlignment="1" applyProtection="1">
      <alignment vertical="center"/>
      <protection/>
    </xf>
    <xf numFmtId="190" fontId="18" fillId="34" borderId="27" xfId="77" applyNumberFormat="1" applyFont="1" applyFill="1" applyBorder="1" applyAlignment="1" applyProtection="1">
      <alignment horizontal="center" vertical="center"/>
      <protection/>
    </xf>
    <xf numFmtId="0" fontId="18" fillId="34" borderId="0" xfId="77" applyFont="1" applyFill="1" applyBorder="1" applyAlignment="1" applyProtection="1">
      <alignment vertical="center"/>
      <protection/>
    </xf>
    <xf numFmtId="0" fontId="18" fillId="34" borderId="24" xfId="77" applyFont="1" applyFill="1" applyBorder="1" applyAlignment="1" applyProtection="1">
      <alignment vertical="center"/>
      <protection/>
    </xf>
    <xf numFmtId="0" fontId="18" fillId="34" borderId="0" xfId="77" applyFont="1" applyFill="1" applyBorder="1" applyAlignment="1" applyProtection="1">
      <alignment horizontal="left" vertical="center"/>
      <protection/>
    </xf>
    <xf numFmtId="0" fontId="45" fillId="0" borderId="0" xfId="0" applyFont="1" applyAlignment="1">
      <alignment vertical="center"/>
    </xf>
    <xf numFmtId="190" fontId="18" fillId="34" borderId="28" xfId="77" applyNumberFormat="1" applyFont="1" applyFill="1" applyBorder="1" applyAlignment="1" applyProtection="1">
      <alignment horizontal="center" vertical="center"/>
      <protection/>
    </xf>
    <xf numFmtId="0" fontId="4" fillId="34" borderId="0" xfId="89" applyFont="1" applyFill="1" applyAlignment="1" applyProtection="1">
      <alignment horizontal="right" vertical="center"/>
      <protection/>
    </xf>
    <xf numFmtId="0" fontId="89" fillId="34" borderId="0" xfId="0"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0" fontId="4" fillId="34" borderId="29" xfId="0" applyFont="1" applyFill="1" applyBorder="1" applyAlignment="1" applyProtection="1">
      <alignment vertical="center"/>
      <protection locked="0"/>
    </xf>
    <xf numFmtId="0" fontId="4" fillId="34" borderId="29" xfId="0" applyFont="1" applyFill="1" applyBorder="1" applyAlignment="1" applyProtection="1">
      <alignment vertical="center"/>
      <protection/>
    </xf>
    <xf numFmtId="37" fontId="4" fillId="34" borderId="29"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fill" vertical="center"/>
      <protection/>
    </xf>
    <xf numFmtId="37" fontId="4" fillId="34" borderId="17" xfId="0" applyNumberFormat="1" applyFont="1" applyFill="1" applyBorder="1" applyAlignment="1" applyProtection="1">
      <alignment vertical="center"/>
      <protection/>
    </xf>
    <xf numFmtId="0" fontId="0" fillId="0" borderId="0" xfId="77">
      <alignment/>
      <protection/>
    </xf>
    <xf numFmtId="37" fontId="4" fillId="34" borderId="16" xfId="77" applyNumberFormat="1" applyFont="1" applyFill="1" applyBorder="1" applyAlignment="1" applyProtection="1">
      <alignment horizontal="center"/>
      <protection/>
    </xf>
    <xf numFmtId="37" fontId="4" fillId="34" borderId="17" xfId="77" applyNumberFormat="1" applyFont="1" applyFill="1" applyBorder="1" applyAlignment="1" applyProtection="1">
      <alignment horizontal="center"/>
      <protection/>
    </xf>
    <xf numFmtId="0" fontId="4" fillId="34" borderId="0" xfId="77" applyFont="1" applyFill="1" applyBorder="1" applyAlignment="1" applyProtection="1">
      <alignment vertical="center"/>
      <protection/>
    </xf>
    <xf numFmtId="0" fontId="4" fillId="34" borderId="28" xfId="77" applyFont="1" applyFill="1" applyBorder="1" applyAlignment="1" applyProtection="1">
      <alignment vertical="center"/>
      <protection/>
    </xf>
    <xf numFmtId="0" fontId="4" fillId="34" borderId="24" xfId="77" applyFont="1" applyFill="1" applyBorder="1" applyAlignment="1" applyProtection="1">
      <alignment vertical="center"/>
      <protection/>
    </xf>
    <xf numFmtId="0" fontId="4" fillId="0" borderId="0" xfId="77" applyFont="1" applyFill="1" applyBorder="1" applyAlignment="1" applyProtection="1">
      <alignment vertical="center"/>
      <protection/>
    </xf>
    <xf numFmtId="0" fontId="18" fillId="42" borderId="28" xfId="86" applyFont="1" applyFill="1" applyBorder="1" applyProtection="1">
      <alignment/>
      <protection/>
    </xf>
    <xf numFmtId="0" fontId="4" fillId="42" borderId="0" xfId="86" applyFont="1" applyFill="1" applyBorder="1" applyProtection="1">
      <alignment/>
      <protection/>
    </xf>
    <xf numFmtId="190" fontId="4" fillId="42" borderId="24" xfId="86" applyNumberFormat="1" applyFont="1" applyFill="1" applyBorder="1" applyAlignment="1" applyProtection="1">
      <alignment horizontal="center"/>
      <protection/>
    </xf>
    <xf numFmtId="0" fontId="4" fillId="42" borderId="27" xfId="86" applyFont="1" applyFill="1" applyBorder="1" applyProtection="1">
      <alignment/>
      <protection/>
    </xf>
    <xf numFmtId="0" fontId="4" fillId="42" borderId="10" xfId="86" applyFont="1" applyFill="1" applyBorder="1" applyProtection="1">
      <alignment/>
      <protection/>
    </xf>
    <xf numFmtId="190" fontId="4" fillId="43" borderId="18" xfId="86" applyNumberFormat="1" applyFont="1" applyFill="1" applyBorder="1" applyAlignment="1" applyProtection="1">
      <alignment horizontal="center"/>
      <protection/>
    </xf>
    <xf numFmtId="0" fontId="4" fillId="0" borderId="0" xfId="86" applyFont="1" applyFill="1" applyBorder="1" applyProtection="1">
      <alignment/>
      <protection/>
    </xf>
    <xf numFmtId="0" fontId="4" fillId="42" borderId="28" xfId="86" applyFont="1" applyFill="1" applyBorder="1" applyProtection="1">
      <alignment/>
      <protection/>
    </xf>
    <xf numFmtId="0" fontId="4" fillId="42" borderId="24" xfId="86" applyFont="1" applyFill="1" applyBorder="1" applyProtection="1">
      <alignment/>
      <protection/>
    </xf>
    <xf numFmtId="183" fontId="4" fillId="42" borderId="24" xfId="86" applyNumberFormat="1" applyFont="1" applyFill="1" applyBorder="1" applyAlignment="1" applyProtection="1">
      <alignment horizontal="center"/>
      <protection/>
    </xf>
    <xf numFmtId="0" fontId="4" fillId="43" borderId="28" xfId="86" applyFont="1" applyFill="1" applyBorder="1" applyProtection="1">
      <alignment/>
      <protection/>
    </xf>
    <xf numFmtId="0" fontId="4" fillId="43" borderId="0" xfId="86" applyFont="1" applyFill="1" applyBorder="1" applyProtection="1">
      <alignment/>
      <protection/>
    </xf>
    <xf numFmtId="0" fontId="4" fillId="43" borderId="27" xfId="86" applyFont="1" applyFill="1" applyBorder="1" applyProtection="1">
      <alignment/>
      <protection/>
    </xf>
    <xf numFmtId="0" fontId="4" fillId="43" borderId="10" xfId="86" applyFont="1" applyFill="1" applyBorder="1" applyProtection="1">
      <alignment/>
      <protection/>
    </xf>
    <xf numFmtId="0" fontId="4" fillId="0" borderId="0" xfId="86" applyFont="1" applyProtection="1">
      <alignment/>
      <protection/>
    </xf>
    <xf numFmtId="190" fontId="4" fillId="42" borderId="18" xfId="86" applyNumberFormat="1" applyFont="1" applyFill="1" applyBorder="1" applyAlignment="1" applyProtection="1">
      <alignment horizontal="center"/>
      <protection/>
    </xf>
    <xf numFmtId="184" fontId="4" fillId="41" borderId="24" xfId="86" applyNumberFormat="1" applyFont="1" applyFill="1" applyBorder="1" applyAlignment="1" applyProtection="1">
      <alignment horizontal="center"/>
      <protection locked="0"/>
    </xf>
    <xf numFmtId="37" fontId="4" fillId="44" borderId="21" xfId="0" applyNumberFormat="1" applyFont="1" applyFill="1" applyBorder="1" applyAlignment="1" applyProtection="1">
      <alignment vertical="center"/>
      <protection/>
    </xf>
    <xf numFmtId="0" fontId="34" fillId="0" borderId="0" xfId="0" applyFont="1" applyAlignment="1">
      <alignment vertical="center"/>
    </xf>
    <xf numFmtId="0" fontId="47" fillId="0" borderId="0" xfId="0" applyFont="1" applyBorder="1" applyAlignment="1">
      <alignment horizontal="centerContinuous"/>
    </xf>
    <xf numFmtId="0" fontId="47" fillId="0" borderId="0" xfId="0" applyFont="1" applyBorder="1" applyAlignment="1">
      <alignment/>
    </xf>
    <xf numFmtId="0" fontId="47" fillId="0" borderId="0" xfId="0" applyFont="1" applyAlignment="1">
      <alignment/>
    </xf>
    <xf numFmtId="0" fontId="4" fillId="0" borderId="0" xfId="77" applyFont="1" applyAlignment="1">
      <alignment vertical="center"/>
      <protection/>
    </xf>
    <xf numFmtId="0" fontId="4" fillId="0" borderId="0" xfId="89" applyFont="1" applyAlignment="1">
      <alignment vertical="center"/>
      <protection/>
    </xf>
    <xf numFmtId="0" fontId="4" fillId="0" borderId="0" xfId="77" applyFont="1">
      <alignment/>
      <protection/>
    </xf>
    <xf numFmtId="0" fontId="48" fillId="0" borderId="0" xfId="77" applyFont="1" applyAlignment="1">
      <alignment horizontal="center"/>
      <protection/>
    </xf>
    <xf numFmtId="0" fontId="4" fillId="0" borderId="0" xfId="77" applyFont="1" applyAlignment="1">
      <alignment wrapText="1"/>
      <protection/>
    </xf>
    <xf numFmtId="0" fontId="49" fillId="0" borderId="0" xfId="66" applyFont="1" applyAlignment="1" applyProtection="1">
      <alignment/>
      <protection/>
    </xf>
    <xf numFmtId="0" fontId="8" fillId="34" borderId="17" xfId="0" applyNumberFormat="1" applyFont="1" applyFill="1" applyBorder="1" applyAlignment="1" applyProtection="1">
      <alignment horizontal="center" vertical="center"/>
      <protection/>
    </xf>
    <xf numFmtId="0" fontId="4" fillId="0" borderId="0" xfId="89" applyFont="1" applyAlignment="1">
      <alignment vertical="center" wrapText="1"/>
      <protection/>
    </xf>
    <xf numFmtId="0" fontId="90" fillId="42" borderId="0" xfId="0" applyFont="1" applyFill="1" applyAlignment="1">
      <alignment/>
    </xf>
    <xf numFmtId="0" fontId="90" fillId="42" borderId="30" xfId="0" applyFont="1" applyFill="1" applyBorder="1" applyAlignment="1">
      <alignment/>
    </xf>
    <xf numFmtId="0" fontId="91" fillId="0" borderId="0" xfId="0" applyFont="1" applyBorder="1" applyAlignment="1">
      <alignment/>
    </xf>
    <xf numFmtId="0" fontId="90" fillId="0" borderId="0" xfId="0" applyFont="1" applyBorder="1" applyAlignment="1">
      <alignment horizontal="centerContinuous"/>
    </xf>
    <xf numFmtId="0" fontId="90" fillId="42" borderId="30" xfId="0" applyFont="1" applyFill="1" applyBorder="1" applyAlignment="1">
      <alignment/>
    </xf>
    <xf numFmtId="0" fontId="90" fillId="42" borderId="31" xfId="0" applyFont="1" applyFill="1" applyBorder="1" applyAlignment="1">
      <alignment horizontal="centerContinuous" vertical="center"/>
    </xf>
    <xf numFmtId="190"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4" fontId="90" fillId="42" borderId="0" xfId="0" applyNumberFormat="1" applyFont="1" applyFill="1" applyBorder="1" applyAlignment="1" applyProtection="1">
      <alignment horizontal="centerContinuous" vertical="center"/>
      <protection locked="0"/>
    </xf>
    <xf numFmtId="191" fontId="90" fillId="42" borderId="0" xfId="0" applyNumberFormat="1" applyFont="1" applyFill="1" applyBorder="1" applyAlignment="1">
      <alignment horizontal="centerContinuous" vertical="center"/>
    </xf>
    <xf numFmtId="0" fontId="90" fillId="42" borderId="32" xfId="0" applyFont="1" applyFill="1" applyBorder="1" applyAlignment="1">
      <alignment horizontal="centerContinuous" vertical="center"/>
    </xf>
    <xf numFmtId="0" fontId="90" fillId="42" borderId="31" xfId="0" applyFont="1" applyFill="1" applyBorder="1" applyAlignment="1">
      <alignment horizontal="centerContinuous"/>
    </xf>
    <xf numFmtId="190"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4" fontId="90" fillId="42" borderId="0" xfId="0" applyNumberFormat="1" applyFont="1" applyFill="1" applyBorder="1" applyAlignment="1" applyProtection="1">
      <alignment horizontal="centerContinuous"/>
      <protection locked="0"/>
    </xf>
    <xf numFmtId="191" fontId="90" fillId="42" borderId="0" xfId="0" applyNumberFormat="1" applyFont="1" applyFill="1" applyBorder="1" applyAlignment="1">
      <alignment horizontal="centerContinuous"/>
    </xf>
    <xf numFmtId="0" fontId="90" fillId="42" borderId="32" xfId="0" applyFont="1" applyFill="1" applyBorder="1" applyAlignment="1">
      <alignment horizontal="centerContinuous"/>
    </xf>
    <xf numFmtId="0" fontId="47" fillId="45" borderId="0" xfId="0" applyFont="1" applyFill="1" applyAlignment="1">
      <alignment/>
    </xf>
    <xf numFmtId="0" fontId="47" fillId="42" borderId="0" xfId="0" applyFont="1" applyFill="1" applyAlignment="1">
      <alignment/>
    </xf>
    <xf numFmtId="0" fontId="90" fillId="45" borderId="0" xfId="0" applyFont="1" applyFill="1" applyAlignment="1">
      <alignment horizontal="center" wrapText="1"/>
    </xf>
    <xf numFmtId="0" fontId="47" fillId="42" borderId="0" xfId="0" applyFont="1" applyFill="1" applyAlignment="1">
      <alignment horizontal="center"/>
    </xf>
    <xf numFmtId="0" fontId="47" fillId="42" borderId="33" xfId="0" applyFont="1" applyFill="1" applyBorder="1" applyAlignment="1">
      <alignment/>
    </xf>
    <xf numFmtId="0" fontId="47" fillId="42" borderId="34" xfId="0" applyFont="1" applyFill="1" applyBorder="1" applyAlignment="1">
      <alignment/>
    </xf>
    <xf numFmtId="190" fontId="47" fillId="42" borderId="35" xfId="0" applyNumberFormat="1" applyFont="1" applyFill="1" applyBorder="1" applyAlignment="1">
      <alignment/>
    </xf>
    <xf numFmtId="0" fontId="47" fillId="42" borderId="0" xfId="0" applyFont="1" applyFill="1" applyBorder="1" applyAlignment="1">
      <alignment/>
    </xf>
    <xf numFmtId="190" fontId="47" fillId="42" borderId="10" xfId="0" applyNumberFormat="1" applyFont="1" applyFill="1" applyBorder="1" applyAlignment="1">
      <alignment horizontal="center"/>
    </xf>
    <xf numFmtId="0" fontId="47" fillId="42" borderId="32" xfId="0" applyFont="1" applyFill="1" applyBorder="1" applyAlignment="1">
      <alignment/>
    </xf>
    <xf numFmtId="0" fontId="47" fillId="42" borderId="36" xfId="0" applyFont="1" applyFill="1" applyBorder="1" applyAlignment="1">
      <alignment/>
    </xf>
    <xf numFmtId="0" fontId="47" fillId="42" borderId="37" xfId="0" applyFont="1" applyFill="1" applyBorder="1" applyAlignment="1">
      <alignment/>
    </xf>
    <xf numFmtId="0" fontId="47" fillId="42" borderId="38" xfId="0" applyFont="1" applyFill="1" applyBorder="1" applyAlignment="1">
      <alignment/>
    </xf>
    <xf numFmtId="190" fontId="47" fillId="42" borderId="0" xfId="0" applyNumberFormat="1" applyFont="1" applyFill="1" applyAlignment="1">
      <alignment/>
    </xf>
    <xf numFmtId="0" fontId="47" fillId="42" borderId="30" xfId="0" applyFont="1" applyFill="1" applyBorder="1" applyAlignment="1">
      <alignment/>
    </xf>
    <xf numFmtId="0" fontId="47" fillId="42" borderId="31" xfId="0" applyFont="1" applyFill="1" applyBorder="1" applyAlignment="1">
      <alignment/>
    </xf>
    <xf numFmtId="190" fontId="47" fillId="41" borderId="35" xfId="0" applyNumberFormat="1" applyFont="1" applyFill="1" applyBorder="1" applyAlignment="1" applyProtection="1">
      <alignment horizontal="center"/>
      <protection locked="0"/>
    </xf>
    <xf numFmtId="184" fontId="47" fillId="42" borderId="0" xfId="0" applyNumberFormat="1" applyFont="1" applyFill="1" applyBorder="1" applyAlignment="1">
      <alignment horizontal="center"/>
    </xf>
    <xf numFmtId="190" fontId="47" fillId="0" borderId="0" xfId="0" applyNumberFormat="1" applyFont="1" applyAlignment="1">
      <alignment/>
    </xf>
    <xf numFmtId="0" fontId="47" fillId="45" borderId="0" xfId="0" applyFont="1" applyFill="1" applyBorder="1" applyAlignment="1">
      <alignment/>
    </xf>
    <xf numFmtId="0" fontId="47" fillId="42" borderId="39" xfId="0" applyFont="1" applyFill="1" applyBorder="1" applyAlignment="1">
      <alignment/>
    </xf>
    <xf numFmtId="0" fontId="47" fillId="42" borderId="22" xfId="0" applyFont="1" applyFill="1" applyBorder="1" applyAlignment="1">
      <alignment/>
    </xf>
    <xf numFmtId="0" fontId="47" fillId="42" borderId="40" xfId="0" applyFont="1" applyFill="1" applyBorder="1" applyAlignment="1">
      <alignment/>
    </xf>
    <xf numFmtId="5" fontId="47" fillId="42" borderId="37" xfId="0" applyNumberFormat="1" applyFont="1" applyFill="1" applyBorder="1" applyAlignment="1">
      <alignment horizontal="center"/>
    </xf>
    <xf numFmtId="0" fontId="47" fillId="42" borderId="37" xfId="0" applyFont="1" applyFill="1" applyBorder="1" applyAlignment="1">
      <alignment horizontal="center"/>
    </xf>
    <xf numFmtId="184" fontId="47" fillId="42" borderId="37" xfId="0" applyNumberFormat="1" applyFont="1" applyFill="1" applyBorder="1" applyAlignment="1">
      <alignment horizontal="center"/>
    </xf>
    <xf numFmtId="191" fontId="47" fillId="42" borderId="37" xfId="0" applyNumberFormat="1" applyFont="1" applyFill="1" applyBorder="1" applyAlignment="1">
      <alignment horizontal="center"/>
    </xf>
    <xf numFmtId="0" fontId="47" fillId="42" borderId="0" xfId="0" applyFont="1" applyFill="1" applyAlignment="1">
      <alignment horizontal="center" wrapText="1"/>
    </xf>
    <xf numFmtId="0" fontId="47" fillId="42" borderId="33" xfId="0" applyFont="1" applyFill="1" applyBorder="1" applyAlignment="1">
      <alignment/>
    </xf>
    <xf numFmtId="0" fontId="47" fillId="42" borderId="34" xfId="0" applyFont="1" applyFill="1" applyBorder="1" applyAlignment="1">
      <alignment/>
    </xf>
    <xf numFmtId="0" fontId="47" fillId="42" borderId="31" xfId="0" applyFont="1" applyFill="1" applyBorder="1" applyAlignment="1">
      <alignment/>
    </xf>
    <xf numFmtId="0" fontId="47" fillId="42" borderId="32" xfId="0" applyFont="1" applyFill="1" applyBorder="1" applyAlignment="1">
      <alignment/>
    </xf>
    <xf numFmtId="0" fontId="47" fillId="42" borderId="39" xfId="0" applyFont="1" applyFill="1" applyBorder="1" applyAlignment="1">
      <alignment/>
    </xf>
    <xf numFmtId="0" fontId="47" fillId="42" borderId="22" xfId="0" applyFont="1" applyFill="1" applyBorder="1" applyAlignment="1">
      <alignment/>
    </xf>
    <xf numFmtId="0" fontId="47" fillId="42" borderId="40" xfId="0" applyFont="1" applyFill="1" applyBorder="1" applyAlignment="1">
      <alignment/>
    </xf>
    <xf numFmtId="183" fontId="47" fillId="42" borderId="0" xfId="0" applyNumberFormat="1" applyFont="1" applyFill="1" applyBorder="1" applyAlignment="1">
      <alignment horizontal="center"/>
    </xf>
    <xf numFmtId="0" fontId="47" fillId="42" borderId="36" xfId="0" applyFont="1" applyFill="1" applyBorder="1" applyAlignment="1">
      <alignment/>
    </xf>
    <xf numFmtId="5" fontId="47" fillId="42" borderId="0" xfId="0" applyNumberFormat="1" applyFont="1" applyFill="1" applyBorder="1" applyAlignment="1">
      <alignment horizontal="center"/>
    </xf>
    <xf numFmtId="0" fontId="47" fillId="45" borderId="0" xfId="0" applyFont="1" applyFill="1" applyAlignment="1">
      <alignment/>
    </xf>
    <xf numFmtId="184" fontId="47" fillId="41" borderId="10" xfId="0" applyNumberFormat="1" applyFont="1" applyFill="1" applyBorder="1" applyAlignment="1" applyProtection="1">
      <alignment horizontal="center"/>
      <protection locked="0"/>
    </xf>
    <xf numFmtId="191" fontId="47" fillId="42" borderId="0" xfId="0" applyNumberFormat="1" applyFont="1" applyFill="1" applyBorder="1" applyAlignment="1">
      <alignment/>
    </xf>
    <xf numFmtId="190" fontId="47" fillId="42" borderId="37" xfId="0" applyNumberFormat="1" applyFont="1" applyFill="1" applyBorder="1" applyAlignment="1">
      <alignment horizontal="center"/>
    </xf>
    <xf numFmtId="184" fontId="47" fillId="42" borderId="37" xfId="0" applyNumberFormat="1" applyFont="1" applyFill="1" applyBorder="1" applyAlignment="1" applyProtection="1">
      <alignment horizontal="center"/>
      <protection locked="0"/>
    </xf>
    <xf numFmtId="191" fontId="47" fillId="42" borderId="37" xfId="0" applyNumberFormat="1" applyFont="1" applyFill="1" applyBorder="1" applyAlignment="1">
      <alignment/>
    </xf>
    <xf numFmtId="184" fontId="47" fillId="42" borderId="0" xfId="0" applyNumberFormat="1" applyFont="1" applyFill="1" applyBorder="1" applyAlignment="1" applyProtection="1">
      <alignment horizontal="center"/>
      <protection locked="0"/>
    </xf>
    <xf numFmtId="190" fontId="47" fillId="42" borderId="33" xfId="0" applyNumberFormat="1" applyFont="1" applyFill="1" applyBorder="1" applyAlignment="1">
      <alignment horizontal="center"/>
    </xf>
    <xf numFmtId="0" fontId="47" fillId="42" borderId="33" xfId="0" applyFont="1" applyFill="1" applyBorder="1" applyAlignment="1">
      <alignment horizontal="center"/>
    </xf>
    <xf numFmtId="184" fontId="47" fillId="42" borderId="33" xfId="0" applyNumberFormat="1" applyFont="1" applyFill="1" applyBorder="1" applyAlignment="1" applyProtection="1">
      <alignment horizontal="center"/>
      <protection locked="0"/>
    </xf>
    <xf numFmtId="191" fontId="47" fillId="42" borderId="33" xfId="0" applyNumberFormat="1" applyFont="1" applyFill="1" applyBorder="1" applyAlignment="1">
      <alignment/>
    </xf>
    <xf numFmtId="190" fontId="47" fillId="42" borderId="0" xfId="0" applyNumberFormat="1" applyFont="1" applyFill="1" applyBorder="1" applyAlignment="1" applyProtection="1">
      <alignment horizontal="center"/>
      <protection locked="0"/>
    </xf>
    <xf numFmtId="0" fontId="47" fillId="46" borderId="0" xfId="0" applyFont="1" applyFill="1" applyAlignment="1">
      <alignment/>
    </xf>
    <xf numFmtId="190" fontId="4" fillId="43" borderId="24" xfId="86" applyNumberFormat="1" applyFont="1" applyFill="1" applyBorder="1" applyAlignment="1" applyProtection="1">
      <alignment horizontal="center"/>
      <protection/>
    </xf>
    <xf numFmtId="0" fontId="4" fillId="43" borderId="27" xfId="0" applyFont="1" applyFill="1" applyBorder="1" applyAlignment="1">
      <alignment vertical="center"/>
    </xf>
    <xf numFmtId="0" fontId="4" fillId="43" borderId="10" xfId="0" applyFont="1" applyFill="1" applyBorder="1" applyAlignment="1">
      <alignment vertical="center"/>
    </xf>
    <xf numFmtId="190" fontId="4" fillId="43" borderId="18" xfId="0" applyNumberFormat="1" applyFont="1" applyFill="1" applyBorder="1" applyAlignment="1">
      <alignment horizontal="center" vertical="center"/>
    </xf>
    <xf numFmtId="0" fontId="4" fillId="34" borderId="27" xfId="0" applyFont="1" applyFill="1" applyBorder="1" applyAlignment="1" applyProtection="1">
      <alignment horizontal="center" vertical="center"/>
      <protection/>
    </xf>
    <xf numFmtId="190" fontId="47" fillId="42" borderId="0" xfId="0" applyNumberFormat="1" applyFont="1" applyFill="1" applyBorder="1" applyAlignment="1">
      <alignment horizontal="center"/>
    </xf>
    <xf numFmtId="0" fontId="47" fillId="42" borderId="22" xfId="0" applyFont="1" applyFill="1" applyBorder="1" applyAlignment="1">
      <alignment horizontal="center"/>
    </xf>
    <xf numFmtId="191" fontId="47" fillId="42" borderId="0" xfId="0" applyNumberFormat="1" applyFont="1" applyFill="1" applyBorder="1" applyAlignment="1">
      <alignment horizontal="center"/>
    </xf>
    <xf numFmtId="0" fontId="90" fillId="42" borderId="0" xfId="0" applyFont="1" applyFill="1" applyAlignment="1">
      <alignment horizontal="center" wrapText="1"/>
    </xf>
    <xf numFmtId="190" fontId="47" fillId="41" borderId="10" xfId="0" applyNumberFormat="1" applyFont="1" applyFill="1" applyBorder="1" applyAlignment="1" applyProtection="1">
      <alignment horizontal="center"/>
      <protection locked="0"/>
    </xf>
    <xf numFmtId="0" fontId="90" fillId="42" borderId="0" xfId="0" applyFont="1" applyFill="1" applyAlignment="1">
      <alignment horizontal="center"/>
    </xf>
    <xf numFmtId="190" fontId="47" fillId="42" borderId="0" xfId="0" applyNumberFormat="1" applyFont="1" applyFill="1" applyAlignment="1">
      <alignment horizontal="center"/>
    </xf>
    <xf numFmtId="0" fontId="47" fillId="42" borderId="0" xfId="0" applyFont="1" applyFill="1" applyBorder="1" applyAlignment="1">
      <alignment/>
    </xf>
    <xf numFmtId="0" fontId="47" fillId="42" borderId="38" xfId="0" applyFont="1" applyFill="1" applyBorder="1" applyAlignment="1">
      <alignment/>
    </xf>
    <xf numFmtId="0" fontId="47" fillId="42" borderId="0" xfId="0" applyFont="1" applyFill="1" applyBorder="1" applyAlignment="1">
      <alignment horizontal="center"/>
    </xf>
    <xf numFmtId="0" fontId="4" fillId="34" borderId="0" xfId="0" applyNumberFormat="1" applyFont="1" applyFill="1" applyBorder="1" applyAlignment="1" applyProtection="1">
      <alignment horizontal="right" vertical="center"/>
      <protection/>
    </xf>
    <xf numFmtId="0" fontId="4" fillId="34" borderId="28"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0" borderId="0" xfId="384" applyFont="1" applyAlignment="1">
      <alignment horizontal="left" vertical="center"/>
      <protection/>
    </xf>
    <xf numFmtId="0" fontId="92" fillId="0" borderId="0" xfId="0" applyFont="1" applyAlignment="1">
      <alignment/>
    </xf>
    <xf numFmtId="0" fontId="93" fillId="0" borderId="0" xfId="384" applyFont="1">
      <alignment/>
      <protection/>
    </xf>
    <xf numFmtId="185" fontId="94" fillId="0" borderId="0" xfId="384" applyNumberFormat="1" applyFont="1" applyAlignment="1">
      <alignment horizontal="left" vertical="center"/>
      <protection/>
    </xf>
    <xf numFmtId="0" fontId="94" fillId="0" borderId="0" xfId="384" applyNumberFormat="1" applyFont="1" applyAlignment="1">
      <alignment horizontal="left" vertical="center"/>
      <protection/>
    </xf>
    <xf numFmtId="1" fontId="94" fillId="0" borderId="0" xfId="384" applyNumberFormat="1" applyFont="1" applyAlignment="1">
      <alignment horizontal="left" vertical="center"/>
      <protection/>
    </xf>
    <xf numFmtId="0" fontId="95" fillId="0" borderId="0" xfId="384" applyFont="1" applyAlignment="1">
      <alignment horizontal="left" vertical="center"/>
      <protection/>
    </xf>
    <xf numFmtId="0" fontId="4" fillId="42" borderId="0" xfId="0" applyFont="1" applyFill="1" applyAlignment="1" applyProtection="1">
      <alignment vertical="center"/>
      <protection locked="0"/>
    </xf>
    <xf numFmtId="10" fontId="4" fillId="33" borderId="11" xfId="0" applyNumberFormat="1" applyFont="1" applyFill="1" applyBorder="1" applyAlignment="1" applyProtection="1">
      <alignment vertical="center"/>
      <protection locked="0"/>
    </xf>
    <xf numFmtId="0" fontId="4" fillId="34" borderId="16" xfId="0" applyFont="1" applyFill="1" applyBorder="1" applyAlignment="1">
      <alignment horizontal="center" vertical="center"/>
    </xf>
    <xf numFmtId="37" fontId="4" fillId="35" borderId="21" xfId="0" applyNumberFormat="1" applyFont="1" applyFill="1" applyBorder="1" applyAlignment="1" applyProtection="1">
      <alignment horizontal="center" vertical="center"/>
      <protection/>
    </xf>
    <xf numFmtId="177" fontId="4" fillId="35" borderId="21" xfId="0" applyNumberFormat="1" applyFont="1" applyFill="1" applyBorder="1" applyAlignment="1" applyProtection="1">
      <alignment horizontal="center" vertical="center"/>
      <protection/>
    </xf>
    <xf numFmtId="177" fontId="4" fillId="34" borderId="11" xfId="0" applyNumberFormat="1" applyFont="1" applyFill="1" applyBorder="1" applyAlignment="1" applyProtection="1">
      <alignment horizontal="center" vertical="center"/>
      <protection/>
    </xf>
    <xf numFmtId="193" fontId="4" fillId="34" borderId="0" xfId="0" applyNumberFormat="1" applyFont="1" applyFill="1" applyAlignment="1">
      <alignment horizontal="center" vertical="center"/>
    </xf>
    <xf numFmtId="0" fontId="18" fillId="42" borderId="28"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18" fillId="42" borderId="0" xfId="0" applyFont="1" applyFill="1" applyBorder="1" applyAlignment="1" applyProtection="1">
      <alignment vertical="center"/>
      <protection/>
    </xf>
    <xf numFmtId="190" fontId="18" fillId="42" borderId="24" xfId="0" applyNumberFormat="1" applyFont="1" applyFill="1" applyBorder="1" applyAlignment="1" applyProtection="1">
      <alignment horizontal="center" vertical="center"/>
      <protection/>
    </xf>
    <xf numFmtId="0" fontId="18" fillId="42" borderId="28" xfId="0" applyFont="1" applyFill="1" applyBorder="1" applyAlignment="1" applyProtection="1">
      <alignment horizontal="left" vertical="center"/>
      <protection/>
    </xf>
    <xf numFmtId="190" fontId="18" fillId="41" borderId="11" xfId="0" applyNumberFormat="1" applyFont="1" applyFill="1" applyBorder="1" applyAlignment="1" applyProtection="1">
      <alignment horizontal="center" vertical="center"/>
      <protection locked="0"/>
    </xf>
    <xf numFmtId="184" fontId="19" fillId="42" borderId="15" xfId="0" applyNumberFormat="1" applyFont="1" applyFill="1" applyBorder="1" applyAlignment="1" applyProtection="1">
      <alignment horizontal="center" vertical="center"/>
      <protection/>
    </xf>
    <xf numFmtId="0" fontId="19" fillId="43" borderId="28"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18" fillId="43" borderId="0" xfId="0" applyFont="1" applyFill="1" applyBorder="1" applyAlignment="1" applyProtection="1">
      <alignment vertical="center"/>
      <protection/>
    </xf>
    <xf numFmtId="190" fontId="19" fillId="43" borderId="15" xfId="0" applyNumberFormat="1" applyFont="1" applyFill="1" applyBorder="1" applyAlignment="1" applyProtection="1">
      <alignment horizontal="center" vertical="center"/>
      <protection/>
    </xf>
    <xf numFmtId="37" fontId="18" fillId="34" borderId="27"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90" fontId="19" fillId="43" borderId="18" xfId="0" applyNumberFormat="1" applyFont="1" applyFill="1" applyBorder="1" applyAlignment="1" applyProtection="1">
      <alignment horizontal="center" vertical="center"/>
      <protection locked="0"/>
    </xf>
    <xf numFmtId="0" fontId="4" fillId="34" borderId="24" xfId="0" applyFont="1" applyFill="1" applyBorder="1" applyAlignment="1" applyProtection="1">
      <alignment vertical="center"/>
      <protection/>
    </xf>
    <xf numFmtId="0" fontId="4" fillId="42" borderId="24" xfId="0" applyFont="1" applyFill="1" applyBorder="1" applyAlignment="1" applyProtection="1">
      <alignment vertical="center"/>
      <protection locked="0"/>
    </xf>
    <xf numFmtId="0" fontId="96" fillId="0" borderId="0" xfId="0" applyFont="1" applyAlignment="1" applyProtection="1">
      <alignment/>
      <protection locked="0"/>
    </xf>
    <xf numFmtId="0" fontId="4" fillId="43" borderId="18" xfId="0" applyFont="1" applyFill="1" applyBorder="1" applyAlignment="1" applyProtection="1">
      <alignment vertical="center"/>
      <protection locked="0"/>
    </xf>
    <xf numFmtId="184" fontId="18" fillId="42" borderId="28" xfId="0" applyNumberFormat="1" applyFont="1" applyFill="1" applyBorder="1" applyAlignment="1" applyProtection="1">
      <alignment horizontal="center" vertical="center"/>
      <protection/>
    </xf>
    <xf numFmtId="0" fontId="18" fillId="42" borderId="0" xfId="0" applyFont="1" applyFill="1" applyBorder="1" applyAlignment="1" applyProtection="1">
      <alignment horizontal="left" vertical="center"/>
      <protection/>
    </xf>
    <xf numFmtId="0" fontId="28" fillId="42" borderId="0" xfId="0" applyFont="1" applyFill="1" applyBorder="1" applyAlignment="1" applyProtection="1">
      <alignment horizontal="center" vertical="center"/>
      <protection/>
    </xf>
    <xf numFmtId="0" fontId="0" fillId="42" borderId="24" xfId="0" applyFill="1" applyBorder="1" applyAlignment="1" applyProtection="1">
      <alignment vertical="center"/>
      <protection/>
    </xf>
    <xf numFmtId="184" fontId="18" fillId="43" borderId="27" xfId="0" applyNumberFormat="1" applyFont="1" applyFill="1" applyBorder="1" applyAlignment="1" applyProtection="1">
      <alignment horizontal="center" vertical="center"/>
      <protection/>
    </xf>
    <xf numFmtId="184" fontId="18" fillId="42" borderId="13" xfId="0" applyNumberFormat="1" applyFont="1" applyFill="1" applyBorder="1" applyAlignment="1" applyProtection="1">
      <alignment horizontal="center" vertical="center"/>
      <protection/>
    </xf>
    <xf numFmtId="184" fontId="18" fillId="43" borderId="13" xfId="0" applyNumberFormat="1" applyFont="1" applyFill="1" applyBorder="1" applyAlignment="1" applyProtection="1">
      <alignment horizontal="center" vertical="center"/>
      <protection/>
    </xf>
    <xf numFmtId="0" fontId="18" fillId="42" borderId="10" xfId="0" applyFont="1" applyFill="1" applyBorder="1" applyAlignment="1" applyProtection="1">
      <alignment horizontal="left" vertical="center"/>
      <protection/>
    </xf>
    <xf numFmtId="0" fontId="28" fillId="42" borderId="10" xfId="0" applyFont="1" applyFill="1" applyBorder="1" applyAlignment="1" applyProtection="1">
      <alignment horizontal="center" vertical="center"/>
      <protection/>
    </xf>
    <xf numFmtId="0" fontId="0" fillId="42" borderId="18" xfId="0" applyFill="1" applyBorder="1" applyAlignment="1" applyProtection="1">
      <alignment vertical="center"/>
      <protection/>
    </xf>
    <xf numFmtId="37" fontId="4" fillId="34" borderId="24" xfId="0" applyNumberFormat="1" applyFont="1" applyFill="1" applyBorder="1" applyAlignment="1" applyProtection="1">
      <alignment horizontal="right" vertical="center"/>
      <protection/>
    </xf>
    <xf numFmtId="190" fontId="18" fillId="42" borderId="28" xfId="0" applyNumberFormat="1" applyFont="1" applyFill="1" applyBorder="1" applyAlignment="1" applyProtection="1">
      <alignment horizontal="center" vertical="center"/>
      <protection/>
    </xf>
    <xf numFmtId="0" fontId="18" fillId="42" borderId="24" xfId="0" applyFont="1" applyFill="1" applyBorder="1" applyAlignment="1" applyProtection="1">
      <alignment vertical="center"/>
      <protection/>
    </xf>
    <xf numFmtId="190" fontId="18" fillId="42" borderId="27" xfId="0" applyNumberFormat="1" applyFont="1" applyFill="1" applyBorder="1" applyAlignment="1" applyProtection="1">
      <alignment horizontal="center" vertical="center"/>
      <protection/>
    </xf>
    <xf numFmtId="190" fontId="18" fillId="42" borderId="28" xfId="0" applyNumberFormat="1" applyFont="1" applyFill="1" applyBorder="1" applyAlignment="1" applyProtection="1">
      <alignment vertical="center"/>
      <protection/>
    </xf>
    <xf numFmtId="0" fontId="4" fillId="42" borderId="24" xfId="0" applyFont="1" applyFill="1" applyBorder="1" applyAlignment="1" applyProtection="1">
      <alignment/>
      <protection locked="0"/>
    </xf>
    <xf numFmtId="190" fontId="18" fillId="43" borderId="27" xfId="0" applyNumberFormat="1" applyFont="1" applyFill="1" applyBorder="1" applyAlignment="1" applyProtection="1">
      <alignment horizontal="center" vertical="center"/>
      <protection/>
    </xf>
    <xf numFmtId="0" fontId="18" fillId="43" borderId="10" xfId="0" applyFont="1" applyFill="1" applyBorder="1" applyAlignment="1" applyProtection="1">
      <alignment vertical="center"/>
      <protection/>
    </xf>
    <xf numFmtId="0" fontId="18" fillId="43" borderId="18" xfId="0" applyFont="1" applyFill="1" applyBorder="1" applyAlignment="1" applyProtection="1">
      <alignment vertical="center"/>
      <protection/>
    </xf>
    <xf numFmtId="37" fontId="4" fillId="43" borderId="18" xfId="0" applyNumberFormat="1" applyFont="1" applyFill="1" applyBorder="1" applyAlignment="1" applyProtection="1">
      <alignment horizontal="right" vertical="center"/>
      <protection/>
    </xf>
    <xf numFmtId="0" fontId="4" fillId="42" borderId="28" xfId="0" applyFont="1" applyFill="1" applyBorder="1" applyAlignment="1" applyProtection="1">
      <alignment vertical="center"/>
      <protection/>
    </xf>
    <xf numFmtId="190" fontId="22" fillId="42" borderId="28" xfId="0" applyNumberFormat="1" applyFont="1" applyFill="1" applyBorder="1" applyAlignment="1" applyProtection="1">
      <alignment horizontal="center" vertical="center"/>
      <protection/>
    </xf>
    <xf numFmtId="0" fontId="4" fillId="42" borderId="24" xfId="0" applyFont="1" applyFill="1" applyBorder="1" applyAlignment="1" applyProtection="1">
      <alignment vertical="center"/>
      <protection/>
    </xf>
    <xf numFmtId="190" fontId="22" fillId="42" borderId="28" xfId="0" applyNumberFormat="1" applyFont="1" applyFill="1" applyBorder="1" applyAlignment="1" applyProtection="1">
      <alignment vertical="center"/>
      <protection/>
    </xf>
    <xf numFmtId="0" fontId="22" fillId="42" borderId="0" xfId="0" applyFont="1" applyFill="1" applyBorder="1" applyAlignment="1" applyProtection="1">
      <alignment vertical="center"/>
      <protection/>
    </xf>
    <xf numFmtId="190" fontId="22" fillId="42" borderId="27" xfId="0" applyNumberFormat="1" applyFont="1" applyFill="1" applyBorder="1" applyAlignment="1" applyProtection="1">
      <alignment horizontal="center" vertical="center"/>
      <protection/>
    </xf>
    <xf numFmtId="190" fontId="22" fillId="43" borderId="27" xfId="0" applyNumberFormat="1" applyFont="1" applyFill="1" applyBorder="1" applyAlignment="1" applyProtection="1">
      <alignment horizontal="center" vertical="center"/>
      <protection/>
    </xf>
    <xf numFmtId="0" fontId="4" fillId="43" borderId="18" xfId="0" applyFont="1" applyFill="1" applyBorder="1" applyAlignment="1" applyProtection="1">
      <alignment vertical="center"/>
      <protection/>
    </xf>
    <xf numFmtId="0" fontId="4" fillId="43" borderId="18" xfId="0" applyFont="1" applyFill="1" applyBorder="1" applyAlignment="1" applyProtection="1">
      <alignment/>
      <protection locked="0"/>
    </xf>
    <xf numFmtId="193" fontId="4" fillId="33" borderId="11" xfId="0" applyNumberFormat="1" applyFont="1" applyFill="1" applyBorder="1" applyAlignment="1" applyProtection="1">
      <alignment vertical="center"/>
      <protection locked="0"/>
    </xf>
    <xf numFmtId="37" fontId="4" fillId="34" borderId="10" xfId="77" applyNumberFormat="1" applyFont="1" applyFill="1" applyBorder="1" applyAlignment="1" applyProtection="1">
      <alignment horizontal="left" vertical="center"/>
      <protection/>
    </xf>
    <xf numFmtId="190" fontId="18" fillId="43" borderId="27" xfId="77" applyNumberFormat="1" applyFont="1" applyFill="1" applyBorder="1" applyAlignment="1" applyProtection="1">
      <alignment horizontal="center" vertical="center"/>
      <protection/>
    </xf>
    <xf numFmtId="193" fontId="4" fillId="33" borderId="11" xfId="0" applyNumberFormat="1" applyFont="1" applyFill="1" applyBorder="1" applyAlignment="1" applyProtection="1">
      <alignment vertical="center"/>
      <protection locked="0"/>
    </xf>
    <xf numFmtId="37" fontId="4" fillId="34" borderId="14" xfId="74" applyNumberFormat="1" applyFont="1" applyFill="1" applyBorder="1" applyAlignment="1" applyProtection="1">
      <alignment horizontal="left" vertical="center"/>
      <protection/>
    </xf>
    <xf numFmtId="0" fontId="5" fillId="34" borderId="0" xfId="77" applyFont="1" applyFill="1" applyAlignment="1" applyProtection="1">
      <alignment vertical="center"/>
      <protection/>
    </xf>
    <xf numFmtId="1" fontId="4" fillId="34" borderId="19"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center" vertical="center"/>
      <protection/>
    </xf>
    <xf numFmtId="0" fontId="29"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18" fillId="34" borderId="18" xfId="0" applyFont="1" applyFill="1" applyBorder="1" applyAlignment="1" applyProtection="1">
      <alignment vertical="center"/>
      <protection/>
    </xf>
    <xf numFmtId="0" fontId="18" fillId="0" borderId="0" xfId="77" applyFont="1" applyFill="1" applyBorder="1" applyAlignment="1" applyProtection="1">
      <alignment vertical="center"/>
      <protection/>
    </xf>
    <xf numFmtId="190" fontId="19" fillId="0" borderId="0" xfId="77" applyNumberFormat="1" applyFont="1" applyFill="1" applyBorder="1" applyAlignment="1" applyProtection="1">
      <alignment horizontal="center" vertical="center"/>
      <protection/>
    </xf>
    <xf numFmtId="0" fontId="19" fillId="0" borderId="0" xfId="77" applyFont="1" applyFill="1" applyBorder="1" applyAlignment="1" applyProtection="1">
      <alignment vertical="center"/>
      <protection/>
    </xf>
    <xf numFmtId="37" fontId="18" fillId="34" borderId="11" xfId="0" applyNumberFormat="1" applyFont="1" applyFill="1" applyBorder="1" applyAlignment="1" applyProtection="1">
      <alignment horizontal="right" vertical="center"/>
      <protection/>
    </xf>
    <xf numFmtId="192" fontId="18" fillId="34" borderId="11" xfId="0" applyNumberFormat="1" applyFont="1" applyFill="1" applyBorder="1" applyAlignment="1" applyProtection="1">
      <alignment horizontal="right" vertical="center"/>
      <protection/>
    </xf>
    <xf numFmtId="183" fontId="4" fillId="34" borderId="11" xfId="0" applyNumberFormat="1" applyFont="1" applyFill="1" applyBorder="1" applyAlignment="1" applyProtection="1">
      <alignment horizontal="right" vertical="center"/>
      <protection/>
    </xf>
    <xf numFmtId="0" fontId="18" fillId="34" borderId="11" xfId="0" applyFont="1" applyFill="1" applyBorder="1" applyAlignment="1" applyProtection="1">
      <alignment horizontal="right" vertical="center"/>
      <protection/>
    </xf>
    <xf numFmtId="0" fontId="18" fillId="34" borderId="16" xfId="0" applyFont="1" applyFill="1" applyBorder="1" applyAlignment="1" applyProtection="1">
      <alignment horizontal="right" vertical="center"/>
      <protection/>
    </xf>
    <xf numFmtId="37" fontId="18" fillId="34" borderId="21" xfId="0" applyNumberFormat="1" applyFont="1" applyFill="1" applyBorder="1" applyAlignment="1" applyProtection="1">
      <alignment horizontal="right" vertical="center"/>
      <protection/>
    </xf>
    <xf numFmtId="183" fontId="18" fillId="34" borderId="21" xfId="0" applyNumberFormat="1" applyFont="1" applyFill="1" applyBorder="1" applyAlignment="1" applyProtection="1">
      <alignment horizontal="right" vertical="center"/>
      <protection/>
    </xf>
    <xf numFmtId="0" fontId="4" fillId="41" borderId="0" xfId="0" applyFont="1" applyFill="1" applyAlignment="1" applyProtection="1">
      <alignment/>
      <protection locked="0"/>
    </xf>
    <xf numFmtId="0" fontId="4" fillId="0" borderId="0" xfId="72" applyFont="1" applyAlignment="1">
      <alignment vertical="center" wrapText="1"/>
      <protection/>
    </xf>
    <xf numFmtId="0" fontId="4" fillId="0" borderId="0" xfId="122" applyFont="1" applyAlignment="1">
      <alignment vertical="center"/>
      <protection/>
    </xf>
    <xf numFmtId="37" fontId="18" fillId="34" borderId="0" xfId="0" applyNumberFormat="1" applyFont="1" applyFill="1" applyBorder="1" applyAlignment="1" applyProtection="1">
      <alignment horizontal="fill" vertical="center"/>
      <protection locked="0"/>
    </xf>
    <xf numFmtId="0" fontId="18" fillId="34" borderId="0" xfId="0" applyFont="1" applyFill="1" applyBorder="1" applyAlignment="1" applyProtection="1">
      <alignment vertical="center"/>
      <protection locked="0"/>
    </xf>
    <xf numFmtId="0" fontId="18" fillId="34" borderId="0" xfId="0" applyFont="1" applyFill="1" applyBorder="1" applyAlignment="1" applyProtection="1">
      <alignment horizontal="centerContinuous" vertical="center"/>
      <protection locked="0"/>
    </xf>
    <xf numFmtId="37" fontId="18" fillId="34" borderId="0" xfId="0" applyNumberFormat="1" applyFont="1" applyFill="1" applyBorder="1" applyAlignment="1" applyProtection="1">
      <alignment horizontal="centerContinuous" vertical="center"/>
      <protection/>
    </xf>
    <xf numFmtId="0" fontId="4" fillId="0" borderId="0" xfId="83" applyFont="1" applyAlignment="1">
      <alignment vertical="center" wrapText="1"/>
      <protection/>
    </xf>
    <xf numFmtId="0" fontId="4" fillId="0" borderId="0" xfId="112" applyFont="1" applyAlignment="1">
      <alignment vertical="center" wrapText="1"/>
      <protection/>
    </xf>
    <xf numFmtId="0" fontId="4" fillId="33" borderId="0" xfId="0" applyFont="1" applyFill="1" applyAlignment="1" applyProtection="1">
      <alignment horizontal="left"/>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horizontal="center" vertical="center" wrapText="1"/>
    </xf>
    <xf numFmtId="37" fontId="25" fillId="34" borderId="0" xfId="0" applyNumberFormat="1" applyFont="1" applyFill="1" applyAlignment="1" applyProtection="1">
      <alignment horizontal="center" vertical="center"/>
      <protection/>
    </xf>
    <xf numFmtId="0" fontId="26"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4" fillId="34" borderId="0" xfId="0" applyFont="1" applyFill="1" applyBorder="1" applyAlignment="1" applyProtection="1">
      <alignment vertical="center" wrapText="1"/>
      <protection/>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6"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24" fillId="34" borderId="0" xfId="0" applyFont="1" applyFill="1" applyBorder="1" applyAlignment="1">
      <alignment vertical="center"/>
    </xf>
    <xf numFmtId="0" fontId="30" fillId="0" borderId="0" xfId="0" applyFont="1" applyAlignment="1">
      <alignment vertical="center"/>
    </xf>
    <xf numFmtId="0" fontId="4" fillId="0" borderId="0" xfId="382" applyFont="1" applyAlignment="1">
      <alignment horizontal="left" vertical="center" wrapText="1"/>
      <protection/>
    </xf>
    <xf numFmtId="0" fontId="12" fillId="0" borderId="0" xfId="382" applyFont="1" applyAlignment="1">
      <alignment horizontal="left" vertical="center" wrapText="1"/>
      <protection/>
    </xf>
    <xf numFmtId="0" fontId="23" fillId="0" borderId="0" xfId="382" applyFont="1" applyAlignment="1">
      <alignment horizontal="left" vertical="center"/>
      <protection/>
    </xf>
    <xf numFmtId="37" fontId="18" fillId="0" borderId="0" xfId="0" applyNumberFormat="1" applyFont="1" applyAlignment="1" applyProtection="1">
      <alignment horizontal="center" vertical="center"/>
      <protection locked="0"/>
    </xf>
    <xf numFmtId="37" fontId="19" fillId="34" borderId="0" xfId="0" applyNumberFormat="1" applyFont="1" applyFill="1" applyAlignment="1" applyProtection="1">
      <alignment horizontal="center" vertical="center"/>
      <protection/>
    </xf>
    <xf numFmtId="37" fontId="18" fillId="34" borderId="16" xfId="0" applyNumberFormat="1" applyFont="1" applyFill="1" applyBorder="1" applyAlignment="1" applyProtection="1">
      <alignment horizontal="center" vertical="center" wrapText="1"/>
      <protection/>
    </xf>
    <xf numFmtId="0" fontId="20" fillId="0" borderId="17" xfId="0" applyFont="1" applyBorder="1" applyAlignment="1">
      <alignment horizontal="center" vertical="center" wrapText="1"/>
    </xf>
    <xf numFmtId="37" fontId="28"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8"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8" fillId="34" borderId="13" xfId="0" applyNumberFormat="1" applyFont="1" applyFill="1" applyBorder="1" applyAlignment="1" applyProtection="1">
      <alignment horizontal="fill" vertical="center"/>
      <protection/>
    </xf>
    <xf numFmtId="0" fontId="0" fillId="0" borderId="15" xfId="0" applyBorder="1" applyAlignment="1">
      <alignment vertical="center"/>
    </xf>
    <xf numFmtId="0" fontId="18" fillId="34" borderId="0" xfId="0" applyFont="1" applyFill="1" applyAlignment="1" applyProtection="1">
      <alignment horizontal="center" vertical="center"/>
      <protection/>
    </xf>
    <xf numFmtId="0" fontId="18" fillId="36" borderId="16" xfId="0" applyFont="1" applyFill="1" applyBorder="1" applyAlignment="1" applyProtection="1">
      <alignment horizontal="center" vertical="center" wrapText="1"/>
      <protection/>
    </xf>
    <xf numFmtId="0" fontId="0" fillId="0" borderId="17" xfId="0" applyBorder="1" applyAlignment="1">
      <alignment vertical="center" wrapText="1"/>
    </xf>
    <xf numFmtId="37" fontId="4" fillId="34" borderId="16" xfId="0" applyNumberFormat="1" applyFont="1" applyFill="1" applyBorder="1" applyAlignment="1" applyProtection="1">
      <alignment horizontal="center" vertical="center" wrapText="1"/>
      <protection/>
    </xf>
    <xf numFmtId="0" fontId="7"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4" fillId="34" borderId="16" xfId="0" applyNumberFormat="1" applyFont="1" applyFill="1" applyBorder="1" applyAlignment="1" applyProtection="1">
      <alignment horizontal="center" wrapText="1"/>
      <protection/>
    </xf>
    <xf numFmtId="0" fontId="0" fillId="0" borderId="17" xfId="0" applyBorder="1" applyAlignment="1">
      <alignment horizontal="center" wrapText="1"/>
    </xf>
    <xf numFmtId="37" fontId="4" fillId="34" borderId="13"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5" xfId="0" applyBorder="1" applyAlignment="1">
      <alignment horizontal="center" vertical="center"/>
    </xf>
    <xf numFmtId="37" fontId="5" fillId="34" borderId="0" xfId="0" applyNumberFormat="1" applyFont="1" applyFill="1" applyAlignment="1" applyProtection="1">
      <alignment horizontal="center"/>
      <protection/>
    </xf>
    <xf numFmtId="0" fontId="4" fillId="34" borderId="27"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4" fillId="34" borderId="27"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3" fontId="4" fillId="34" borderId="22" xfId="89" applyNumberFormat="1" applyFont="1" applyFill="1" applyBorder="1" applyAlignment="1" applyProtection="1">
      <alignment horizontal="right" vertical="center"/>
      <protection/>
    </xf>
    <xf numFmtId="0" fontId="0" fillId="0" borderId="20" xfId="89" applyBorder="1" applyAlignment="1">
      <alignment horizontal="right" vertical="center"/>
      <protection/>
    </xf>
    <xf numFmtId="0" fontId="4" fillId="34" borderId="0" xfId="89" applyFont="1" applyFill="1" applyAlignment="1" applyProtection="1">
      <alignment horizontal="right" vertical="center"/>
      <protection/>
    </xf>
    <xf numFmtId="0" fontId="4" fillId="0" borderId="24" xfId="89" applyFont="1" applyBorder="1" applyAlignment="1">
      <alignment horizontal="right" vertical="center"/>
      <protection/>
    </xf>
    <xf numFmtId="0" fontId="28" fillId="34" borderId="19" xfId="77" applyFont="1" applyFill="1" applyBorder="1" applyAlignment="1" applyProtection="1">
      <alignment horizontal="center" vertical="center"/>
      <protection/>
    </xf>
    <xf numFmtId="0" fontId="44" fillId="0" borderId="22" xfId="77" applyFont="1" applyBorder="1" applyAlignment="1" applyProtection="1">
      <alignment horizontal="center" vertical="center"/>
      <protection/>
    </xf>
    <xf numFmtId="0" fontId="0" fillId="0" borderId="20" xfId="77" applyBorder="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8" fillId="42" borderId="19" xfId="0" applyFont="1" applyFill="1" applyBorder="1" applyAlignment="1" applyProtection="1">
      <alignment horizontal="center" vertical="center"/>
      <protection/>
    </xf>
    <xf numFmtId="0" fontId="0" fillId="0" borderId="22" xfId="0" applyBorder="1" applyAlignment="1">
      <alignment vertical="center"/>
    </xf>
    <xf numFmtId="0" fontId="0" fillId="0" borderId="20" xfId="0" applyBorder="1" applyAlignment="1">
      <alignment vertical="center"/>
    </xf>
    <xf numFmtId="184" fontId="28" fillId="42" borderId="19" xfId="0" applyNumberFormat="1" applyFont="1" applyFill="1" applyBorder="1" applyAlignment="1" applyProtection="1">
      <alignment horizontal="center"/>
      <protection/>
    </xf>
    <xf numFmtId="0" fontId="26" fillId="0" borderId="22" xfId="0" applyFont="1" applyBorder="1" applyAlignment="1">
      <alignment/>
    </xf>
    <xf numFmtId="0" fontId="26" fillId="0" borderId="20" xfId="0" applyFont="1" applyBorder="1" applyAlignment="1">
      <alignment/>
    </xf>
    <xf numFmtId="37" fontId="4" fillId="34" borderId="0" xfId="0" applyNumberFormat="1" applyFont="1" applyFill="1" applyAlignment="1" applyProtection="1">
      <alignment horizontal="center" vertical="center"/>
      <protection/>
    </xf>
    <xf numFmtId="0" fontId="0" fillId="0" borderId="22" xfId="0" applyBorder="1" applyAlignment="1">
      <alignment horizontal="center" vertical="center"/>
    </xf>
    <xf numFmtId="0" fontId="0" fillId="0" borderId="20" xfId="0" applyBorder="1" applyAlignment="1">
      <alignment/>
    </xf>
    <xf numFmtId="0" fontId="20" fillId="0" borderId="22" xfId="0" applyFont="1" applyBorder="1" applyAlignment="1">
      <alignment horizontal="center" vertical="center"/>
    </xf>
    <xf numFmtId="0" fontId="4" fillId="34" borderId="13" xfId="0" applyFont="1" applyFill="1" applyBorder="1" applyAlignment="1">
      <alignment horizontal="center" vertical="center"/>
    </xf>
    <xf numFmtId="0" fontId="4" fillId="34" borderId="15" xfId="0" applyFont="1" applyFill="1" applyBorder="1" applyAlignment="1">
      <alignment horizontal="center" vertical="center"/>
    </xf>
    <xf numFmtId="37" fontId="23" fillId="34" borderId="0" xfId="0" applyNumberFormat="1"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3" fillId="42" borderId="19" xfId="86" applyFont="1" applyFill="1" applyBorder="1" applyAlignment="1" applyProtection="1">
      <alignment horizontal="center"/>
      <protection/>
    </xf>
    <xf numFmtId="0" fontId="23" fillId="42" borderId="22" xfId="86" applyFont="1" applyFill="1" applyBorder="1" applyAlignment="1" applyProtection="1">
      <alignment horizontal="center"/>
      <protection/>
    </xf>
    <xf numFmtId="0" fontId="23" fillId="42" borderId="20" xfId="86" applyFont="1" applyFill="1" applyBorder="1" applyAlignment="1" applyProtection="1">
      <alignment horizontal="center"/>
      <protection/>
    </xf>
    <xf numFmtId="0" fontId="0" fillId="0" borderId="22" xfId="86" applyBorder="1" applyAlignment="1" applyProtection="1">
      <alignment horizontal="center"/>
      <protection/>
    </xf>
    <xf numFmtId="0" fontId="0" fillId="0" borderId="20" xfId="86" applyBorder="1" applyAlignment="1" applyProtection="1">
      <alignment horizontal="center"/>
      <protection/>
    </xf>
    <xf numFmtId="37" fontId="4" fillId="34" borderId="10" xfId="0" applyNumberFormat="1" applyFont="1" applyFill="1" applyBorder="1" applyAlignment="1" applyProtection="1">
      <alignment horizontal="center" vertical="center"/>
      <protection locked="0"/>
    </xf>
    <xf numFmtId="0" fontId="0" fillId="0" borderId="22" xfId="0" applyBorder="1" applyAlignment="1">
      <alignment horizontal="center"/>
    </xf>
    <xf numFmtId="0" fontId="0" fillId="0" borderId="20" xfId="0" applyBorder="1" applyAlignment="1">
      <alignment horizontal="center"/>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xf>
    <xf numFmtId="183" fontId="47" fillId="41" borderId="10" xfId="0" applyNumberFormat="1" applyFont="1" applyFill="1" applyBorder="1" applyAlignment="1" applyProtection="1">
      <alignment horizontal="center"/>
      <protection locked="0"/>
    </xf>
    <xf numFmtId="191" fontId="47" fillId="42" borderId="0" xfId="0" applyNumberFormat="1" applyFont="1" applyFill="1" applyBorder="1" applyAlignment="1">
      <alignment horizontal="center"/>
    </xf>
    <xf numFmtId="191" fontId="47" fillId="0" borderId="32" xfId="0" applyNumberFormat="1" applyFont="1" applyBorder="1" applyAlignment="1">
      <alignment horizontal="center"/>
    </xf>
    <xf numFmtId="5" fontId="47" fillId="42" borderId="10" xfId="0" applyNumberFormat="1" applyFont="1" applyFill="1" applyBorder="1" applyAlignment="1">
      <alignment horizontal="center"/>
    </xf>
    <xf numFmtId="190" fontId="47" fillId="42" borderId="0" xfId="0" applyNumberFormat="1" applyFont="1" applyFill="1" applyBorder="1" applyAlignment="1">
      <alignment horizontal="center"/>
    </xf>
    <xf numFmtId="0" fontId="47" fillId="42" borderId="22" xfId="0" applyFont="1" applyFill="1" applyBorder="1" applyAlignment="1">
      <alignment horizontal="center"/>
    </xf>
    <xf numFmtId="0" fontId="47" fillId="42" borderId="31" xfId="0" applyFont="1" applyFill="1" applyBorder="1" applyAlignment="1">
      <alignment vertical="top" wrapText="1"/>
    </xf>
    <xf numFmtId="0" fontId="47" fillId="0" borderId="0" xfId="0" applyFont="1" applyAlignment="1">
      <alignment vertical="top" wrapText="1"/>
    </xf>
    <xf numFmtId="0" fontId="47" fillId="0" borderId="32" xfId="0" applyFont="1" applyBorder="1" applyAlignment="1">
      <alignment vertical="top" wrapText="1"/>
    </xf>
    <xf numFmtId="0" fontId="47" fillId="0" borderId="32" xfId="0" applyFont="1" applyBorder="1" applyAlignment="1">
      <alignment horizont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90" fillId="42" borderId="0" xfId="0" applyFont="1" applyFill="1" applyAlignment="1">
      <alignment horizontal="center" wrapText="1"/>
    </xf>
    <xf numFmtId="0" fontId="47" fillId="42" borderId="0" xfId="0" applyFont="1" applyFill="1" applyAlignment="1">
      <alignment wrapText="1"/>
    </xf>
    <xf numFmtId="190" fontId="47" fillId="41" borderId="10" xfId="0" applyNumberFormat="1" applyFont="1" applyFill="1" applyBorder="1" applyAlignment="1" applyProtection="1">
      <alignment horizontal="center"/>
      <protection locked="0"/>
    </xf>
    <xf numFmtId="0" fontId="90" fillId="42" borderId="33" xfId="0" applyFont="1" applyFill="1" applyBorder="1" applyAlignment="1">
      <alignment horizontal="center" vertical="center"/>
    </xf>
    <xf numFmtId="0" fontId="47" fillId="0" borderId="33" xfId="0" applyFont="1" applyBorder="1" applyAlignment="1">
      <alignment horizontal="center" vertical="center"/>
    </xf>
    <xf numFmtId="0" fontId="47" fillId="0" borderId="0" xfId="0" applyFont="1" applyAlignment="1">
      <alignment horizontal="center" wrapText="1"/>
    </xf>
    <xf numFmtId="0" fontId="90" fillId="42" borderId="0" xfId="0" applyFont="1" applyFill="1" applyAlignment="1">
      <alignment horizontal="center"/>
    </xf>
    <xf numFmtId="0" fontId="47" fillId="0" borderId="0" xfId="0" applyFont="1" applyAlignment="1">
      <alignment wrapText="1"/>
    </xf>
    <xf numFmtId="190" fontId="47" fillId="42" borderId="0" xfId="0" applyNumberFormat="1" applyFont="1" applyFill="1" applyAlignment="1">
      <alignment horizontal="center"/>
    </xf>
    <xf numFmtId="190" fontId="47" fillId="41" borderId="35" xfId="0" applyNumberFormat="1" applyFont="1" applyFill="1" applyBorder="1" applyAlignment="1" applyProtection="1">
      <alignment horizontal="center"/>
      <protection locked="0"/>
    </xf>
    <xf numFmtId="0" fontId="47" fillId="42" borderId="0" xfId="0" applyFont="1" applyFill="1" applyBorder="1" applyAlignment="1">
      <alignment/>
    </xf>
    <xf numFmtId="0" fontId="47" fillId="0" borderId="0" xfId="0" applyFont="1" applyBorder="1" applyAlignment="1">
      <alignment/>
    </xf>
    <xf numFmtId="0" fontId="47" fillId="42" borderId="37" xfId="0" applyFont="1" applyFill="1" applyBorder="1" applyAlignment="1">
      <alignment/>
    </xf>
    <xf numFmtId="0" fontId="47" fillId="42" borderId="38" xfId="0" applyFont="1" applyFill="1" applyBorder="1" applyAlignment="1">
      <alignment/>
    </xf>
    <xf numFmtId="0" fontId="90" fillId="42" borderId="0" xfId="0" applyFont="1" applyFill="1" applyAlignment="1">
      <alignment horizontal="center" vertical="center"/>
    </xf>
    <xf numFmtId="0" fontId="90" fillId="0" borderId="0" xfId="0" applyFont="1" applyAlignment="1">
      <alignment horizontal="center" vertical="center"/>
    </xf>
    <xf numFmtId="190" fontId="47" fillId="42" borderId="0" xfId="0" applyNumberFormat="1" applyFont="1" applyFill="1" applyAlignment="1">
      <alignment/>
    </xf>
    <xf numFmtId="0" fontId="47" fillId="42" borderId="0" xfId="0" applyFont="1" applyFill="1" applyBorder="1" applyAlignment="1">
      <alignment wrapText="1"/>
    </xf>
    <xf numFmtId="0" fontId="47" fillId="42" borderId="0" xfId="0" applyFont="1" applyFill="1" applyBorder="1" applyAlignment="1">
      <alignment horizontal="center"/>
    </xf>
  </cellXfs>
  <cellStyles count="3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4" xfId="50"/>
    <cellStyle name="Comma 5" xfId="51"/>
    <cellStyle name="Comma 6"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2 2 2" xfId="74"/>
    <cellStyle name="Normal 10 3" xfId="75"/>
    <cellStyle name="Normal 10 4" xfId="76"/>
    <cellStyle name="Normal 10 5" xfId="77"/>
    <cellStyle name="Normal 10 6" xfId="78"/>
    <cellStyle name="Normal 11" xfId="79"/>
    <cellStyle name="Normal 11 2" xfId="80"/>
    <cellStyle name="Normal 11 2 2" xfId="81"/>
    <cellStyle name="Normal 11 3" xfId="82"/>
    <cellStyle name="Normal 11 4" xfId="83"/>
    <cellStyle name="Normal 11 5" xfId="84"/>
    <cellStyle name="Normal 12" xfId="85"/>
    <cellStyle name="Normal 12 10" xfId="86"/>
    <cellStyle name="Normal 12 11" xfId="87"/>
    <cellStyle name="Normal 12 12" xfId="88"/>
    <cellStyle name="Normal 12 2" xfId="89"/>
    <cellStyle name="Normal 12 2 2" xfId="90"/>
    <cellStyle name="Normal 12 3" xfId="91"/>
    <cellStyle name="Normal 12 4" xfId="92"/>
    <cellStyle name="Normal 12 5" xfId="93"/>
    <cellStyle name="Normal 12 6" xfId="94"/>
    <cellStyle name="Normal 12 7" xfId="95"/>
    <cellStyle name="Normal 12 8" xfId="96"/>
    <cellStyle name="Normal 12 9" xfId="97"/>
    <cellStyle name="Normal 13" xfId="98"/>
    <cellStyle name="Normal 13 10" xfId="99"/>
    <cellStyle name="Normal 13 11" xfId="100"/>
    <cellStyle name="Normal 13 12" xfId="101"/>
    <cellStyle name="Normal 13 2" xfId="102"/>
    <cellStyle name="Normal 13 2 2" xfId="103"/>
    <cellStyle name="Normal 13 3" xfId="104"/>
    <cellStyle name="Normal 13 4" xfId="105"/>
    <cellStyle name="Normal 13 5" xfId="106"/>
    <cellStyle name="Normal 13 6" xfId="107"/>
    <cellStyle name="Normal 13 7" xfId="108"/>
    <cellStyle name="Normal 13 8" xfId="109"/>
    <cellStyle name="Normal 13 9" xfId="110"/>
    <cellStyle name="Normal 14" xfId="111"/>
    <cellStyle name="Normal 14 2" xfId="112"/>
    <cellStyle name="Normal 14 3" xfId="113"/>
    <cellStyle name="Normal 14 4" xfId="114"/>
    <cellStyle name="Normal 14 5" xfId="115"/>
    <cellStyle name="Normal 14 6" xfId="116"/>
    <cellStyle name="Normal 15" xfId="117"/>
    <cellStyle name="Normal 15 2" xfId="118"/>
    <cellStyle name="Normal 15 3" xfId="119"/>
    <cellStyle name="Normal 15 4" xfId="120"/>
    <cellStyle name="Normal 16" xfId="121"/>
    <cellStyle name="Normal 16 2" xfId="122"/>
    <cellStyle name="Normal 16 3" xfId="123"/>
    <cellStyle name="Normal 16 4" xfId="124"/>
    <cellStyle name="Normal 17" xfId="125"/>
    <cellStyle name="Normal 17 2" xfId="126"/>
    <cellStyle name="Normal 17 3" xfId="127"/>
    <cellStyle name="Normal 17 4" xfId="128"/>
    <cellStyle name="Normal 18" xfId="129"/>
    <cellStyle name="Normal 18 2" xfId="130"/>
    <cellStyle name="Normal 18 2 2" xfId="131"/>
    <cellStyle name="Normal 18 2 3" xfId="132"/>
    <cellStyle name="Normal 18 3" xfId="133"/>
    <cellStyle name="Normal 18 4" xfId="134"/>
    <cellStyle name="Normal 18 5" xfId="135"/>
    <cellStyle name="Normal 18 6" xfId="136"/>
    <cellStyle name="Normal 18 7"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2" xfId="146"/>
    <cellStyle name="Normal 2 10" xfId="147"/>
    <cellStyle name="Normal 2 10 10" xfId="148"/>
    <cellStyle name="Normal 2 10 2" xfId="149"/>
    <cellStyle name="Normal 2 10 2 2" xfId="150"/>
    <cellStyle name="Normal 2 10 3" xfId="151"/>
    <cellStyle name="Normal 2 10 3 2" xfId="152"/>
    <cellStyle name="Normal 2 10 4" xfId="153"/>
    <cellStyle name="Normal 2 10 4 2" xfId="154"/>
    <cellStyle name="Normal 2 10 5" xfId="155"/>
    <cellStyle name="Normal 2 10 5 2" xfId="156"/>
    <cellStyle name="Normal 2 10 6" xfId="157"/>
    <cellStyle name="Normal 2 10 6 2" xfId="158"/>
    <cellStyle name="Normal 2 10 7" xfId="159"/>
    <cellStyle name="Normal 2 10 7 2" xfId="160"/>
    <cellStyle name="Normal 2 10 8" xfId="161"/>
    <cellStyle name="Normal 2 10 8 2" xfId="162"/>
    <cellStyle name="Normal 2 10 9" xfId="163"/>
    <cellStyle name="Normal 2 11" xfId="164"/>
    <cellStyle name="Normal 2 11 10" xfId="165"/>
    <cellStyle name="Normal 2 11 2" xfId="166"/>
    <cellStyle name="Normal 2 11 2 2" xfId="167"/>
    <cellStyle name="Normal 2 11 3" xfId="168"/>
    <cellStyle name="Normal 2 11 3 2" xfId="169"/>
    <cellStyle name="Normal 2 11 4" xfId="170"/>
    <cellStyle name="Normal 2 11 4 2" xfId="171"/>
    <cellStyle name="Normal 2 11 5" xfId="172"/>
    <cellStyle name="Normal 2 11 5 2" xfId="173"/>
    <cellStyle name="Normal 2 11 6" xfId="174"/>
    <cellStyle name="Normal 2 11 6 2" xfId="175"/>
    <cellStyle name="Normal 2 11 7" xfId="176"/>
    <cellStyle name="Normal 2 11 7 2" xfId="177"/>
    <cellStyle name="Normal 2 11 8" xfId="178"/>
    <cellStyle name="Normal 2 11 8 2" xfId="179"/>
    <cellStyle name="Normal 2 11 9" xfId="180"/>
    <cellStyle name="Normal 2 12" xfId="181"/>
    <cellStyle name="Normal 2 13" xfId="182"/>
    <cellStyle name="Normal 2 14" xfId="183"/>
    <cellStyle name="Normal 2 15" xfId="184"/>
    <cellStyle name="Normal 2 16" xfId="185"/>
    <cellStyle name="Normal 2 2" xfId="186"/>
    <cellStyle name="Normal 2 2 10" xfId="187"/>
    <cellStyle name="Normal 2 2 10 2" xfId="188"/>
    <cellStyle name="Normal 2 2 11" xfId="189"/>
    <cellStyle name="Normal 2 2 11 2" xfId="190"/>
    <cellStyle name="Normal 2 2 12" xfId="191"/>
    <cellStyle name="Normal 2 2 12 2" xfId="192"/>
    <cellStyle name="Normal 2 2 13" xfId="193"/>
    <cellStyle name="Normal 2 2 13 2" xfId="194"/>
    <cellStyle name="Normal 2 2 14" xfId="195"/>
    <cellStyle name="Normal 2 2 14 2" xfId="196"/>
    <cellStyle name="Normal 2 2 15" xfId="197"/>
    <cellStyle name="Normal 2 2 15 2" xfId="198"/>
    <cellStyle name="Normal 2 2 16" xfId="199"/>
    <cellStyle name="Normal 2 2 17" xfId="200"/>
    <cellStyle name="Normal 2 2 18" xfId="201"/>
    <cellStyle name="Normal 2 2 19" xfId="202"/>
    <cellStyle name="Normal 2 2 2" xfId="203"/>
    <cellStyle name="Normal 2 2 2 2" xfId="204"/>
    <cellStyle name="Normal 2 2 2 2 2" xfId="205"/>
    <cellStyle name="Normal 2 2 2 3" xfId="206"/>
    <cellStyle name="Normal 2 2 2 3 2" xfId="207"/>
    <cellStyle name="Normal 2 2 2 4" xfId="208"/>
    <cellStyle name="Normal 2 2 2 4 2" xfId="209"/>
    <cellStyle name="Normal 2 2 2 5" xfId="210"/>
    <cellStyle name="Normal 2 2 2 5 2" xfId="211"/>
    <cellStyle name="Normal 2 2 2 6" xfId="212"/>
    <cellStyle name="Normal 2 2 2 6 2" xfId="213"/>
    <cellStyle name="Normal 2 2 2 7" xfId="214"/>
    <cellStyle name="Normal 2 2 2 8" xfId="215"/>
    <cellStyle name="Normal 2 2 20" xfId="216"/>
    <cellStyle name="Normal 2 2 21" xfId="217"/>
    <cellStyle name="Normal 2 2 3" xfId="218"/>
    <cellStyle name="Normal 2 2 3 2" xfId="219"/>
    <cellStyle name="Normal 2 2 4" xfId="220"/>
    <cellStyle name="Normal 2 2 4 2" xfId="221"/>
    <cellStyle name="Normal 2 2 5" xfId="222"/>
    <cellStyle name="Normal 2 2 5 2" xfId="223"/>
    <cellStyle name="Normal 2 2 6" xfId="224"/>
    <cellStyle name="Normal 2 2 6 2" xfId="225"/>
    <cellStyle name="Normal 2 2 7" xfId="226"/>
    <cellStyle name="Normal 2 2 7 2" xfId="227"/>
    <cellStyle name="Normal 2 2 8" xfId="228"/>
    <cellStyle name="Normal 2 2 8 2" xfId="229"/>
    <cellStyle name="Normal 2 2 9" xfId="230"/>
    <cellStyle name="Normal 2 2 9 2" xfId="231"/>
    <cellStyle name="Normal 2 3" xfId="232"/>
    <cellStyle name="Normal 2 3 10" xfId="233"/>
    <cellStyle name="Normal 2 3 11" xfId="234"/>
    <cellStyle name="Normal 2 3 12" xfId="235"/>
    <cellStyle name="Normal 2 3 13" xfId="236"/>
    <cellStyle name="Normal 2 3 14" xfId="237"/>
    <cellStyle name="Normal 2 3 2" xfId="238"/>
    <cellStyle name="Normal 2 3 2 2" xfId="239"/>
    <cellStyle name="Normal 2 3 3" xfId="240"/>
    <cellStyle name="Normal 2 3 3 2" xfId="241"/>
    <cellStyle name="Normal 2 3 3 3" xfId="242"/>
    <cellStyle name="Normal 2 3 4" xfId="243"/>
    <cellStyle name="Normal 2 3 5" xfId="244"/>
    <cellStyle name="Normal 2 3 6" xfId="245"/>
    <cellStyle name="Normal 2 3 7" xfId="246"/>
    <cellStyle name="Normal 2 3 8" xfId="247"/>
    <cellStyle name="Normal 2 3 9" xfId="248"/>
    <cellStyle name="Normal 2 4" xfId="249"/>
    <cellStyle name="Normal 2 4 10" xfId="250"/>
    <cellStyle name="Normal 2 4 11" xfId="251"/>
    <cellStyle name="Normal 2 4 2" xfId="252"/>
    <cellStyle name="Normal 2 4 2 2" xfId="253"/>
    <cellStyle name="Normal 2 4 3" xfId="254"/>
    <cellStyle name="Normal 2 4 3 2" xfId="255"/>
    <cellStyle name="Normal 2 4 3 3" xfId="256"/>
    <cellStyle name="Normal 2 4 4" xfId="257"/>
    <cellStyle name="Normal 2 4 5" xfId="258"/>
    <cellStyle name="Normal 2 4 6" xfId="259"/>
    <cellStyle name="Normal 2 4 7" xfId="260"/>
    <cellStyle name="Normal 2 4 8" xfId="261"/>
    <cellStyle name="Normal 2 4 9" xfId="262"/>
    <cellStyle name="Normal 2 5" xfId="263"/>
    <cellStyle name="Normal 2 5 10" xfId="264"/>
    <cellStyle name="Normal 2 5 11" xfId="265"/>
    <cellStyle name="Normal 2 5 12" xfId="266"/>
    <cellStyle name="Normal 2 5 2" xfId="267"/>
    <cellStyle name="Normal 2 5 2 2" xfId="268"/>
    <cellStyle name="Normal 2 5 3" xfId="269"/>
    <cellStyle name="Normal 2 5 3 2" xfId="270"/>
    <cellStyle name="Normal 2 5 4" xfId="271"/>
    <cellStyle name="Normal 2 5 5" xfId="272"/>
    <cellStyle name="Normal 2 5 6" xfId="273"/>
    <cellStyle name="Normal 2 5 7" xfId="274"/>
    <cellStyle name="Normal 2 5 8" xfId="275"/>
    <cellStyle name="Normal 2 5 9" xfId="276"/>
    <cellStyle name="Normal 2 6" xfId="277"/>
    <cellStyle name="Normal 2 6 10" xfId="278"/>
    <cellStyle name="Normal 2 6 11" xfId="279"/>
    <cellStyle name="Normal 2 6 12" xfId="280"/>
    <cellStyle name="Normal 2 6 2" xfId="281"/>
    <cellStyle name="Normal 2 6 2 2" xfId="282"/>
    <cellStyle name="Normal 2 6 3" xfId="283"/>
    <cellStyle name="Normal 2 6 3 2" xfId="284"/>
    <cellStyle name="Normal 2 6 4" xfId="285"/>
    <cellStyle name="Normal 2 6 5" xfId="286"/>
    <cellStyle name="Normal 2 6 6" xfId="287"/>
    <cellStyle name="Normal 2 6 7" xfId="288"/>
    <cellStyle name="Normal 2 6 8" xfId="289"/>
    <cellStyle name="Normal 2 6 9" xfId="290"/>
    <cellStyle name="Normal 2 7" xfId="291"/>
    <cellStyle name="Normal 2 7 10" xfId="292"/>
    <cellStyle name="Normal 2 7 2" xfId="293"/>
    <cellStyle name="Normal 2 7 2 2" xfId="294"/>
    <cellStyle name="Normal 2 7 2 3" xfId="295"/>
    <cellStyle name="Normal 2 7 3" xfId="296"/>
    <cellStyle name="Normal 2 7 3 2" xfId="297"/>
    <cellStyle name="Normal 2 7 4" xfId="298"/>
    <cellStyle name="Normal 2 7 4 2" xfId="299"/>
    <cellStyle name="Normal 2 7 5" xfId="300"/>
    <cellStyle name="Normal 2 7 5 2" xfId="301"/>
    <cellStyle name="Normal 2 7 6" xfId="302"/>
    <cellStyle name="Normal 2 7 6 2" xfId="303"/>
    <cellStyle name="Normal 2 7 7" xfId="304"/>
    <cellStyle name="Normal 2 7 7 2" xfId="305"/>
    <cellStyle name="Normal 2 7 8" xfId="306"/>
    <cellStyle name="Normal 2 7 8 2" xfId="307"/>
    <cellStyle name="Normal 2 7 9" xfId="308"/>
    <cellStyle name="Normal 2 8" xfId="309"/>
    <cellStyle name="Normal 2 8 10" xfId="310"/>
    <cellStyle name="Normal 2 8 2" xfId="311"/>
    <cellStyle name="Normal 2 8 2 2" xfId="312"/>
    <cellStyle name="Normal 2 8 3" xfId="313"/>
    <cellStyle name="Normal 2 8 3 2" xfId="314"/>
    <cellStyle name="Normal 2 8 4" xfId="315"/>
    <cellStyle name="Normal 2 8 4 2" xfId="316"/>
    <cellStyle name="Normal 2 8 5" xfId="317"/>
    <cellStyle name="Normal 2 8 5 2" xfId="318"/>
    <cellStyle name="Normal 2 8 6" xfId="319"/>
    <cellStyle name="Normal 2 8 6 2" xfId="320"/>
    <cellStyle name="Normal 2 8 7" xfId="321"/>
    <cellStyle name="Normal 2 8 7 2" xfId="322"/>
    <cellStyle name="Normal 2 8 8" xfId="323"/>
    <cellStyle name="Normal 2 8 8 2" xfId="324"/>
    <cellStyle name="Normal 2 8 9" xfId="325"/>
    <cellStyle name="Normal 2 9" xfId="326"/>
    <cellStyle name="Normal 2 9 10" xfId="327"/>
    <cellStyle name="Normal 2 9 2" xfId="328"/>
    <cellStyle name="Normal 2 9 2 2" xfId="329"/>
    <cellStyle name="Normal 2 9 3" xfId="330"/>
    <cellStyle name="Normal 2 9 3 2" xfId="331"/>
    <cellStyle name="Normal 2 9 4" xfId="332"/>
    <cellStyle name="Normal 2 9 4 2" xfId="333"/>
    <cellStyle name="Normal 2 9 5" xfId="334"/>
    <cellStyle name="Normal 2 9 5 2" xfId="335"/>
    <cellStyle name="Normal 2 9 6" xfId="336"/>
    <cellStyle name="Normal 2 9 6 2" xfId="337"/>
    <cellStyle name="Normal 2 9 7" xfId="338"/>
    <cellStyle name="Normal 2 9 7 2" xfId="339"/>
    <cellStyle name="Normal 2 9 8" xfId="340"/>
    <cellStyle name="Normal 2 9 8 2" xfId="341"/>
    <cellStyle name="Normal 2 9 9" xfId="342"/>
    <cellStyle name="Normal 20" xfId="343"/>
    <cellStyle name="Normal 20 2" xfId="344"/>
    <cellStyle name="Normal 20 3" xfId="345"/>
    <cellStyle name="Normal 22" xfId="346"/>
    <cellStyle name="Normal 22 2" xfId="347"/>
    <cellStyle name="Normal 22 3" xfId="348"/>
    <cellStyle name="Normal 23" xfId="349"/>
    <cellStyle name="Normal 23 2" xfId="350"/>
    <cellStyle name="Normal 23 3" xfId="351"/>
    <cellStyle name="Normal 24" xfId="352"/>
    <cellStyle name="Normal 24 2" xfId="353"/>
    <cellStyle name="Normal 24 3" xfId="354"/>
    <cellStyle name="Normal 25" xfId="355"/>
    <cellStyle name="Normal 25 2" xfId="356"/>
    <cellStyle name="Normal 25 3" xfId="357"/>
    <cellStyle name="Normal 3" xfId="358"/>
    <cellStyle name="Normal 3 2" xfId="359"/>
    <cellStyle name="Normal 3 3" xfId="360"/>
    <cellStyle name="Normal 3 3 2" xfId="361"/>
    <cellStyle name="Normal 3 3 3" xfId="362"/>
    <cellStyle name="Normal 3 4" xfId="363"/>
    <cellStyle name="Normal 3 5" xfId="364"/>
    <cellStyle name="Normal 3 6" xfId="365"/>
    <cellStyle name="Normal 3 7" xfId="366"/>
    <cellStyle name="Normal 4" xfId="367"/>
    <cellStyle name="Normal 4 2" xfId="368"/>
    <cellStyle name="Normal 4 3" xfId="369"/>
    <cellStyle name="Normal 4 3 2" xfId="370"/>
    <cellStyle name="Normal 4 3 3" xfId="371"/>
    <cellStyle name="Normal 4 4" xfId="372"/>
    <cellStyle name="Normal 4 5" xfId="373"/>
    <cellStyle name="Normal 5" xfId="374"/>
    <cellStyle name="Normal 5 2" xfId="375"/>
    <cellStyle name="Normal 5 3" xfId="376"/>
    <cellStyle name="Normal 6" xfId="377"/>
    <cellStyle name="Normal 6 2" xfId="378"/>
    <cellStyle name="Normal 6 3" xfId="379"/>
    <cellStyle name="Normal 6 4" xfId="380"/>
    <cellStyle name="Normal 6 5" xfId="381"/>
    <cellStyle name="Normal 7" xfId="382"/>
    <cellStyle name="Normal 7 2" xfId="383"/>
    <cellStyle name="Normal 7 2 2" xfId="384"/>
    <cellStyle name="Normal 7 2 2 2" xfId="385"/>
    <cellStyle name="Normal 7 2 3" xfId="386"/>
    <cellStyle name="Normal 7 2 4" xfId="387"/>
    <cellStyle name="Normal 7 3" xfId="388"/>
    <cellStyle name="Normal 7 4" xfId="389"/>
    <cellStyle name="Normal 7 5" xfId="390"/>
    <cellStyle name="Normal 7 5 2" xfId="391"/>
    <cellStyle name="Normal 7 5 3" xfId="392"/>
    <cellStyle name="Normal 7 6" xfId="393"/>
    <cellStyle name="Normal 8" xfId="394"/>
    <cellStyle name="Normal 8 2" xfId="395"/>
    <cellStyle name="Normal 9" xfId="396"/>
    <cellStyle name="Normal 9 2" xfId="397"/>
    <cellStyle name="Normal 9 2 2" xfId="398"/>
    <cellStyle name="Normal 9 3" xfId="399"/>
    <cellStyle name="Normal 9 4" xfId="400"/>
    <cellStyle name="Normal 9 5" xfId="401"/>
    <cellStyle name="Normal_debt" xfId="402"/>
    <cellStyle name="Normal_lpform" xfId="403"/>
    <cellStyle name="Normal_Township 07" xfId="404"/>
    <cellStyle name="Note" xfId="405"/>
    <cellStyle name="Output" xfId="406"/>
    <cellStyle name="Percent" xfId="407"/>
    <cellStyle name="Title" xfId="408"/>
    <cellStyle name="Total" xfId="409"/>
    <cellStyle name="Warning Text" xfId="410"/>
  </cellStyles>
  <dxfs count="40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zoomScale="75" zoomScaleNormal="75" zoomScalePageLayoutView="0" workbookViewId="0" topLeftCell="A1">
      <selection activeCell="D101" sqref="D101"/>
    </sheetView>
  </sheetViews>
  <sheetFormatPr defaultColWidth="8.796875" defaultRowHeight="15"/>
  <cols>
    <col min="1" max="1" width="88.796875" style="72" customWidth="1"/>
    <col min="2" max="16384" width="8.8984375" style="72" customWidth="1"/>
  </cols>
  <sheetData>
    <row r="1" ht="15.75">
      <c r="A1" s="71" t="s">
        <v>325</v>
      </c>
    </row>
    <row r="3" ht="34.5" customHeight="1">
      <c r="A3" s="73" t="s">
        <v>39</v>
      </c>
    </row>
    <row r="4" ht="15.75">
      <c r="A4" s="74"/>
    </row>
    <row r="5" ht="52.5" customHeight="1">
      <c r="A5" s="75" t="s">
        <v>326</v>
      </c>
    </row>
    <row r="6" ht="15.75">
      <c r="A6" s="75"/>
    </row>
    <row r="7" ht="31.5">
      <c r="A7" s="75" t="s">
        <v>100</v>
      </c>
    </row>
    <row r="8" ht="15.75">
      <c r="A8" s="75"/>
    </row>
    <row r="9" ht="54.75" customHeight="1">
      <c r="A9" s="75" t="s">
        <v>85</v>
      </c>
    </row>
    <row r="10" ht="15.75">
      <c r="A10" s="75"/>
    </row>
    <row r="11" ht="15.75">
      <c r="A11" s="75" t="s">
        <v>321</v>
      </c>
    </row>
    <row r="13" ht="118.5" customHeight="1">
      <c r="A13" s="75" t="s">
        <v>80</v>
      </c>
    </row>
    <row r="14" ht="15.75">
      <c r="A14" s="75"/>
    </row>
    <row r="15" ht="106.5" customHeight="1">
      <c r="A15" s="75" t="s">
        <v>81</v>
      </c>
    </row>
    <row r="17" ht="15.75">
      <c r="A17" s="71" t="s">
        <v>636</v>
      </c>
    </row>
    <row r="18" ht="15.75">
      <c r="A18" s="71"/>
    </row>
    <row r="19" ht="15.75">
      <c r="A19" s="74" t="s">
        <v>83</v>
      </c>
    </row>
    <row r="20" ht="15.75">
      <c r="A20" s="74"/>
    </row>
    <row r="21" ht="15.75">
      <c r="A21" s="72" t="s">
        <v>354</v>
      </c>
    </row>
    <row r="23" ht="72" customHeight="1">
      <c r="A23" s="76" t="s">
        <v>84</v>
      </c>
    </row>
    <row r="24" ht="13.5" customHeight="1">
      <c r="A24" s="76"/>
    </row>
    <row r="27" ht="15.75">
      <c r="A27" s="71" t="s">
        <v>127</v>
      </c>
    </row>
    <row r="29" ht="34.5" customHeight="1">
      <c r="A29" s="75" t="s">
        <v>79</v>
      </c>
    </row>
    <row r="30" ht="9.75" customHeight="1">
      <c r="A30" s="75"/>
    </row>
    <row r="31" ht="15.75">
      <c r="A31" s="77" t="s">
        <v>40</v>
      </c>
    </row>
    <row r="32" ht="15.75">
      <c r="A32" s="75"/>
    </row>
    <row r="33" ht="17.25" customHeight="1">
      <c r="A33" s="78" t="s">
        <v>287</v>
      </c>
    </row>
    <row r="34" ht="17.25" customHeight="1">
      <c r="A34" s="79"/>
    </row>
    <row r="35" ht="87.75" customHeight="1">
      <c r="A35" s="80" t="s">
        <v>66</v>
      </c>
    </row>
    <row r="37" ht="15.75">
      <c r="A37" s="81" t="s">
        <v>41</v>
      </c>
    </row>
    <row r="39" ht="15.75">
      <c r="A39" s="82" t="s">
        <v>82</v>
      </c>
    </row>
    <row r="41" ht="15.75">
      <c r="A41" s="75" t="s">
        <v>128</v>
      </c>
    </row>
    <row r="43" ht="15.75">
      <c r="A43" s="71" t="s">
        <v>129</v>
      </c>
    </row>
    <row r="45" ht="70.5" customHeight="1">
      <c r="A45" s="75" t="s">
        <v>796</v>
      </c>
    </row>
    <row r="46" ht="52.5" customHeight="1">
      <c r="A46" s="83" t="s">
        <v>56</v>
      </c>
    </row>
    <row r="47" ht="9" customHeight="1">
      <c r="A47" s="75"/>
    </row>
    <row r="48" ht="69.75" customHeight="1">
      <c r="A48" s="75" t="s">
        <v>797</v>
      </c>
    </row>
    <row r="49" ht="53.25" customHeight="1">
      <c r="A49" s="75" t="s">
        <v>57</v>
      </c>
    </row>
    <row r="50" ht="102.75" customHeight="1">
      <c r="A50" s="75" t="s">
        <v>120</v>
      </c>
    </row>
    <row r="51" ht="73.5" customHeight="1">
      <c r="A51" s="442" t="s">
        <v>637</v>
      </c>
    </row>
    <row r="52" ht="69.75" customHeight="1">
      <c r="A52" s="443" t="s">
        <v>638</v>
      </c>
    </row>
    <row r="53" ht="69.75" customHeight="1">
      <c r="A53" s="719" t="s">
        <v>848</v>
      </c>
    </row>
    <row r="54" ht="12" customHeight="1">
      <c r="A54" s="75"/>
    </row>
    <row r="55" ht="68.25" customHeight="1">
      <c r="A55" s="75" t="s">
        <v>639</v>
      </c>
    </row>
    <row r="56" ht="68.25" customHeight="1">
      <c r="A56" s="75" t="s">
        <v>640</v>
      </c>
    </row>
    <row r="57" ht="31.5">
      <c r="A57" s="75" t="s">
        <v>641</v>
      </c>
    </row>
    <row r="58" ht="31.5">
      <c r="A58" s="75" t="s">
        <v>642</v>
      </c>
    </row>
    <row r="59" ht="12" customHeight="1"/>
    <row r="60" ht="68.25" customHeight="1">
      <c r="A60" s="75" t="s">
        <v>643</v>
      </c>
    </row>
    <row r="61" ht="128.25" customHeight="1">
      <c r="A61" s="75" t="s">
        <v>644</v>
      </c>
    </row>
    <row r="62" ht="35.25" customHeight="1">
      <c r="A62" s="75" t="s">
        <v>645</v>
      </c>
    </row>
    <row r="63" ht="10.5" customHeight="1">
      <c r="A63" s="75"/>
    </row>
    <row r="64" ht="68.25" customHeight="1">
      <c r="A64" s="75" t="s">
        <v>849</v>
      </c>
    </row>
    <row r="65" ht="10.5" customHeight="1">
      <c r="A65" s="75"/>
    </row>
    <row r="66" ht="72.75" customHeight="1">
      <c r="A66" s="75" t="s">
        <v>646</v>
      </c>
    </row>
    <row r="67" ht="31.5" customHeight="1">
      <c r="A67" s="75" t="s">
        <v>660</v>
      </c>
    </row>
    <row r="68" ht="82.5" customHeight="1">
      <c r="A68" s="75" t="s">
        <v>661</v>
      </c>
    </row>
    <row r="69" ht="37.5" customHeight="1">
      <c r="A69" s="417" t="s">
        <v>659</v>
      </c>
    </row>
    <row r="70" ht="12" customHeight="1">
      <c r="A70" s="75"/>
    </row>
    <row r="71" ht="54" customHeight="1">
      <c r="A71" s="75" t="s">
        <v>647</v>
      </c>
    </row>
    <row r="72" ht="12" customHeight="1"/>
    <row r="73" s="75" customFormat="1" ht="69" customHeight="1">
      <c r="A73" s="75" t="s">
        <v>648</v>
      </c>
    </row>
    <row r="74" ht="12" customHeight="1"/>
    <row r="75" ht="87" customHeight="1">
      <c r="A75" s="75" t="s">
        <v>649</v>
      </c>
    </row>
    <row r="76" ht="87" customHeight="1">
      <c r="A76" s="549" t="s">
        <v>850</v>
      </c>
    </row>
    <row r="77" ht="87" customHeight="1">
      <c r="A77" s="549" t="s">
        <v>851</v>
      </c>
    </row>
    <row r="78" ht="87" customHeight="1">
      <c r="A78" s="549" t="s">
        <v>852</v>
      </c>
    </row>
    <row r="79" ht="72" customHeight="1">
      <c r="A79" s="75" t="s">
        <v>853</v>
      </c>
    </row>
    <row r="80" ht="116.25" customHeight="1">
      <c r="A80" s="75" t="s">
        <v>854</v>
      </c>
    </row>
    <row r="81" ht="132.75" customHeight="1">
      <c r="A81" s="75" t="s">
        <v>855</v>
      </c>
    </row>
    <row r="82" ht="84" customHeight="1">
      <c r="A82" s="549" t="s">
        <v>856</v>
      </c>
    </row>
    <row r="83" ht="124.5" customHeight="1">
      <c r="A83" s="75" t="s">
        <v>857</v>
      </c>
    </row>
    <row r="84" ht="38.25" customHeight="1">
      <c r="A84" s="75" t="s">
        <v>858</v>
      </c>
    </row>
    <row r="85" ht="85.5" customHeight="1">
      <c r="A85" s="75" t="s">
        <v>859</v>
      </c>
    </row>
    <row r="86" ht="40.5" customHeight="1">
      <c r="A86" s="75" t="s">
        <v>860</v>
      </c>
    </row>
    <row r="87" ht="140.25" customHeight="1">
      <c r="A87" s="414" t="s">
        <v>861</v>
      </c>
    </row>
    <row r="88" ht="119.25" customHeight="1">
      <c r="A88" s="415" t="s">
        <v>862</v>
      </c>
    </row>
    <row r="89" ht="59.25" customHeight="1">
      <c r="A89" s="416" t="s">
        <v>863</v>
      </c>
    </row>
    <row r="91" ht="154.5" customHeight="1">
      <c r="A91" s="75" t="s">
        <v>650</v>
      </c>
    </row>
    <row r="92" ht="132" customHeight="1">
      <c r="A92" s="75" t="s">
        <v>651</v>
      </c>
    </row>
    <row r="93" ht="54" customHeight="1">
      <c r="A93" s="75" t="s">
        <v>652</v>
      </c>
    </row>
    <row r="94" ht="21.75" customHeight="1">
      <c r="A94" s="75" t="s">
        <v>653</v>
      </c>
    </row>
    <row r="96" ht="52.5" customHeight="1">
      <c r="A96" s="75" t="s">
        <v>654</v>
      </c>
    </row>
    <row r="97" ht="22.5" customHeight="1">
      <c r="A97" s="725" t="s">
        <v>893</v>
      </c>
    </row>
    <row r="98" ht="31.5" customHeight="1">
      <c r="A98" s="549" t="s">
        <v>894</v>
      </c>
    </row>
    <row r="99" ht="109.5" customHeight="1">
      <c r="A99" s="549" t="s">
        <v>895</v>
      </c>
    </row>
    <row r="100" ht="126" customHeight="1">
      <c r="A100" s="549" t="s">
        <v>896</v>
      </c>
    </row>
    <row r="101" ht="71.25" customHeight="1">
      <c r="A101" s="726" t="s">
        <v>897</v>
      </c>
    </row>
    <row r="102" ht="57.75" customHeight="1">
      <c r="A102" s="75" t="s">
        <v>898</v>
      </c>
    </row>
    <row r="103" ht="57.75" customHeight="1">
      <c r="A103" s="75" t="s">
        <v>899</v>
      </c>
    </row>
    <row r="104" ht="10.5" customHeight="1"/>
    <row r="105" ht="57" customHeight="1">
      <c r="A105" s="75" t="s">
        <v>655</v>
      </c>
    </row>
    <row r="106" ht="15.75" customHeight="1"/>
    <row r="107" ht="54" customHeight="1">
      <c r="A107" s="549" t="s">
        <v>798</v>
      </c>
    </row>
    <row r="108" ht="93" customHeight="1">
      <c r="A108" s="549" t="s">
        <v>799</v>
      </c>
    </row>
    <row r="109" ht="104.25" customHeight="1">
      <c r="A109" s="549" t="s">
        <v>800</v>
      </c>
    </row>
  </sheetData>
  <sheetProtection sheet="1"/>
  <printOptions/>
  <pageMargins left="0.5" right="0.5" top="0.5" bottom="0.5" header="0.5" footer="0.5"/>
  <pageSetup blackAndWhite="1" fitToHeight="2" horizontalDpi="300" verticalDpi="300" orientation="portrait" scale="90" r:id="rId1"/>
  <rowBreaks count="1" manualBreakCount="1">
    <brk id="26" max="0" man="1"/>
  </rowBreaks>
</worksheet>
</file>

<file path=xl/worksheets/sheet10.xml><?xml version="1.0" encoding="utf-8"?>
<worksheet xmlns="http://schemas.openxmlformats.org/spreadsheetml/2006/main" xmlns:r="http://schemas.openxmlformats.org/officeDocument/2006/relationships">
  <dimension ref="A1:G48"/>
  <sheetViews>
    <sheetView zoomScalePageLayoutView="0" workbookViewId="0" topLeftCell="A28">
      <selection activeCell="A31" sqref="A31"/>
    </sheetView>
  </sheetViews>
  <sheetFormatPr defaultColWidth="8.796875" defaultRowHeight="15"/>
  <cols>
    <col min="1" max="1" width="70.3984375" style="165" customWidth="1"/>
    <col min="2" max="16384" width="8.8984375" style="165" customWidth="1"/>
  </cols>
  <sheetData>
    <row r="1" spans="1:7" ht="30" customHeight="1">
      <c r="A1" s="492" t="s">
        <v>357</v>
      </c>
      <c r="B1" s="491"/>
      <c r="C1" s="491"/>
      <c r="D1" s="491"/>
      <c r="E1" s="491"/>
      <c r="F1" s="491"/>
      <c r="G1" s="491"/>
    </row>
    <row r="2" ht="15.75" customHeight="1">
      <c r="A2" s="2"/>
    </row>
    <row r="3" ht="54" customHeight="1">
      <c r="A3" s="490" t="s">
        <v>679</v>
      </c>
    </row>
    <row r="4" ht="15.75" customHeight="1">
      <c r="A4" s="2"/>
    </row>
    <row r="5" ht="52.5" customHeight="1">
      <c r="A5" s="490" t="s">
        <v>680</v>
      </c>
    </row>
    <row r="6" ht="15.75" customHeight="1">
      <c r="A6" s="2"/>
    </row>
    <row r="7" s="488" customFormat="1" ht="45.75" customHeight="1">
      <c r="A7" s="489" t="s">
        <v>397</v>
      </c>
    </row>
    <row r="8" ht="15.75" customHeight="1">
      <c r="A8" s="2"/>
    </row>
    <row r="9" ht="46.5" customHeight="1">
      <c r="A9" s="489" t="s">
        <v>398</v>
      </c>
    </row>
    <row r="10" ht="15.75" customHeight="1"/>
    <row r="11" ht="45.75" customHeight="1">
      <c r="A11" s="489" t="s">
        <v>399</v>
      </c>
    </row>
    <row r="12" ht="15.75" customHeight="1">
      <c r="A12" s="2"/>
    </row>
    <row r="13" ht="62.25" customHeight="1">
      <c r="A13" s="489" t="s">
        <v>400</v>
      </c>
    </row>
    <row r="14" ht="15.75" customHeight="1">
      <c r="A14" s="2"/>
    </row>
    <row r="15" ht="32.25" customHeight="1">
      <c r="A15" s="489" t="s">
        <v>401</v>
      </c>
    </row>
    <row r="16" ht="15.75" customHeight="1"/>
    <row r="17" ht="67.5" customHeight="1">
      <c r="A17" s="487" t="s">
        <v>681</v>
      </c>
    </row>
    <row r="18" ht="15.75" customHeight="1"/>
    <row r="19" ht="81" customHeight="1">
      <c r="A19" s="487" t="s">
        <v>402</v>
      </c>
    </row>
    <row r="20" ht="15.75" customHeight="1">
      <c r="A20" s="2"/>
    </row>
    <row r="21" ht="78" customHeight="1">
      <c r="A21" s="489" t="s">
        <v>403</v>
      </c>
    </row>
    <row r="22" ht="15.75" customHeight="1">
      <c r="A22" s="2"/>
    </row>
    <row r="23" ht="44.25" customHeight="1">
      <c r="A23" s="489" t="s">
        <v>404</v>
      </c>
    </row>
    <row r="24" ht="15.75" customHeight="1"/>
    <row r="25" ht="53.25" customHeight="1">
      <c r="A25" s="487" t="s">
        <v>405</v>
      </c>
    </row>
    <row r="26" ht="16.5" customHeight="1">
      <c r="A26" s="2"/>
    </row>
    <row r="27" ht="40.5" customHeight="1">
      <c r="A27" s="490" t="s">
        <v>682</v>
      </c>
    </row>
    <row r="28" ht="16.5" customHeight="1">
      <c r="A28" s="2"/>
    </row>
    <row r="29" ht="69.75" customHeight="1">
      <c r="A29" s="489" t="s">
        <v>406</v>
      </c>
    </row>
    <row r="30" ht="15.75" customHeight="1">
      <c r="A30" s="2"/>
    </row>
    <row r="31" ht="79.5" customHeight="1">
      <c r="A31" s="489" t="s">
        <v>812</v>
      </c>
    </row>
    <row r="32" ht="15.75" customHeight="1">
      <c r="A32" s="2"/>
    </row>
    <row r="33" ht="58.5" customHeight="1">
      <c r="A33" s="489" t="s">
        <v>407</v>
      </c>
    </row>
    <row r="35" ht="60.75" customHeight="1">
      <c r="A35" s="489" t="s">
        <v>408</v>
      </c>
    </row>
    <row r="36" ht="15.75">
      <c r="A36" s="2"/>
    </row>
    <row r="37" ht="82.5" customHeight="1">
      <c r="A37" s="489" t="s">
        <v>409</v>
      </c>
    </row>
    <row r="38" ht="15.75">
      <c r="A38" s="486"/>
    </row>
    <row r="39" ht="15.75">
      <c r="A39" s="486"/>
    </row>
    <row r="41" ht="15.75">
      <c r="A41" s="486"/>
    </row>
    <row r="42" ht="15.75">
      <c r="A42" s="486"/>
    </row>
    <row r="44" ht="15.75">
      <c r="A44" s="2"/>
    </row>
    <row r="45" ht="15.75">
      <c r="A45" s="486"/>
    </row>
    <row r="47" ht="15.75">
      <c r="A47" s="486"/>
    </row>
    <row r="48" ht="15.75">
      <c r="A48" s="486"/>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AC42"/>
  <sheetViews>
    <sheetView zoomScale="75" zoomScaleNormal="75" zoomScalePageLayoutView="0" workbookViewId="0" topLeftCell="A1">
      <selection activeCell="B1" sqref="B1"/>
    </sheetView>
  </sheetViews>
  <sheetFormatPr defaultColWidth="8.796875" defaultRowHeight="15"/>
  <cols>
    <col min="1" max="1" width="5.3984375" style="143" customWidth="1"/>
    <col min="2" max="2" width="20.796875" style="143" customWidth="1"/>
    <col min="3" max="3" width="9.3984375" style="143" customWidth="1"/>
    <col min="4" max="4" width="9.796875" style="143" customWidth="1"/>
    <col min="5" max="5" width="8.796875" style="143" customWidth="1"/>
    <col min="6" max="6" width="12.796875" style="143" customWidth="1"/>
    <col min="7" max="7" width="14" style="143" customWidth="1"/>
    <col min="8" max="13" width="9.796875" style="143" customWidth="1"/>
    <col min="14" max="16384" width="8.8984375" style="143" customWidth="1"/>
  </cols>
  <sheetData>
    <row r="1" spans="2:13" ht="15.75">
      <c r="B1" s="228" t="str">
        <f>inputPrYr!$C$2</f>
        <v>Rice County</v>
      </c>
      <c r="C1" s="85"/>
      <c r="D1" s="85"/>
      <c r="E1" s="85"/>
      <c r="F1" s="85"/>
      <c r="G1" s="85"/>
      <c r="H1" s="85"/>
      <c r="I1" s="85"/>
      <c r="J1" s="85"/>
      <c r="K1" s="85"/>
      <c r="L1" s="85"/>
      <c r="M1" s="255">
        <f>inputPrYr!$C$4</f>
        <v>2013</v>
      </c>
    </row>
    <row r="2" spans="2:13" ht="15.75">
      <c r="B2" s="228"/>
      <c r="C2" s="85"/>
      <c r="D2" s="85"/>
      <c r="E2" s="85"/>
      <c r="F2" s="85"/>
      <c r="G2" s="85"/>
      <c r="H2" s="85"/>
      <c r="I2" s="85"/>
      <c r="J2" s="85"/>
      <c r="K2" s="85"/>
      <c r="L2" s="85"/>
      <c r="M2" s="240"/>
    </row>
    <row r="3" spans="2:13" ht="15.75">
      <c r="B3" s="256" t="s">
        <v>244</v>
      </c>
      <c r="C3" s="93"/>
      <c r="D3" s="93"/>
      <c r="E3" s="93"/>
      <c r="F3" s="93"/>
      <c r="G3" s="93"/>
      <c r="H3" s="93"/>
      <c r="I3" s="93"/>
      <c r="J3" s="93"/>
      <c r="K3" s="93"/>
      <c r="L3" s="93"/>
      <c r="M3" s="93"/>
    </row>
    <row r="4" spans="2:13" ht="15.75">
      <c r="B4" s="85"/>
      <c r="C4" s="257"/>
      <c r="D4" s="257"/>
      <c r="E4" s="257"/>
      <c r="F4" s="257"/>
      <c r="G4" s="257"/>
      <c r="H4" s="257"/>
      <c r="I4" s="257"/>
      <c r="J4" s="257"/>
      <c r="K4" s="257"/>
      <c r="L4" s="257"/>
      <c r="M4" s="257"/>
    </row>
    <row r="5" spans="2:13" ht="15.75">
      <c r="B5" s="258" t="s">
        <v>813</v>
      </c>
      <c r="C5" s="258" t="s">
        <v>211</v>
      </c>
      <c r="D5" s="258" t="s">
        <v>211</v>
      </c>
      <c r="E5" s="258" t="s">
        <v>225</v>
      </c>
      <c r="F5" s="258"/>
      <c r="G5" s="258" t="s">
        <v>347</v>
      </c>
      <c r="H5" s="85"/>
      <c r="I5" s="85"/>
      <c r="J5" s="259" t="s">
        <v>212</v>
      </c>
      <c r="K5" s="260"/>
      <c r="L5" s="259" t="s">
        <v>212</v>
      </c>
      <c r="M5" s="260"/>
    </row>
    <row r="6" spans="2:13" ht="15.75">
      <c r="B6" s="261" t="s">
        <v>213</v>
      </c>
      <c r="C6" s="261" t="s">
        <v>213</v>
      </c>
      <c r="D6" s="261" t="s">
        <v>348</v>
      </c>
      <c r="E6" s="261" t="s">
        <v>214</v>
      </c>
      <c r="F6" s="261" t="s">
        <v>152</v>
      </c>
      <c r="G6" s="261" t="s">
        <v>290</v>
      </c>
      <c r="H6" s="768" t="s">
        <v>215</v>
      </c>
      <c r="I6" s="769"/>
      <c r="J6" s="770">
        <f>M1-1</f>
        <v>2012</v>
      </c>
      <c r="K6" s="771"/>
      <c r="L6" s="770">
        <f>M1</f>
        <v>2013</v>
      </c>
      <c r="M6" s="771"/>
    </row>
    <row r="7" spans="2:13" ht="15.75">
      <c r="B7" s="264" t="s">
        <v>814</v>
      </c>
      <c r="C7" s="264" t="s">
        <v>216</v>
      </c>
      <c r="D7" s="264" t="s">
        <v>349</v>
      </c>
      <c r="E7" s="264" t="s">
        <v>173</v>
      </c>
      <c r="F7" s="264" t="s">
        <v>217</v>
      </c>
      <c r="G7" s="262" t="str">
        <f>CONCATENATE("Jan 1,",M1-1,"")</f>
        <v>Jan 1,2012</v>
      </c>
      <c r="H7" s="253" t="s">
        <v>225</v>
      </c>
      <c r="I7" s="253" t="s">
        <v>226</v>
      </c>
      <c r="J7" s="253" t="s">
        <v>225</v>
      </c>
      <c r="K7" s="253" t="s">
        <v>226</v>
      </c>
      <c r="L7" s="253" t="s">
        <v>225</v>
      </c>
      <c r="M7" s="253" t="s">
        <v>226</v>
      </c>
    </row>
    <row r="8" spans="2:13" ht="15.75">
      <c r="B8" s="263" t="s">
        <v>218</v>
      </c>
      <c r="C8" s="108"/>
      <c r="D8" s="108"/>
      <c r="E8" s="265"/>
      <c r="F8" s="266"/>
      <c r="G8" s="266"/>
      <c r="H8" s="108"/>
      <c r="I8" s="108"/>
      <c r="J8" s="266"/>
      <c r="K8" s="266"/>
      <c r="L8" s="266"/>
      <c r="M8" s="266"/>
    </row>
    <row r="9" spans="2:13" ht="15.75">
      <c r="B9" s="267"/>
      <c r="C9" s="450"/>
      <c r="D9" s="450"/>
      <c r="E9" s="268"/>
      <c r="F9" s="269"/>
      <c r="G9" s="270"/>
      <c r="H9" s="271"/>
      <c r="I9" s="271"/>
      <c r="J9" s="270"/>
      <c r="K9" s="270"/>
      <c r="L9" s="270"/>
      <c r="M9" s="270"/>
    </row>
    <row r="10" spans="2:13" ht="15.75">
      <c r="B10" s="267"/>
      <c r="C10" s="450"/>
      <c r="D10" s="450"/>
      <c r="E10" s="268"/>
      <c r="F10" s="269"/>
      <c r="G10" s="270"/>
      <c r="H10" s="271"/>
      <c r="I10" s="271"/>
      <c r="J10" s="270"/>
      <c r="K10" s="270"/>
      <c r="L10" s="270"/>
      <c r="M10" s="270"/>
    </row>
    <row r="11" spans="2:13" ht="15.75">
      <c r="B11" s="267"/>
      <c r="C11" s="450"/>
      <c r="D11" s="450"/>
      <c r="E11" s="268"/>
      <c r="F11" s="269"/>
      <c r="G11" s="270"/>
      <c r="H11" s="271"/>
      <c r="I11" s="271"/>
      <c r="J11" s="270"/>
      <c r="K11" s="270"/>
      <c r="L11" s="270"/>
      <c r="M11" s="270"/>
    </row>
    <row r="12" spans="2:13" ht="15.75">
      <c r="B12" s="267"/>
      <c r="C12" s="450"/>
      <c r="D12" s="450"/>
      <c r="E12" s="268"/>
      <c r="F12" s="269"/>
      <c r="G12" s="270"/>
      <c r="H12" s="271"/>
      <c r="I12" s="271"/>
      <c r="J12" s="270"/>
      <c r="K12" s="270"/>
      <c r="L12" s="270"/>
      <c r="M12" s="270"/>
    </row>
    <row r="13" spans="2:13" ht="15.75">
      <c r="B13" s="267"/>
      <c r="C13" s="450"/>
      <c r="D13" s="450"/>
      <c r="E13" s="268"/>
      <c r="F13" s="269"/>
      <c r="G13" s="270"/>
      <c r="H13" s="271"/>
      <c r="I13" s="271"/>
      <c r="J13" s="270"/>
      <c r="K13" s="270"/>
      <c r="L13" s="270"/>
      <c r="M13" s="270"/>
    </row>
    <row r="14" spans="2:13" ht="15.75">
      <c r="B14" s="267"/>
      <c r="C14" s="450"/>
      <c r="D14" s="450"/>
      <c r="E14" s="268"/>
      <c r="F14" s="269"/>
      <c r="G14" s="270"/>
      <c r="H14" s="271"/>
      <c r="I14" s="271"/>
      <c r="J14" s="270"/>
      <c r="K14" s="270"/>
      <c r="L14" s="270"/>
      <c r="M14" s="270"/>
    </row>
    <row r="15" spans="2:13" ht="15.75">
      <c r="B15" s="267"/>
      <c r="C15" s="450"/>
      <c r="D15" s="450"/>
      <c r="E15" s="268"/>
      <c r="F15" s="269"/>
      <c r="G15" s="270"/>
      <c r="H15" s="271"/>
      <c r="I15" s="271"/>
      <c r="J15" s="270"/>
      <c r="K15" s="270"/>
      <c r="L15" s="270"/>
      <c r="M15" s="270"/>
    </row>
    <row r="16" spans="2:13" ht="15.75">
      <c r="B16" s="267"/>
      <c r="C16" s="450"/>
      <c r="D16" s="450"/>
      <c r="E16" s="268"/>
      <c r="F16" s="269"/>
      <c r="G16" s="270"/>
      <c r="H16" s="271"/>
      <c r="I16" s="271"/>
      <c r="J16" s="270"/>
      <c r="K16" s="270"/>
      <c r="L16" s="270"/>
      <c r="M16" s="270"/>
    </row>
    <row r="17" spans="2:13" ht="15.75">
      <c r="B17" s="267"/>
      <c r="C17" s="450"/>
      <c r="D17" s="450"/>
      <c r="E17" s="268"/>
      <c r="F17" s="269"/>
      <c r="G17" s="270"/>
      <c r="H17" s="271"/>
      <c r="I17" s="271"/>
      <c r="J17" s="270"/>
      <c r="K17" s="270"/>
      <c r="L17" s="270"/>
      <c r="M17" s="270"/>
    </row>
    <row r="18" spans="2:13" ht="15.75">
      <c r="B18" s="267"/>
      <c r="C18" s="450"/>
      <c r="D18" s="450"/>
      <c r="E18" s="268"/>
      <c r="F18" s="269"/>
      <c r="G18" s="270"/>
      <c r="H18" s="271"/>
      <c r="I18" s="271"/>
      <c r="J18" s="270"/>
      <c r="K18" s="270"/>
      <c r="L18" s="270"/>
      <c r="M18" s="270"/>
    </row>
    <row r="19" spans="2:13" ht="15.75">
      <c r="B19" s="272" t="s">
        <v>219</v>
      </c>
      <c r="C19" s="273"/>
      <c r="D19" s="273"/>
      <c r="E19" s="274"/>
      <c r="F19" s="275"/>
      <c r="G19" s="276">
        <f>SUM(G9:G18)</f>
        <v>0</v>
      </c>
      <c r="H19" s="277"/>
      <c r="I19" s="277"/>
      <c r="J19" s="276">
        <f>SUM(J9:J18)</f>
        <v>0</v>
      </c>
      <c r="K19" s="276">
        <f>SUM(K9:K18)</f>
        <v>0</v>
      </c>
      <c r="L19" s="276">
        <f>SUM(L9:L18)</f>
        <v>0</v>
      </c>
      <c r="M19" s="276">
        <f>SUM(M9:M18)</f>
        <v>0</v>
      </c>
    </row>
    <row r="20" spans="2:13" ht="15.75">
      <c r="B20" s="253" t="s">
        <v>220</v>
      </c>
      <c r="C20" s="278"/>
      <c r="D20" s="278"/>
      <c r="E20" s="279"/>
      <c r="F20" s="280"/>
      <c r="G20" s="280"/>
      <c r="H20" s="281"/>
      <c r="I20" s="281"/>
      <c r="J20" s="280"/>
      <c r="K20" s="280"/>
      <c r="L20" s="280"/>
      <c r="M20" s="280"/>
    </row>
    <row r="21" spans="2:13" ht="15.75">
      <c r="B21" s="267" t="s">
        <v>1073</v>
      </c>
      <c r="C21" s="450"/>
      <c r="D21" s="450"/>
      <c r="E21" s="268"/>
      <c r="F21" s="269"/>
      <c r="G21" s="270"/>
      <c r="H21" s="271"/>
      <c r="I21" s="271"/>
      <c r="J21" s="270"/>
      <c r="K21" s="270"/>
      <c r="L21" s="270"/>
      <c r="M21" s="270"/>
    </row>
    <row r="22" spans="2:13" ht="15.75">
      <c r="B22" s="267" t="s">
        <v>1074</v>
      </c>
      <c r="C22" s="450">
        <v>40788</v>
      </c>
      <c r="D22" s="450">
        <v>43435</v>
      </c>
      <c r="E22" s="268" t="s">
        <v>1075</v>
      </c>
      <c r="F22" s="269">
        <v>2470000</v>
      </c>
      <c r="G22" s="270">
        <v>2470000</v>
      </c>
      <c r="H22" s="271" t="s">
        <v>1076</v>
      </c>
      <c r="I22" s="271">
        <v>41244</v>
      </c>
      <c r="J22" s="270">
        <v>77858</v>
      </c>
      <c r="K22" s="270">
        <v>341213</v>
      </c>
      <c r="L22" s="270">
        <v>56225</v>
      </c>
      <c r="M22" s="270">
        <v>363113</v>
      </c>
    </row>
    <row r="23" spans="2:13" ht="15.75">
      <c r="B23" s="267"/>
      <c r="C23" s="450"/>
      <c r="D23" s="450"/>
      <c r="E23" s="268"/>
      <c r="F23" s="269"/>
      <c r="G23" s="270"/>
      <c r="H23" s="271"/>
      <c r="I23" s="271"/>
      <c r="J23" s="270"/>
      <c r="K23" s="270"/>
      <c r="L23" s="270"/>
      <c r="M23" s="270"/>
    </row>
    <row r="24" spans="2:13" ht="15.75">
      <c r="B24" s="267"/>
      <c r="C24" s="450"/>
      <c r="D24" s="450"/>
      <c r="E24" s="268"/>
      <c r="F24" s="269"/>
      <c r="G24" s="270"/>
      <c r="H24" s="271"/>
      <c r="I24" s="271"/>
      <c r="J24" s="270"/>
      <c r="K24" s="270"/>
      <c r="L24" s="270"/>
      <c r="M24" s="270"/>
    </row>
    <row r="25" spans="2:13" ht="15.75">
      <c r="B25" s="267"/>
      <c r="C25" s="450"/>
      <c r="D25" s="450"/>
      <c r="E25" s="268"/>
      <c r="F25" s="269"/>
      <c r="G25" s="270"/>
      <c r="H25" s="271"/>
      <c r="I25" s="271"/>
      <c r="J25" s="270"/>
      <c r="K25" s="270"/>
      <c r="L25" s="270"/>
      <c r="M25" s="270"/>
    </row>
    <row r="26" spans="2:13" ht="15.75">
      <c r="B26" s="267"/>
      <c r="C26" s="450"/>
      <c r="D26" s="450"/>
      <c r="E26" s="268"/>
      <c r="F26" s="269"/>
      <c r="G26" s="270"/>
      <c r="H26" s="271"/>
      <c r="I26" s="271"/>
      <c r="J26" s="270"/>
      <c r="K26" s="270"/>
      <c r="L26" s="270"/>
      <c r="M26" s="270"/>
    </row>
    <row r="27" spans="2:13" ht="15.75">
      <c r="B27" s="272" t="s">
        <v>221</v>
      </c>
      <c r="C27" s="273"/>
      <c r="D27" s="273"/>
      <c r="E27" s="282"/>
      <c r="F27" s="275"/>
      <c r="G27" s="283">
        <f>SUM(G21:G26)</f>
        <v>2470000</v>
      </c>
      <c r="H27" s="277"/>
      <c r="I27" s="277"/>
      <c r="J27" s="283">
        <f>SUM(J21:J26)</f>
        <v>77858</v>
      </c>
      <c r="K27" s="283">
        <f>SUM(K21:K26)</f>
        <v>341213</v>
      </c>
      <c r="L27" s="276">
        <f>SUM(L21:L26)</f>
        <v>56225</v>
      </c>
      <c r="M27" s="283">
        <f>SUM(M21:M26)</f>
        <v>363113</v>
      </c>
    </row>
    <row r="28" spans="2:13" ht="15.75">
      <c r="B28" s="253" t="s">
        <v>222</v>
      </c>
      <c r="C28" s="278"/>
      <c r="D28" s="278"/>
      <c r="E28" s="279"/>
      <c r="F28" s="280"/>
      <c r="G28" s="284"/>
      <c r="H28" s="281"/>
      <c r="I28" s="281"/>
      <c r="J28" s="280"/>
      <c r="K28" s="280"/>
      <c r="L28" s="280"/>
      <c r="M28" s="280"/>
    </row>
    <row r="29" spans="2:13" ht="15.75">
      <c r="B29" s="267"/>
      <c r="C29" s="450"/>
      <c r="D29" s="450"/>
      <c r="E29" s="268"/>
      <c r="F29" s="269"/>
      <c r="G29" s="270"/>
      <c r="H29" s="271"/>
      <c r="I29" s="271"/>
      <c r="J29" s="270"/>
      <c r="K29" s="270"/>
      <c r="L29" s="270"/>
      <c r="M29" s="270"/>
    </row>
    <row r="30" spans="2:13" ht="15.75">
      <c r="B30" s="267"/>
      <c r="C30" s="450"/>
      <c r="D30" s="450"/>
      <c r="E30" s="268"/>
      <c r="F30" s="269"/>
      <c r="G30" s="270"/>
      <c r="H30" s="271"/>
      <c r="I30" s="271"/>
      <c r="J30" s="270"/>
      <c r="K30" s="270"/>
      <c r="L30" s="270"/>
      <c r="M30" s="270"/>
    </row>
    <row r="31" spans="2:13" ht="15.75">
      <c r="B31" s="267"/>
      <c r="C31" s="450"/>
      <c r="D31" s="450"/>
      <c r="E31" s="268"/>
      <c r="F31" s="269"/>
      <c r="G31" s="270"/>
      <c r="H31" s="271"/>
      <c r="I31" s="271"/>
      <c r="J31" s="270"/>
      <c r="K31" s="270"/>
      <c r="L31" s="270"/>
      <c r="M31" s="270"/>
    </row>
    <row r="32" spans="2:13" ht="15.75">
      <c r="B32" s="267"/>
      <c r="C32" s="450"/>
      <c r="D32" s="450"/>
      <c r="E32" s="268"/>
      <c r="F32" s="269"/>
      <c r="G32" s="270"/>
      <c r="H32" s="271"/>
      <c r="I32" s="271"/>
      <c r="J32" s="270"/>
      <c r="K32" s="270"/>
      <c r="L32" s="270"/>
      <c r="M32" s="270"/>
    </row>
    <row r="33" spans="2:13" ht="15.75">
      <c r="B33" s="267"/>
      <c r="C33" s="450"/>
      <c r="D33" s="450"/>
      <c r="E33" s="268"/>
      <c r="F33" s="269"/>
      <c r="G33" s="270"/>
      <c r="H33" s="271"/>
      <c r="I33" s="271"/>
      <c r="J33" s="270"/>
      <c r="K33" s="270"/>
      <c r="L33" s="270"/>
      <c r="M33" s="270"/>
    </row>
    <row r="34" spans="2:13" ht="15.75">
      <c r="B34" s="267"/>
      <c r="C34" s="450"/>
      <c r="D34" s="450"/>
      <c r="E34" s="268"/>
      <c r="F34" s="269"/>
      <c r="G34" s="270"/>
      <c r="H34" s="271"/>
      <c r="I34" s="271"/>
      <c r="J34" s="270"/>
      <c r="K34" s="270"/>
      <c r="L34" s="270"/>
      <c r="M34" s="270"/>
    </row>
    <row r="35" spans="2:29" ht="15.75">
      <c r="B35" s="267"/>
      <c r="C35" s="450"/>
      <c r="D35" s="450"/>
      <c r="E35" s="268"/>
      <c r="F35" s="269"/>
      <c r="G35" s="270"/>
      <c r="H35" s="271"/>
      <c r="I35" s="271"/>
      <c r="J35" s="270"/>
      <c r="K35" s="270"/>
      <c r="L35" s="270"/>
      <c r="M35" s="270"/>
      <c r="N35" s="72"/>
      <c r="O35" s="72"/>
      <c r="P35" s="72"/>
      <c r="Q35" s="72"/>
      <c r="R35" s="72"/>
      <c r="S35" s="72"/>
      <c r="T35" s="72"/>
      <c r="U35" s="72"/>
      <c r="V35" s="72"/>
      <c r="W35" s="72"/>
      <c r="X35" s="72"/>
      <c r="Y35" s="72"/>
      <c r="Z35" s="72"/>
      <c r="AA35" s="72"/>
      <c r="AB35" s="72"/>
      <c r="AC35" s="72"/>
    </row>
    <row r="36" spans="2:13" ht="15.75">
      <c r="B36" s="272" t="s">
        <v>350</v>
      </c>
      <c r="C36" s="272"/>
      <c r="D36" s="272"/>
      <c r="E36" s="282"/>
      <c r="F36" s="275"/>
      <c r="G36" s="283">
        <f>SUM(G29:G35)</f>
        <v>0</v>
      </c>
      <c r="H36" s="275"/>
      <c r="I36" s="275"/>
      <c r="J36" s="283">
        <f>SUM(J29:J35)</f>
        <v>0</v>
      </c>
      <c r="K36" s="283">
        <f>SUM(K29:K35)</f>
        <v>0</v>
      </c>
      <c r="L36" s="283">
        <f>SUM(L29:L35)</f>
        <v>0</v>
      </c>
      <c r="M36" s="283">
        <f>SUM(M29:M35)</f>
        <v>0</v>
      </c>
    </row>
    <row r="37" spans="2:13" ht="15.75">
      <c r="B37" s="272" t="s">
        <v>223</v>
      </c>
      <c r="C37" s="272"/>
      <c r="D37" s="272"/>
      <c r="E37" s="272"/>
      <c r="F37" s="275"/>
      <c r="G37" s="283">
        <f>SUM(G19+G27+G36)</f>
        <v>2470000</v>
      </c>
      <c r="H37" s="275"/>
      <c r="I37" s="275"/>
      <c r="J37" s="283">
        <f>SUM(J19+J27+J36)</f>
        <v>77858</v>
      </c>
      <c r="K37" s="283">
        <f>SUM(K19+K27+K36)</f>
        <v>341213</v>
      </c>
      <c r="L37" s="283">
        <f>SUM(L19+L27+L36)</f>
        <v>56225</v>
      </c>
      <c r="M37" s="283">
        <f>SUM(M19+M27+M36)</f>
        <v>363113</v>
      </c>
    </row>
    <row r="38" spans="2:13" ht="15.75">
      <c r="B38" s="72"/>
      <c r="C38" s="72"/>
      <c r="D38" s="72"/>
      <c r="E38" s="72"/>
      <c r="F38" s="72"/>
      <c r="G38" s="72"/>
      <c r="H38" s="72"/>
      <c r="I38" s="72"/>
      <c r="J38" s="72"/>
      <c r="K38" s="72"/>
      <c r="L38" s="72"/>
      <c r="M38" s="72"/>
    </row>
    <row r="39" spans="6:13" ht="15.75">
      <c r="F39" s="285"/>
      <c r="G39" s="285"/>
      <c r="J39" s="285"/>
      <c r="K39" s="285"/>
      <c r="L39" s="285"/>
      <c r="M39" s="285"/>
    </row>
    <row r="40" spans="6:14" ht="15.75">
      <c r="F40" s="72"/>
      <c r="H40" s="286"/>
      <c r="N40" s="72"/>
    </row>
    <row r="41" spans="2:13" ht="15.75">
      <c r="B41" s="72"/>
      <c r="C41" s="72"/>
      <c r="D41" s="72"/>
      <c r="E41" s="72"/>
      <c r="F41" s="72"/>
      <c r="G41" s="72"/>
      <c r="H41" s="72"/>
      <c r="I41" s="72"/>
      <c r="J41" s="72"/>
      <c r="K41" s="72"/>
      <c r="L41" s="72"/>
      <c r="M41" s="72"/>
    </row>
    <row r="42" spans="2:13" ht="15.75">
      <c r="B42" s="72"/>
      <c r="C42" s="72"/>
      <c r="D42" s="72"/>
      <c r="E42" s="72"/>
      <c r="F42" s="72"/>
      <c r="G42" s="72"/>
      <c r="H42" s="72"/>
      <c r="I42" s="72"/>
      <c r="J42" s="72"/>
      <c r="K42" s="72"/>
      <c r="L42" s="72"/>
      <c r="M42" s="72"/>
    </row>
  </sheetData>
  <sheetProtection sheet="1"/>
  <mergeCells count="3">
    <mergeCell ref="H6:I6"/>
    <mergeCell ref="J6:K6"/>
    <mergeCell ref="L6:M6"/>
  </mergeCells>
  <printOptions/>
  <pageMargins left="0.38" right="0.5" top="0.78" bottom="0.4" header="0.5" footer="0"/>
  <pageSetup blackAndWhite="1" fitToHeight="1" fitToWidth="1" horizontalDpi="120" verticalDpi="120" orientation="landscape" scale="72" r:id="rId1"/>
  <headerFooter alignWithMargins="0">
    <oddHeader>&amp;RState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48"/>
  <sheetViews>
    <sheetView zoomScale="75" zoomScaleNormal="75" zoomScalePageLayoutView="0" workbookViewId="0" topLeftCell="A1">
      <selection activeCell="B1" sqref="B1"/>
    </sheetView>
  </sheetViews>
  <sheetFormatPr defaultColWidth="8.796875" defaultRowHeight="15"/>
  <cols>
    <col min="1" max="1" width="4.796875" style="72" customWidth="1"/>
    <col min="2" max="2" width="25.796875" style="72" customWidth="1"/>
    <col min="3" max="5" width="9.796875" style="72" customWidth="1"/>
    <col min="6" max="6" width="17.09765625" style="72" customWidth="1"/>
    <col min="7" max="9" width="15.796875" style="72" customWidth="1"/>
    <col min="10" max="16384" width="8.8984375" style="72" customWidth="1"/>
  </cols>
  <sheetData>
    <row r="1" spans="2:9" ht="15.75">
      <c r="B1" s="228" t="str">
        <f>inputPrYr!$C$2</f>
        <v>Rice County</v>
      </c>
      <c r="C1" s="85"/>
      <c r="D1" s="85"/>
      <c r="E1" s="85"/>
      <c r="F1" s="85"/>
      <c r="G1" s="85"/>
      <c r="H1" s="85"/>
      <c r="I1" s="287">
        <f>inputPrYr!C4</f>
        <v>2013</v>
      </c>
    </row>
    <row r="2" spans="2:9" ht="15.75">
      <c r="B2" s="85"/>
      <c r="C2" s="85"/>
      <c r="D2" s="85"/>
      <c r="E2" s="85"/>
      <c r="F2" s="85"/>
      <c r="G2" s="85"/>
      <c r="H2" s="85"/>
      <c r="I2" s="240"/>
    </row>
    <row r="3" spans="2:9" ht="15.75">
      <c r="B3" s="85"/>
      <c r="C3" s="93"/>
      <c r="D3" s="93"/>
      <c r="E3" s="93"/>
      <c r="F3" s="93"/>
      <c r="G3" s="93"/>
      <c r="H3" s="93"/>
      <c r="I3" s="288"/>
    </row>
    <row r="4" spans="2:9" ht="15.75">
      <c r="B4" s="256" t="s">
        <v>235</v>
      </c>
      <c r="C4" s="93"/>
      <c r="D4" s="93"/>
      <c r="E4" s="93"/>
      <c r="F4" s="93"/>
      <c r="G4" s="93"/>
      <c r="H4" s="93"/>
      <c r="I4" s="93"/>
    </row>
    <row r="5" spans="2:9" ht="15.75">
      <c r="B5" s="114"/>
      <c r="C5" s="257"/>
      <c r="D5" s="257"/>
      <c r="E5" s="257"/>
      <c r="F5" s="257"/>
      <c r="G5" s="257"/>
      <c r="H5" s="257"/>
      <c r="I5" s="257"/>
    </row>
    <row r="6" spans="2:9" ht="15.75">
      <c r="B6" s="289"/>
      <c r="C6" s="290"/>
      <c r="D6" s="290"/>
      <c r="E6" s="290"/>
      <c r="F6" s="258" t="s">
        <v>132</v>
      </c>
      <c r="G6" s="290"/>
      <c r="H6" s="290"/>
      <c r="I6" s="290"/>
    </row>
    <row r="7" spans="2:9" ht="15.75">
      <c r="B7" s="289"/>
      <c r="C7" s="261"/>
      <c r="D7" s="261" t="s">
        <v>224</v>
      </c>
      <c r="E7" s="261" t="s">
        <v>225</v>
      </c>
      <c r="F7" s="261" t="s">
        <v>152</v>
      </c>
      <c r="G7" s="261" t="s">
        <v>226</v>
      </c>
      <c r="H7" s="261" t="s">
        <v>227</v>
      </c>
      <c r="I7" s="261" t="s">
        <v>227</v>
      </c>
    </row>
    <row r="8" spans="2:9" ht="15.75">
      <c r="B8" s="634" t="s">
        <v>816</v>
      </c>
      <c r="C8" s="261" t="s">
        <v>228</v>
      </c>
      <c r="D8" s="261" t="s">
        <v>229</v>
      </c>
      <c r="E8" s="261" t="s">
        <v>214</v>
      </c>
      <c r="F8" s="261" t="s">
        <v>230</v>
      </c>
      <c r="G8" s="261" t="s">
        <v>271</v>
      </c>
      <c r="H8" s="261" t="s">
        <v>231</v>
      </c>
      <c r="I8" s="261" t="s">
        <v>231</v>
      </c>
    </row>
    <row r="9" spans="2:9" ht="15.75">
      <c r="B9" s="622" t="s">
        <v>815</v>
      </c>
      <c r="C9" s="264" t="s">
        <v>211</v>
      </c>
      <c r="D9" s="292" t="s">
        <v>232</v>
      </c>
      <c r="E9" s="264" t="s">
        <v>173</v>
      </c>
      <c r="F9" s="292" t="s">
        <v>291</v>
      </c>
      <c r="G9" s="293" t="str">
        <f>CONCATENATE("Jan 1,",I1-1,"")</f>
        <v>Jan 1,2012</v>
      </c>
      <c r="H9" s="264">
        <f>I1-1</f>
        <v>2012</v>
      </c>
      <c r="I9" s="264">
        <f>I1</f>
        <v>2013</v>
      </c>
    </row>
    <row r="10" spans="2:9" ht="15.75">
      <c r="B10" s="294" t="s">
        <v>1072</v>
      </c>
      <c r="C10" s="449">
        <v>39503</v>
      </c>
      <c r="D10" s="295">
        <v>60</v>
      </c>
      <c r="E10" s="296">
        <v>3.85</v>
      </c>
      <c r="F10" s="112">
        <v>132500</v>
      </c>
      <c r="G10" s="112">
        <v>59276</v>
      </c>
      <c r="H10" s="112">
        <v>29638</v>
      </c>
      <c r="I10" s="112">
        <v>29638</v>
      </c>
    </row>
    <row r="11" spans="2:9" ht="15.75">
      <c r="B11" s="294"/>
      <c r="C11" s="294"/>
      <c r="D11" s="295"/>
      <c r="E11" s="296"/>
      <c r="F11" s="112"/>
      <c r="G11" s="112"/>
      <c r="H11" s="112"/>
      <c r="I11" s="112"/>
    </row>
    <row r="12" spans="2:9" ht="15.75">
      <c r="B12" s="294"/>
      <c r="C12" s="449"/>
      <c r="D12" s="295"/>
      <c r="E12" s="296"/>
      <c r="F12" s="112"/>
      <c r="G12" s="112"/>
      <c r="H12" s="112"/>
      <c r="I12" s="112"/>
    </row>
    <row r="13" spans="2:9" ht="15.75">
      <c r="B13" s="294"/>
      <c r="C13" s="294"/>
      <c r="D13" s="295"/>
      <c r="E13" s="296"/>
      <c r="F13" s="112"/>
      <c r="G13" s="112"/>
      <c r="H13" s="112"/>
      <c r="I13" s="112"/>
    </row>
    <row r="14" spans="2:9" ht="15.75">
      <c r="B14" s="294"/>
      <c r="C14" s="294"/>
      <c r="D14" s="295"/>
      <c r="E14" s="296"/>
      <c r="F14" s="112"/>
      <c r="G14" s="112"/>
      <c r="H14" s="112"/>
      <c r="I14" s="112"/>
    </row>
    <row r="15" spans="2:9" ht="15.75">
      <c r="B15" s="294"/>
      <c r="C15" s="294"/>
      <c r="D15" s="295"/>
      <c r="E15" s="296"/>
      <c r="F15" s="112"/>
      <c r="G15" s="112"/>
      <c r="H15" s="112"/>
      <c r="I15" s="112"/>
    </row>
    <row r="16" spans="2:9" ht="15.75">
      <c r="B16" s="294"/>
      <c r="C16" s="294"/>
      <c r="D16" s="295"/>
      <c r="E16" s="296"/>
      <c r="F16" s="112"/>
      <c r="G16" s="112"/>
      <c r="H16" s="112"/>
      <c r="I16" s="112"/>
    </row>
    <row r="17" spans="2:9" ht="15.75">
      <c r="B17" s="294"/>
      <c r="C17" s="294"/>
      <c r="D17" s="295"/>
      <c r="E17" s="296"/>
      <c r="F17" s="112"/>
      <c r="G17" s="112"/>
      <c r="H17" s="112"/>
      <c r="I17" s="112"/>
    </row>
    <row r="18" spans="2:9" ht="15.75">
      <c r="B18" s="294"/>
      <c r="C18" s="294"/>
      <c r="D18" s="295"/>
      <c r="E18" s="296"/>
      <c r="F18" s="112"/>
      <c r="G18" s="112"/>
      <c r="H18" s="112"/>
      <c r="I18" s="112"/>
    </row>
    <row r="19" spans="2:9" ht="15.75">
      <c r="B19" s="294"/>
      <c r="C19" s="294"/>
      <c r="D19" s="295"/>
      <c r="E19" s="296"/>
      <c r="F19" s="112"/>
      <c r="G19" s="112"/>
      <c r="H19" s="112"/>
      <c r="I19" s="112"/>
    </row>
    <row r="20" spans="2:9" ht="15.75">
      <c r="B20" s="294"/>
      <c r="C20" s="294"/>
      <c r="D20" s="295"/>
      <c r="E20" s="296"/>
      <c r="F20" s="112"/>
      <c r="G20" s="112"/>
      <c r="H20" s="112"/>
      <c r="I20" s="112"/>
    </row>
    <row r="21" spans="2:9" ht="15.75">
      <c r="B21" s="294"/>
      <c r="C21" s="294"/>
      <c r="D21" s="295"/>
      <c r="E21" s="296"/>
      <c r="F21" s="112"/>
      <c r="G21" s="112"/>
      <c r="H21" s="112"/>
      <c r="I21" s="112"/>
    </row>
    <row r="22" spans="2:9" ht="15.75">
      <c r="B22" s="294"/>
      <c r="C22" s="294"/>
      <c r="D22" s="295"/>
      <c r="E22" s="296"/>
      <c r="F22" s="112"/>
      <c r="G22" s="112"/>
      <c r="H22" s="112"/>
      <c r="I22" s="112"/>
    </row>
    <row r="23" spans="2:9" ht="15.75">
      <c r="B23" s="294"/>
      <c r="C23" s="294"/>
      <c r="D23" s="295"/>
      <c r="E23" s="296"/>
      <c r="F23" s="112"/>
      <c r="G23" s="112"/>
      <c r="H23" s="112"/>
      <c r="I23" s="112"/>
    </row>
    <row r="24" spans="2:9" ht="15.75">
      <c r="B24" s="294"/>
      <c r="C24" s="294"/>
      <c r="D24" s="295"/>
      <c r="E24" s="296"/>
      <c r="F24" s="112"/>
      <c r="G24" s="112"/>
      <c r="H24" s="112"/>
      <c r="I24" s="112"/>
    </row>
    <row r="25" spans="2:9" ht="15.75">
      <c r="B25" s="294"/>
      <c r="C25" s="294"/>
      <c r="D25" s="295"/>
      <c r="E25" s="296"/>
      <c r="F25" s="112"/>
      <c r="G25" s="112"/>
      <c r="H25" s="112"/>
      <c r="I25" s="112"/>
    </row>
    <row r="26" spans="2:9" ht="15.75">
      <c r="B26" s="294"/>
      <c r="C26" s="294"/>
      <c r="D26" s="295"/>
      <c r="E26" s="296"/>
      <c r="F26" s="112"/>
      <c r="G26" s="112"/>
      <c r="H26" s="112"/>
      <c r="I26" s="112"/>
    </row>
    <row r="27" spans="2:9" ht="15.75">
      <c r="B27" s="294"/>
      <c r="C27" s="294"/>
      <c r="D27" s="295"/>
      <c r="E27" s="296"/>
      <c r="F27" s="112"/>
      <c r="G27" s="112"/>
      <c r="H27" s="112"/>
      <c r="I27" s="112"/>
    </row>
    <row r="28" spans="2:9" ht="15.75">
      <c r="B28" s="294"/>
      <c r="C28" s="294"/>
      <c r="D28" s="295"/>
      <c r="E28" s="296"/>
      <c r="F28" s="112"/>
      <c r="G28" s="112"/>
      <c r="H28" s="112"/>
      <c r="I28" s="112"/>
    </row>
    <row r="29" spans="2:9" ht="15.75">
      <c r="B29" s="294"/>
      <c r="C29" s="294"/>
      <c r="D29" s="295"/>
      <c r="E29" s="296"/>
      <c r="F29" s="112"/>
      <c r="G29" s="112"/>
      <c r="H29" s="112"/>
      <c r="I29" s="112"/>
    </row>
    <row r="30" spans="2:9" ht="15.75">
      <c r="B30" s="294"/>
      <c r="C30" s="294"/>
      <c r="D30" s="295"/>
      <c r="E30" s="296"/>
      <c r="F30" s="112"/>
      <c r="G30" s="112"/>
      <c r="H30" s="112"/>
      <c r="I30" s="112"/>
    </row>
    <row r="31" spans="2:9" ht="15.75">
      <c r="B31" s="294"/>
      <c r="C31" s="294"/>
      <c r="D31" s="295"/>
      <c r="E31" s="296"/>
      <c r="F31" s="112"/>
      <c r="G31" s="112"/>
      <c r="H31" s="112"/>
      <c r="I31" s="112"/>
    </row>
    <row r="32" spans="2:9" ht="15.75">
      <c r="B32" s="294"/>
      <c r="C32" s="294"/>
      <c r="D32" s="295"/>
      <c r="E32" s="296"/>
      <c r="F32" s="112"/>
      <c r="G32" s="112"/>
      <c r="H32" s="112"/>
      <c r="I32" s="112"/>
    </row>
    <row r="33" spans="2:9" ht="15.75">
      <c r="B33" s="294"/>
      <c r="C33" s="294"/>
      <c r="D33" s="295"/>
      <c r="E33" s="296"/>
      <c r="F33" s="112"/>
      <c r="G33" s="112"/>
      <c r="H33" s="112"/>
      <c r="I33" s="112"/>
    </row>
    <row r="34" spans="2:9" ht="15.75">
      <c r="B34" s="294"/>
      <c r="C34" s="294"/>
      <c r="D34" s="295"/>
      <c r="E34" s="296"/>
      <c r="F34" s="112"/>
      <c r="G34" s="112"/>
      <c r="H34" s="112"/>
      <c r="I34" s="112"/>
    </row>
    <row r="35" spans="2:9" ht="15.75">
      <c r="B35" s="294"/>
      <c r="C35" s="294"/>
      <c r="D35" s="295"/>
      <c r="E35" s="296"/>
      <c r="F35" s="112"/>
      <c r="G35" s="112"/>
      <c r="H35" s="112"/>
      <c r="I35" s="112"/>
    </row>
    <row r="36" spans="2:9" ht="15.75">
      <c r="B36" s="294"/>
      <c r="C36" s="294"/>
      <c r="D36" s="295"/>
      <c r="E36" s="296"/>
      <c r="F36" s="112"/>
      <c r="G36" s="112"/>
      <c r="H36" s="112"/>
      <c r="I36" s="112"/>
    </row>
    <row r="37" spans="2:10" ht="16.5" thickBot="1">
      <c r="B37" s="635"/>
      <c r="C37" s="85"/>
      <c r="D37" s="85"/>
      <c r="E37" s="85"/>
      <c r="F37" s="272" t="s">
        <v>158</v>
      </c>
      <c r="G37" s="297">
        <f>SUM(G10:G36)</f>
        <v>59276</v>
      </c>
      <c r="H37" s="297">
        <f>SUM(H10:H36)</f>
        <v>29638</v>
      </c>
      <c r="I37" s="297">
        <f>SUM(I10:I36)</f>
        <v>29638</v>
      </c>
      <c r="J37" s="298"/>
    </row>
    <row r="38" spans="2:9" ht="16.5" thickTop="1">
      <c r="B38" s="85"/>
      <c r="C38" s="85"/>
      <c r="D38" s="85"/>
      <c r="E38" s="85"/>
      <c r="F38" s="85"/>
      <c r="G38" s="85"/>
      <c r="H38" s="228"/>
      <c r="I38" s="228"/>
    </row>
    <row r="39" spans="2:9" ht="15.75">
      <c r="B39" s="299" t="s">
        <v>89</v>
      </c>
      <c r="C39" s="300"/>
      <c r="D39" s="300"/>
      <c r="E39" s="300"/>
      <c r="F39" s="300"/>
      <c r="G39" s="300"/>
      <c r="H39" s="228"/>
      <c r="I39" s="228"/>
    </row>
    <row r="40" spans="2:9" ht="15.75">
      <c r="B40" s="143"/>
      <c r="C40" s="143"/>
      <c r="D40" s="286"/>
      <c r="E40" s="143"/>
      <c r="F40" s="143"/>
      <c r="G40" s="143"/>
      <c r="H40" s="285"/>
      <c r="I40" s="285"/>
    </row>
    <row r="41" spans="2:9" ht="15.75">
      <c r="B41" s="143"/>
      <c r="C41" s="143"/>
      <c r="D41" s="143"/>
      <c r="E41" s="143"/>
      <c r="F41" s="143"/>
      <c r="G41" s="143"/>
      <c r="H41" s="143"/>
      <c r="I41" s="143"/>
    </row>
    <row r="42" spans="2:9" ht="15.75">
      <c r="B42" s="143"/>
      <c r="C42" s="143"/>
      <c r="D42" s="143"/>
      <c r="E42" s="143"/>
      <c r="F42" s="143"/>
      <c r="G42" s="143"/>
      <c r="H42" s="143"/>
      <c r="I42" s="143"/>
    </row>
    <row r="43" spans="2:9" ht="15.75">
      <c r="B43" s="143"/>
      <c r="C43" s="143"/>
      <c r="D43" s="143"/>
      <c r="E43" s="143"/>
      <c r="F43" s="143"/>
      <c r="G43" s="143"/>
      <c r="H43" s="143"/>
      <c r="I43" s="143"/>
    </row>
    <row r="44" spans="2:9" ht="15.75">
      <c r="B44" s="143"/>
      <c r="C44" s="143"/>
      <c r="D44" s="143"/>
      <c r="E44" s="143"/>
      <c r="F44" s="143"/>
      <c r="G44" s="143"/>
      <c r="H44" s="143"/>
      <c r="I44" s="143"/>
    </row>
    <row r="45" spans="2:9" ht="15.75">
      <c r="B45" s="143"/>
      <c r="C45" s="143"/>
      <c r="D45" s="143"/>
      <c r="E45" s="143"/>
      <c r="F45" s="143"/>
      <c r="G45" s="143"/>
      <c r="H45" s="143"/>
      <c r="I45" s="143"/>
    </row>
    <row r="46" spans="2:9" ht="15.75">
      <c r="B46" s="143"/>
      <c r="C46" s="143"/>
      <c r="D46" s="143"/>
      <c r="E46" s="143"/>
      <c r="F46" s="143"/>
      <c r="G46" s="143"/>
      <c r="H46" s="143"/>
      <c r="I46" s="143"/>
    </row>
    <row r="47" spans="2:9" ht="15.75">
      <c r="B47" s="143"/>
      <c r="C47" s="143"/>
      <c r="D47" s="143"/>
      <c r="E47" s="143"/>
      <c r="F47" s="143"/>
      <c r="G47" s="143"/>
      <c r="H47" s="143"/>
      <c r="I47" s="143"/>
    </row>
    <row r="48" spans="2:9" ht="15.75">
      <c r="B48" s="143"/>
      <c r="C48" s="143"/>
      <c r="D48" s="143"/>
      <c r="E48" s="143"/>
      <c r="F48" s="143"/>
      <c r="G48" s="143"/>
      <c r="H48" s="143"/>
      <c r="I48" s="143"/>
    </row>
  </sheetData>
  <sheetProtection sheet="1"/>
  <printOptions/>
  <pageMargins left="0.17" right="0.5" top="0.78" bottom="0.4" header="0.5" footer="0"/>
  <pageSetup blackAndWhite="1" fitToHeight="1" fitToWidth="1" horizontalDpi="120" verticalDpi="120" orientation="landscape" scale="82" r:id="rId1"/>
  <headerFooter alignWithMargins="0">
    <oddHeader>&amp;RState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dimension ref="B1:K133"/>
  <sheetViews>
    <sheetView zoomScalePageLayoutView="0" workbookViewId="0" topLeftCell="A1">
      <selection activeCell="D17" sqref="D17"/>
    </sheetView>
  </sheetViews>
  <sheetFormatPr defaultColWidth="8.796875" defaultRowHeight="15"/>
  <cols>
    <col min="1" max="1" width="2.3984375" style="72" customWidth="1"/>
    <col min="2" max="2" width="31.09765625" style="72" customWidth="1"/>
    <col min="3" max="4" width="15.796875" style="72" customWidth="1"/>
    <col min="5" max="5" width="16.19921875" style="72" customWidth="1"/>
    <col min="6" max="6" width="7.3984375" style="72" customWidth="1"/>
    <col min="7" max="7" width="10.19921875" style="72" customWidth="1"/>
    <col min="8" max="8" width="8.8984375" style="72" customWidth="1"/>
    <col min="9" max="9" width="5" style="72" customWidth="1"/>
    <col min="10" max="10" width="10" style="72" customWidth="1"/>
    <col min="11"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242</v>
      </c>
      <c r="C3" s="85"/>
      <c r="D3" s="85"/>
      <c r="E3" s="301"/>
    </row>
    <row r="4" spans="2:5" ht="15.75">
      <c r="B4" s="302" t="s">
        <v>160</v>
      </c>
      <c r="C4" s="703" t="s">
        <v>844</v>
      </c>
      <c r="D4" s="704" t="s">
        <v>845</v>
      </c>
      <c r="E4" s="215" t="s">
        <v>846</v>
      </c>
    </row>
    <row r="5" spans="2:5" ht="15.75">
      <c r="B5" s="484" t="str">
        <f>inputPrYr!B16</f>
        <v>General</v>
      </c>
      <c r="C5" s="455" t="str">
        <f>CONCATENATE("Actual for ",E1-2,"")</f>
        <v>Actual for 2011</v>
      </c>
      <c r="D5" s="455" t="str">
        <f>CONCATENATE("Estimate for ",E1-1,"")</f>
        <v>Estimate for 2012</v>
      </c>
      <c r="E5" s="303" t="str">
        <f>CONCATENATE("Year for ",E1,"")</f>
        <v>Year for 2013</v>
      </c>
    </row>
    <row r="6" spans="2:5" ht="15.75">
      <c r="B6" s="304" t="s">
        <v>284</v>
      </c>
      <c r="C6" s="452">
        <v>139543</v>
      </c>
      <c r="D6" s="456">
        <f>C114</f>
        <v>880198</v>
      </c>
      <c r="E6" s="266">
        <f>D114</f>
        <v>822544</v>
      </c>
    </row>
    <row r="7" spans="2:5" ht="15.75">
      <c r="B7" s="291" t="s">
        <v>286</v>
      </c>
      <c r="C7" s="306"/>
      <c r="D7" s="306"/>
      <c r="E7" s="127"/>
    </row>
    <row r="8" spans="2:5" ht="15.75">
      <c r="B8" s="304" t="s">
        <v>161</v>
      </c>
      <c r="C8" s="452">
        <v>2602927</v>
      </c>
      <c r="D8" s="456">
        <f>IF(inputPrYr!H16&gt;0,inputPrYr!H16,inputPrYr!E16)</f>
        <v>3232697</v>
      </c>
      <c r="E8" s="221" t="s">
        <v>148</v>
      </c>
    </row>
    <row r="9" spans="2:5" ht="15.75">
      <c r="B9" s="304" t="s">
        <v>162</v>
      </c>
      <c r="C9" s="452">
        <v>61252</v>
      </c>
      <c r="D9" s="452">
        <v>25000</v>
      </c>
      <c r="E9" s="307"/>
    </row>
    <row r="10" spans="2:5" ht="15.75">
      <c r="B10" s="304" t="s">
        <v>163</v>
      </c>
      <c r="C10" s="452">
        <v>207939</v>
      </c>
      <c r="D10" s="452">
        <v>211011</v>
      </c>
      <c r="E10" s="266">
        <f>mvalloc!E7</f>
        <v>248934</v>
      </c>
    </row>
    <row r="11" spans="2:5" ht="15.75">
      <c r="B11" s="304" t="s">
        <v>164</v>
      </c>
      <c r="C11" s="452">
        <v>4202</v>
      </c>
      <c r="D11" s="452">
        <v>4428</v>
      </c>
      <c r="E11" s="266">
        <f>mvalloc!F7</f>
        <v>5036</v>
      </c>
    </row>
    <row r="12" spans="2:5" ht="15.75">
      <c r="B12" s="306" t="s">
        <v>266</v>
      </c>
      <c r="C12" s="452">
        <v>8586</v>
      </c>
      <c r="D12" s="452">
        <v>7162</v>
      </c>
      <c r="E12" s="266">
        <f>mvalloc!G7</f>
        <v>15752</v>
      </c>
    </row>
    <row r="13" spans="2:5" ht="15.75">
      <c r="B13" s="304" t="s">
        <v>268</v>
      </c>
      <c r="C13" s="452">
        <v>0</v>
      </c>
      <c r="D13" s="452">
        <v>0</v>
      </c>
      <c r="E13" s="266">
        <f>inputOth!E11</f>
        <v>0</v>
      </c>
    </row>
    <row r="14" spans="2:5" ht="15.75">
      <c r="B14" s="304" t="s">
        <v>337</v>
      </c>
      <c r="C14" s="452">
        <v>0</v>
      </c>
      <c r="D14" s="452">
        <v>0</v>
      </c>
      <c r="E14" s="266">
        <f>inputOth!E18</f>
        <v>0</v>
      </c>
    </row>
    <row r="15" spans="2:5" ht="15.75">
      <c r="B15" s="304" t="s">
        <v>338</v>
      </c>
      <c r="C15" s="452">
        <v>0</v>
      </c>
      <c r="D15" s="452">
        <v>0</v>
      </c>
      <c r="E15" s="266">
        <f>inputOth!E19</f>
        <v>419312</v>
      </c>
    </row>
    <row r="16" spans="2:5" ht="15.75">
      <c r="B16" s="308" t="s">
        <v>930</v>
      </c>
      <c r="C16" s="452">
        <v>98101</v>
      </c>
      <c r="D16" s="452">
        <v>70000</v>
      </c>
      <c r="E16" s="307">
        <v>70000</v>
      </c>
    </row>
    <row r="17" spans="2:5" ht="15.75">
      <c r="B17" s="308" t="s">
        <v>931</v>
      </c>
      <c r="C17" s="452">
        <v>645393</v>
      </c>
      <c r="D17" s="452">
        <v>350000</v>
      </c>
      <c r="E17" s="307">
        <v>350000</v>
      </c>
    </row>
    <row r="18" spans="2:5" ht="15.75">
      <c r="B18" s="308" t="s">
        <v>932</v>
      </c>
      <c r="C18" s="452">
        <v>42505</v>
      </c>
      <c r="D18" s="452">
        <v>25000</v>
      </c>
      <c r="E18" s="307">
        <v>25000</v>
      </c>
    </row>
    <row r="19" spans="2:5" ht="15.75">
      <c r="B19" s="309" t="s">
        <v>933</v>
      </c>
      <c r="C19" s="452">
        <v>2996</v>
      </c>
      <c r="D19" s="452">
        <v>2000</v>
      </c>
      <c r="E19" s="307">
        <v>2000</v>
      </c>
    </row>
    <row r="20" spans="2:5" ht="15.75">
      <c r="B20" s="309" t="s">
        <v>934</v>
      </c>
      <c r="C20" s="452">
        <v>1015</v>
      </c>
      <c r="D20" s="452">
        <v>1000</v>
      </c>
      <c r="E20" s="307">
        <v>500</v>
      </c>
    </row>
    <row r="21" spans="2:5" ht="15.75">
      <c r="B21" s="309" t="s">
        <v>935</v>
      </c>
      <c r="C21" s="452">
        <v>302010</v>
      </c>
      <c r="D21" s="452">
        <v>275000</v>
      </c>
      <c r="E21" s="307">
        <v>275000</v>
      </c>
    </row>
    <row r="22" spans="2:5" ht="15.75">
      <c r="B22" s="308" t="s">
        <v>936</v>
      </c>
      <c r="C22" s="452">
        <v>91655</v>
      </c>
      <c r="D22" s="452">
        <v>70000</v>
      </c>
      <c r="E22" s="307">
        <v>80000</v>
      </c>
    </row>
    <row r="23" spans="2:5" ht="15.75">
      <c r="B23" s="308" t="s">
        <v>937</v>
      </c>
      <c r="C23" s="452">
        <v>59576</v>
      </c>
      <c r="D23" s="452">
        <v>45000</v>
      </c>
      <c r="E23" s="307">
        <v>45000</v>
      </c>
    </row>
    <row r="24" spans="2:5" ht="15.75">
      <c r="B24" s="308" t="s">
        <v>938</v>
      </c>
      <c r="C24" s="452">
        <v>37730</v>
      </c>
      <c r="D24" s="452">
        <v>10000</v>
      </c>
      <c r="E24" s="307">
        <v>15000</v>
      </c>
    </row>
    <row r="25" spans="2:5" ht="15.75">
      <c r="B25" s="308" t="s">
        <v>939</v>
      </c>
      <c r="C25" s="452">
        <v>21750</v>
      </c>
      <c r="D25" s="452">
        <v>15000</v>
      </c>
      <c r="E25" s="307">
        <v>12000</v>
      </c>
    </row>
    <row r="26" spans="2:5" ht="15.75">
      <c r="B26" s="308" t="s">
        <v>165</v>
      </c>
      <c r="C26" s="452">
        <v>82010</v>
      </c>
      <c r="D26" s="452">
        <v>80000</v>
      </c>
      <c r="E26" s="307">
        <v>80000</v>
      </c>
    </row>
    <row r="27" spans="2:5" ht="15.75">
      <c r="B27" s="308" t="s">
        <v>949</v>
      </c>
      <c r="C27" s="452">
        <v>1155</v>
      </c>
      <c r="D27" s="452">
        <v>5000</v>
      </c>
      <c r="E27" s="307">
        <v>5000</v>
      </c>
    </row>
    <row r="28" spans="2:5" ht="15.75">
      <c r="B28" s="308" t="s">
        <v>940</v>
      </c>
      <c r="C28" s="452">
        <v>4100</v>
      </c>
      <c r="D28" s="452">
        <v>5000</v>
      </c>
      <c r="E28" s="307">
        <v>5000</v>
      </c>
    </row>
    <row r="29" spans="2:5" ht="15.75">
      <c r="B29" s="308" t="s">
        <v>941</v>
      </c>
      <c r="C29" s="452">
        <v>84497</v>
      </c>
      <c r="D29" s="452">
        <v>84000</v>
      </c>
      <c r="E29" s="307">
        <v>84000</v>
      </c>
    </row>
    <row r="30" spans="2:5" ht="15.75">
      <c r="B30" s="308" t="s">
        <v>942</v>
      </c>
      <c r="C30" s="452">
        <v>10665</v>
      </c>
      <c r="D30" s="452">
        <v>6000</v>
      </c>
      <c r="E30" s="307">
        <v>6000</v>
      </c>
    </row>
    <row r="31" spans="2:5" ht="15.75">
      <c r="B31" s="308" t="s">
        <v>943</v>
      </c>
      <c r="C31" s="452">
        <v>0</v>
      </c>
      <c r="D31" s="452">
        <v>0</v>
      </c>
      <c r="E31" s="307">
        <v>0</v>
      </c>
    </row>
    <row r="32" spans="2:5" ht="15.75">
      <c r="B32" s="308" t="s">
        <v>944</v>
      </c>
      <c r="C32" s="452">
        <v>84888</v>
      </c>
      <c r="D32" s="452">
        <v>10000</v>
      </c>
      <c r="E32" s="307">
        <v>10000</v>
      </c>
    </row>
    <row r="33" spans="2:5" ht="15.75">
      <c r="B33" s="308" t="s">
        <v>945</v>
      </c>
      <c r="C33" s="452">
        <v>0</v>
      </c>
      <c r="D33" s="452">
        <v>0</v>
      </c>
      <c r="E33" s="307">
        <v>0</v>
      </c>
    </row>
    <row r="34" spans="2:5" ht="15.75">
      <c r="B34" s="308" t="s">
        <v>946</v>
      </c>
      <c r="C34" s="452">
        <v>3507</v>
      </c>
      <c r="D34" s="452">
        <v>5000</v>
      </c>
      <c r="E34" s="307">
        <v>3000</v>
      </c>
    </row>
    <row r="35" spans="2:5" ht="15.75">
      <c r="B35" s="308" t="s">
        <v>947</v>
      </c>
      <c r="C35" s="452">
        <v>34904</v>
      </c>
      <c r="D35" s="452">
        <v>20000</v>
      </c>
      <c r="E35" s="307">
        <v>20000</v>
      </c>
    </row>
    <row r="36" spans="2:5" ht="15.75">
      <c r="B36" s="308" t="s">
        <v>948</v>
      </c>
      <c r="C36" s="452">
        <v>83090</v>
      </c>
      <c r="D36" s="452">
        <v>2000</v>
      </c>
      <c r="E36" s="307">
        <v>4000</v>
      </c>
    </row>
    <row r="37" spans="2:5" ht="15.75">
      <c r="B37" s="308"/>
      <c r="C37" s="452"/>
      <c r="D37" s="452"/>
      <c r="E37" s="307"/>
    </row>
    <row r="38" spans="2:5" ht="15.75">
      <c r="B38" s="308"/>
      <c r="C38" s="452"/>
      <c r="D38" s="452"/>
      <c r="E38" s="307"/>
    </row>
    <row r="39" spans="2:5" ht="15.75">
      <c r="B39" s="308"/>
      <c r="C39" s="452"/>
      <c r="D39" s="452"/>
      <c r="E39" s="307"/>
    </row>
    <row r="40" spans="2:5" ht="15.75">
      <c r="B40" s="308"/>
      <c r="C40" s="452"/>
      <c r="D40" s="452"/>
      <c r="E40" s="307"/>
    </row>
    <row r="41" spans="2:5" ht="15.75">
      <c r="B41" s="308"/>
      <c r="C41" s="452"/>
      <c r="D41" s="452"/>
      <c r="E41" s="307"/>
    </row>
    <row r="42" spans="2:5" ht="15.75">
      <c r="B42" s="308"/>
      <c r="C42" s="452"/>
      <c r="D42" s="452"/>
      <c r="E42" s="307"/>
    </row>
    <row r="43" spans="2:5" ht="15.75">
      <c r="B43" s="308"/>
      <c r="C43" s="452"/>
      <c r="D43" s="452"/>
      <c r="E43" s="307"/>
    </row>
    <row r="44" spans="2:5" ht="15.75">
      <c r="B44" s="308"/>
      <c r="C44" s="452"/>
      <c r="D44" s="452"/>
      <c r="E44" s="307"/>
    </row>
    <row r="45" spans="2:5" ht="15.75">
      <c r="B45" s="308"/>
      <c r="C45" s="452"/>
      <c r="D45" s="452"/>
      <c r="E45" s="307"/>
    </row>
    <row r="46" spans="2:5" ht="15.75">
      <c r="B46" s="308"/>
      <c r="C46" s="452"/>
      <c r="D46" s="452"/>
      <c r="E46" s="307"/>
    </row>
    <row r="47" spans="2:5" ht="15.75">
      <c r="B47" s="308"/>
      <c r="C47" s="452"/>
      <c r="D47" s="452"/>
      <c r="E47" s="307"/>
    </row>
    <row r="48" spans="2:5" ht="15.75">
      <c r="B48" s="308"/>
      <c r="C48" s="452"/>
      <c r="D48" s="452"/>
      <c r="E48" s="307"/>
    </row>
    <row r="49" spans="2:5" ht="15.75">
      <c r="B49" s="308"/>
      <c r="C49" s="452"/>
      <c r="D49" s="452"/>
      <c r="E49" s="307"/>
    </row>
    <row r="50" spans="2:5" ht="15.75">
      <c r="B50" s="308"/>
      <c r="C50" s="452"/>
      <c r="D50" s="452"/>
      <c r="E50" s="307"/>
    </row>
    <row r="51" spans="2:5" ht="15.75">
      <c r="B51" s="309"/>
      <c r="C51" s="452"/>
      <c r="D51" s="452"/>
      <c r="E51" s="307"/>
    </row>
    <row r="52" spans="2:5" ht="15.75">
      <c r="B52" s="310" t="s">
        <v>75</v>
      </c>
      <c r="C52" s="452"/>
      <c r="D52" s="452"/>
      <c r="E52" s="307"/>
    </row>
    <row r="53" spans="2:5" ht="15.75">
      <c r="B53" s="310" t="s">
        <v>684</v>
      </c>
      <c r="C53" s="453">
        <f>IF(C54*0.1&lt;C52,"Exceed 10% Rule","")</f>
      </c>
      <c r="D53" s="453">
        <f>IF(D54*0.1&lt;D52,"Exceed 10% Rule","")</f>
      </c>
      <c r="E53" s="345">
        <f>IF(E54*0.1+E120&lt;E52,"Exceed 10% Rule","")</f>
      </c>
    </row>
    <row r="54" spans="2:5" ht="15.75">
      <c r="B54" s="312" t="s">
        <v>166</v>
      </c>
      <c r="C54" s="454">
        <f>SUM(C8:C52)</f>
        <v>4576453</v>
      </c>
      <c r="D54" s="454">
        <f>SUM(D8:D52)</f>
        <v>4560298</v>
      </c>
      <c r="E54" s="353">
        <f>SUM(E9:E52)</f>
        <v>1780534</v>
      </c>
    </row>
    <row r="55" spans="2:5" ht="15.75">
      <c r="B55" s="312" t="s">
        <v>167</v>
      </c>
      <c r="C55" s="454">
        <f>C6+C54</f>
        <v>4715996</v>
      </c>
      <c r="D55" s="454">
        <f>D6+D54</f>
        <v>5440496</v>
      </c>
      <c r="E55" s="353">
        <f>E6+E54</f>
        <v>2603078</v>
      </c>
    </row>
    <row r="56" spans="2:5" ht="15.75">
      <c r="B56" s="85"/>
      <c r="C56" s="228"/>
      <c r="D56" s="228"/>
      <c r="E56" s="228"/>
    </row>
    <row r="57" spans="2:5" ht="15.75">
      <c r="B57" s="779" t="s">
        <v>294</v>
      </c>
      <c r="C57" s="779"/>
      <c r="D57" s="779"/>
      <c r="E57" s="779"/>
    </row>
    <row r="58" spans="2:5" ht="15.75">
      <c r="B58" s="228" t="str">
        <f>inputPrYr!C2</f>
        <v>Rice County</v>
      </c>
      <c r="C58" s="228"/>
      <c r="D58" s="228"/>
      <c r="E58" s="287">
        <f>inputPrYr!C4</f>
        <v>2013</v>
      </c>
    </row>
    <row r="59" spans="2:5" ht="15.75">
      <c r="B59" s="85"/>
      <c r="C59" s="228"/>
      <c r="D59" s="228"/>
      <c r="E59" s="240"/>
    </row>
    <row r="60" spans="2:5" ht="15.75">
      <c r="B60" s="314" t="s">
        <v>238</v>
      </c>
      <c r="C60" s="315"/>
      <c r="D60" s="315"/>
      <c r="E60" s="315"/>
    </row>
    <row r="61" spans="2:5" ht="15.75">
      <c r="B61" s="85" t="s">
        <v>160</v>
      </c>
      <c r="C61" s="703" t="s">
        <v>844</v>
      </c>
      <c r="D61" s="704" t="s">
        <v>845</v>
      </c>
      <c r="E61" s="215" t="s">
        <v>846</v>
      </c>
    </row>
    <row r="62" spans="2:5" ht="15.75">
      <c r="B62" s="114" t="s">
        <v>169</v>
      </c>
      <c r="C62" s="455" t="str">
        <f>CONCATENATE("Actual for ",E58-2,"")</f>
        <v>Actual for 2011</v>
      </c>
      <c r="D62" s="455" t="str">
        <f>CONCATENATE("Estimate for ",E58-1,"")</f>
        <v>Estimate for 2012</v>
      </c>
      <c r="E62" s="303" t="str">
        <f>CONCATENATE("Year for ",E58,"")</f>
        <v>Year for 2013</v>
      </c>
    </row>
    <row r="63" spans="2:5" ht="15.75">
      <c r="B63" s="312" t="s">
        <v>167</v>
      </c>
      <c r="C63" s="456">
        <f>C55</f>
        <v>4715996</v>
      </c>
      <c r="D63" s="456">
        <f>D55</f>
        <v>5440496</v>
      </c>
      <c r="E63" s="266">
        <f>E55</f>
        <v>2603078</v>
      </c>
    </row>
    <row r="64" spans="2:5" ht="15.75">
      <c r="B64" s="304" t="s">
        <v>170</v>
      </c>
      <c r="C64" s="456"/>
      <c r="D64" s="456"/>
      <c r="E64" s="266"/>
    </row>
    <row r="65" spans="2:5" ht="15.75">
      <c r="B65" s="306" t="str">
        <f>'gen-detail'!A7</f>
        <v>General Administration</v>
      </c>
      <c r="C65" s="456">
        <f>'gen-detail'!B13</f>
        <v>49705</v>
      </c>
      <c r="D65" s="456">
        <f>'gen-detail'!C13</f>
        <v>468390</v>
      </c>
      <c r="E65" s="266">
        <f>'gen-detail'!D13</f>
        <v>490985</v>
      </c>
    </row>
    <row r="66" spans="2:5" ht="15.75">
      <c r="B66" s="306" t="str">
        <f>'gen-detail'!A14</f>
        <v>Airport</v>
      </c>
      <c r="C66" s="456">
        <f>'gen-detail'!B19</f>
        <v>34077</v>
      </c>
      <c r="D66" s="456">
        <f>'gen-detail'!C19</f>
        <v>38404</v>
      </c>
      <c r="E66" s="266">
        <f>'gen-detail'!D19</f>
        <v>38430</v>
      </c>
    </row>
    <row r="67" spans="2:5" ht="15.75">
      <c r="B67" s="306" t="str">
        <f>'gen-detail'!A20</f>
        <v>Appropriations</v>
      </c>
      <c r="C67" s="456">
        <f>'gen-detail'!B27</f>
        <v>253730</v>
      </c>
      <c r="D67" s="456">
        <f>'gen-detail'!C27</f>
        <v>252780</v>
      </c>
      <c r="E67" s="266">
        <f>'gen-detail'!D27</f>
        <v>253780</v>
      </c>
    </row>
    <row r="68" spans="2:5" ht="15.75">
      <c r="B68" s="306" t="str">
        <f>'gen-detail'!A28</f>
        <v>Appraisal</v>
      </c>
      <c r="C68" s="456">
        <f>'gen-detail'!B34</f>
        <v>166368</v>
      </c>
      <c r="D68" s="456">
        <f>'gen-detail'!C34</f>
        <v>173226</v>
      </c>
      <c r="E68" s="266">
        <f>'gen-detail'!D34</f>
        <v>181784</v>
      </c>
    </row>
    <row r="69" spans="2:5" ht="15.75">
      <c r="B69" s="306" t="str">
        <f>'gen-detail'!A35</f>
        <v>County Attorney/Counselor</v>
      </c>
      <c r="C69" s="456">
        <f>'gen-detail'!B40</f>
        <v>159852</v>
      </c>
      <c r="D69" s="456">
        <f>'gen-detail'!C40</f>
        <v>162136</v>
      </c>
      <c r="E69" s="266">
        <f>'gen-detail'!D40</f>
        <v>169037</v>
      </c>
    </row>
    <row r="70" spans="2:5" ht="15.75">
      <c r="B70" s="306" t="str">
        <f>'gen-detail'!A41</f>
        <v>County Clerk</v>
      </c>
      <c r="C70" s="456">
        <f>'gen-detail'!B47</f>
        <v>132026</v>
      </c>
      <c r="D70" s="456">
        <f>'gen-detail'!C47</f>
        <v>128993</v>
      </c>
      <c r="E70" s="266">
        <f>'gen-detail'!D47</f>
        <v>133391</v>
      </c>
    </row>
    <row r="71" spans="2:5" ht="15.75">
      <c r="B71" s="306" t="str">
        <f>'gen-detail'!A48</f>
        <v>County Commission</v>
      </c>
      <c r="C71" s="456">
        <f>'gen-detail'!B53</f>
        <v>70668</v>
      </c>
      <c r="D71" s="456">
        <f>'gen-detail'!C53</f>
        <v>64850</v>
      </c>
      <c r="E71" s="266">
        <f>'gen-detail'!D53</f>
        <v>73600</v>
      </c>
    </row>
    <row r="72" spans="2:5" ht="15.75">
      <c r="B72" s="306" t="str">
        <f>'gen-detail'!A65</f>
        <v>Courthouse</v>
      </c>
      <c r="C72" s="456">
        <f>'gen-detail'!B71</f>
        <v>64736</v>
      </c>
      <c r="D72" s="456">
        <f>'gen-detail'!C71</f>
        <v>50150</v>
      </c>
      <c r="E72" s="266">
        <f>'gen-detail'!D71</f>
        <v>64829</v>
      </c>
    </row>
    <row r="73" spans="2:5" ht="15.75">
      <c r="B73" s="306" t="str">
        <f>'gen-detail'!A72</f>
        <v>Commissioners Special</v>
      </c>
      <c r="C73" s="456">
        <f>'gen-detail'!B82</f>
        <v>217043</v>
      </c>
      <c r="D73" s="456">
        <f>'gen-detail'!C82</f>
        <v>851281</v>
      </c>
      <c r="E73" s="266">
        <f>'gen-detail'!D82</f>
        <v>925680</v>
      </c>
    </row>
    <row r="74" spans="2:5" ht="15.75">
      <c r="B74" s="306" t="str">
        <f>'gen-detail'!A83</f>
        <v>Communications</v>
      </c>
      <c r="C74" s="456">
        <f>'gen-detail'!B90</f>
        <v>264142</v>
      </c>
      <c r="D74" s="456">
        <f>'gen-detail'!C90</f>
        <v>255260</v>
      </c>
      <c r="E74" s="266">
        <f>'gen-detail'!D90</f>
        <v>247251</v>
      </c>
    </row>
    <row r="75" spans="2:5" ht="15.75">
      <c r="B75" s="306" t="str">
        <f>'gen-detail'!A91</f>
        <v>County Treasurer</v>
      </c>
      <c r="C75" s="456">
        <f>'gen-detail'!B97</f>
        <v>123355</v>
      </c>
      <c r="D75" s="456">
        <f>'gen-detail'!C97</f>
        <v>122786</v>
      </c>
      <c r="E75" s="266">
        <f>'gen-detail'!D97</f>
        <v>131690</v>
      </c>
    </row>
    <row r="76" spans="2:5" ht="15.75">
      <c r="B76" s="306" t="str">
        <f>'gen-detail'!A98</f>
        <v>District Court</v>
      </c>
      <c r="C76" s="456">
        <f>'gen-detail'!B104</f>
        <v>103349</v>
      </c>
      <c r="D76" s="456">
        <f>'gen-detail'!C104</f>
        <v>107460</v>
      </c>
      <c r="E76" s="266">
        <f>'gen-detail'!D104</f>
        <v>119610</v>
      </c>
    </row>
    <row r="77" spans="2:5" ht="15.75">
      <c r="B77" s="306" t="str">
        <f>'gen-detail'!A105</f>
        <v>Economic Development</v>
      </c>
      <c r="C77" s="456">
        <f>'gen-detail'!B111</f>
        <v>54179</v>
      </c>
      <c r="D77" s="456">
        <f>'gen-detail'!C111</f>
        <v>50000</v>
      </c>
      <c r="E77" s="266">
        <f>'gen-detail'!D111</f>
        <v>48389</v>
      </c>
    </row>
    <row r="78" spans="2:5" ht="15.75">
      <c r="B78" s="306" t="str">
        <f>'gen-detail'!A112</f>
        <v>Election</v>
      </c>
      <c r="C78" s="456">
        <f>'gen-detail'!B119</f>
        <v>31640</v>
      </c>
      <c r="D78" s="456">
        <f>'gen-detail'!C119</f>
        <v>41276</v>
      </c>
      <c r="E78" s="266">
        <f>'gen-detail'!D119</f>
        <v>49425</v>
      </c>
    </row>
    <row r="79" spans="2:5" ht="15.75">
      <c r="B79" s="306" t="str">
        <f>'gen-detail'!A130</f>
        <v>Emergency Management</v>
      </c>
      <c r="C79" s="456">
        <f>'gen-detail'!B135</f>
        <v>31698</v>
      </c>
      <c r="D79" s="456">
        <f>'gen-detail'!C135</f>
        <v>39750</v>
      </c>
      <c r="E79" s="266">
        <f>'gen-detail'!D135</f>
        <v>39750</v>
      </c>
    </row>
    <row r="80" spans="2:5" ht="15.75">
      <c r="B80" s="306" t="str">
        <f>'gen-detail'!A136</f>
        <v>Transfers </v>
      </c>
      <c r="C80" s="456">
        <f>'gen-detail'!B141</f>
        <v>645393</v>
      </c>
      <c r="D80" s="456">
        <f>'gen-detail'!C141</f>
        <v>200000</v>
      </c>
      <c r="E80" s="266">
        <f>'gen-detail'!D141</f>
        <v>425000</v>
      </c>
    </row>
    <row r="81" spans="2:5" ht="15.75">
      <c r="B81" s="306" t="str">
        <f>'gen-detail'!A142</f>
        <v>GIS</v>
      </c>
      <c r="C81" s="456">
        <f>'gen-detail'!B148</f>
        <v>9409</v>
      </c>
      <c r="D81" s="456">
        <f>'gen-detail'!C148</f>
        <v>14800</v>
      </c>
      <c r="E81" s="266">
        <f>'gen-detail'!D148</f>
        <v>14800</v>
      </c>
    </row>
    <row r="82" spans="2:5" ht="15.75">
      <c r="B82" s="306" t="str">
        <f>'gen-detail'!A149</f>
        <v>Planning &amp; Zoning</v>
      </c>
      <c r="C82" s="456">
        <f>'gen-detail'!B154</f>
        <v>22561</v>
      </c>
      <c r="D82" s="456">
        <f>'gen-detail'!C154</f>
        <v>22700</v>
      </c>
      <c r="E82" s="266">
        <f>'gen-detail'!D154</f>
        <v>23949</v>
      </c>
    </row>
    <row r="83" spans="2:5" ht="15.75">
      <c r="B83" s="306" t="str">
        <f>'gen-detail'!A155</f>
        <v>Register of Deeds</v>
      </c>
      <c r="C83" s="456">
        <f>'gen-detail'!B161</f>
        <v>87359</v>
      </c>
      <c r="D83" s="456">
        <f>'gen-detail'!C161</f>
        <v>76978</v>
      </c>
      <c r="E83" s="266">
        <f>'gen-detail'!D161</f>
        <v>84781</v>
      </c>
    </row>
    <row r="84" spans="2:5" ht="15.75">
      <c r="B84" s="306" t="str">
        <f>'gen-detail'!A162</f>
        <v>Sheriff</v>
      </c>
      <c r="C84" s="456">
        <f>'gen-detail'!B170</f>
        <v>817027</v>
      </c>
      <c r="D84" s="456">
        <f>'gen-detail'!C170</f>
        <v>823891</v>
      </c>
      <c r="E84" s="266">
        <f>'gen-detail'!D170</f>
        <v>788843</v>
      </c>
    </row>
    <row r="85" spans="2:5" ht="15.75">
      <c r="B85" s="306" t="str">
        <f>'gen-detail'!A171</f>
        <v>Solid Waste</v>
      </c>
      <c r="C85" s="456">
        <f>'gen-detail'!B177</f>
        <v>436640</v>
      </c>
      <c r="D85" s="456">
        <f>'gen-detail'!C177</f>
        <v>597545</v>
      </c>
      <c r="E85" s="266">
        <f>'gen-detail'!D177</f>
        <v>596704</v>
      </c>
    </row>
    <row r="86" spans="2:5" ht="15.75">
      <c r="B86" s="306">
        <f>'gen-detail'!A178</f>
        <v>0</v>
      </c>
      <c r="C86" s="456">
        <f>'gen-detail'!B183</f>
        <v>0</v>
      </c>
      <c r="D86" s="456">
        <f>'gen-detail'!C183</f>
        <v>0</v>
      </c>
      <c r="E86" s="266">
        <f>'gen-detail'!D183</f>
        <v>0</v>
      </c>
    </row>
    <row r="87" spans="2:5" ht="15.75">
      <c r="B87" s="306">
        <f>'gen-detail'!A194</f>
        <v>0</v>
      </c>
      <c r="C87" s="456">
        <f>'gen-detail'!B199</f>
        <v>0</v>
      </c>
      <c r="D87" s="456">
        <f>'gen-detail'!C199</f>
        <v>0</v>
      </c>
      <c r="E87" s="266">
        <f>'gen-detail'!D199</f>
        <v>0</v>
      </c>
    </row>
    <row r="88" spans="2:5" ht="15.75">
      <c r="B88" s="306">
        <f>'gen-detail'!A200</f>
        <v>0</v>
      </c>
      <c r="C88" s="456">
        <f>'gen-detail'!B205</f>
        <v>0</v>
      </c>
      <c r="D88" s="456">
        <f>'gen-detail'!C205</f>
        <v>0</v>
      </c>
      <c r="E88" s="266">
        <f>'gen-detail'!D205</f>
        <v>0</v>
      </c>
    </row>
    <row r="89" spans="2:5" ht="15.75">
      <c r="B89" s="306">
        <f>'gen-detail'!A206</f>
        <v>0</v>
      </c>
      <c r="C89" s="456">
        <f>'gen-detail'!B211</f>
        <v>0</v>
      </c>
      <c r="D89" s="456">
        <f>'gen-detail'!C211</f>
        <v>0</v>
      </c>
      <c r="E89" s="266">
        <f>'gen-detail'!D211</f>
        <v>0</v>
      </c>
    </row>
    <row r="90" spans="2:5" ht="15.75">
      <c r="B90" s="306">
        <f>'gen-detail'!A212</f>
        <v>0</v>
      </c>
      <c r="C90" s="456">
        <f>'gen-detail'!B217</f>
        <v>0</v>
      </c>
      <c r="D90" s="456">
        <f>'gen-detail'!C217</f>
        <v>0</v>
      </c>
      <c r="E90" s="266">
        <f>'gen-detail'!D217</f>
        <v>0</v>
      </c>
    </row>
    <row r="91" spans="2:5" ht="15.75">
      <c r="B91" s="306">
        <f>'gen-detail'!A218</f>
        <v>0</v>
      </c>
      <c r="C91" s="456">
        <f>'gen-detail'!B223</f>
        <v>0</v>
      </c>
      <c r="D91" s="456">
        <f>'gen-detail'!C223</f>
        <v>0</v>
      </c>
      <c r="E91" s="266">
        <f>'gen-detail'!D223</f>
        <v>0</v>
      </c>
    </row>
    <row r="92" spans="2:5" ht="15.75">
      <c r="B92" s="306">
        <f>'gen-detail'!A224</f>
        <v>0</v>
      </c>
      <c r="C92" s="456">
        <f>'gen-detail'!B229</f>
        <v>0</v>
      </c>
      <c r="D92" s="456">
        <f>'gen-detail'!C229</f>
        <v>0</v>
      </c>
      <c r="E92" s="266">
        <f>'gen-detail'!D229</f>
        <v>0</v>
      </c>
    </row>
    <row r="93" spans="2:5" ht="15.75">
      <c r="B93" s="306">
        <f>'gen-detail'!A230</f>
        <v>0</v>
      </c>
      <c r="C93" s="456">
        <f>'gen-detail'!B231</f>
        <v>0</v>
      </c>
      <c r="D93" s="456">
        <f>'gen-detail'!C231</f>
        <v>0</v>
      </c>
      <c r="E93" s="266">
        <f>'gen-detail'!D231</f>
        <v>0</v>
      </c>
    </row>
    <row r="94" spans="2:5" ht="15.75">
      <c r="B94" s="306">
        <f>'gen-detail'!A233</f>
        <v>0</v>
      </c>
      <c r="C94" s="456">
        <f>'gen-detail'!B238</f>
        <v>0</v>
      </c>
      <c r="D94" s="456">
        <f>'gen-detail'!C238</f>
        <v>0</v>
      </c>
      <c r="E94" s="266">
        <f>'gen-detail'!D238</f>
        <v>0</v>
      </c>
    </row>
    <row r="95" spans="2:5" ht="15.75">
      <c r="B95" s="306">
        <f>'gen-detail'!A239</f>
        <v>0</v>
      </c>
      <c r="C95" s="456">
        <f>'gen-detail'!B244</f>
        <v>0</v>
      </c>
      <c r="D95" s="456">
        <f>'gen-detail'!C244</f>
        <v>0</v>
      </c>
      <c r="E95" s="266">
        <f>'gen-detail'!D244</f>
        <v>0</v>
      </c>
    </row>
    <row r="96" spans="2:5" ht="15.75">
      <c r="B96" s="306">
        <f>'gen-detail'!A255</f>
        <v>0</v>
      </c>
      <c r="C96" s="456">
        <f>'gen-detail'!B260</f>
        <v>0</v>
      </c>
      <c r="D96" s="456">
        <f>'gen-detail'!C260</f>
        <v>0</v>
      </c>
      <c r="E96" s="266">
        <f>'gen-detail'!D260</f>
        <v>0</v>
      </c>
    </row>
    <row r="97" spans="2:5" ht="15.75">
      <c r="B97" s="306">
        <f>'gen-detail'!A261</f>
        <v>0</v>
      </c>
      <c r="C97" s="456">
        <f>'gen-detail'!B266</f>
        <v>0</v>
      </c>
      <c r="D97" s="456">
        <f>'gen-detail'!C266</f>
        <v>0</v>
      </c>
      <c r="E97" s="266">
        <f>'gen-detail'!D266</f>
        <v>0</v>
      </c>
    </row>
    <row r="98" spans="2:5" ht="15.75">
      <c r="B98" s="306">
        <f>'gen-detail'!A267</f>
        <v>0</v>
      </c>
      <c r="C98" s="456">
        <f>'gen-detail'!B272</f>
        <v>0</v>
      </c>
      <c r="D98" s="456">
        <f>'gen-detail'!C272</f>
        <v>0</v>
      </c>
      <c r="E98" s="266">
        <f>'gen-detail'!D272</f>
        <v>0</v>
      </c>
    </row>
    <row r="99" spans="2:5" ht="15.75">
      <c r="B99" s="306">
        <f>'gen-detail'!A273</f>
        <v>0</v>
      </c>
      <c r="C99" s="456">
        <f>'gen-detail'!B278</f>
        <v>0</v>
      </c>
      <c r="D99" s="456">
        <f>'gen-detail'!C278</f>
        <v>0</v>
      </c>
      <c r="E99" s="266">
        <f>'gen-detail'!D278</f>
        <v>0</v>
      </c>
    </row>
    <row r="100" spans="2:5" ht="15.75">
      <c r="B100" s="306">
        <f>'gen-detail'!A279</f>
        <v>0</v>
      </c>
      <c r="C100" s="456">
        <f>'gen-detail'!B282</f>
        <v>0</v>
      </c>
      <c r="D100" s="456">
        <f>'gen-detail'!C282</f>
        <v>0</v>
      </c>
      <c r="E100" s="266">
        <f>'gen-detail'!D282</f>
        <v>0</v>
      </c>
    </row>
    <row r="101" spans="2:5" ht="15.75">
      <c r="B101" s="306">
        <f>'gen-detail'!A283</f>
        <v>0</v>
      </c>
      <c r="C101" s="456">
        <f>'gen-detail'!B288</f>
        <v>0</v>
      </c>
      <c r="D101" s="456">
        <f>'gen-detail'!C288</f>
        <v>0</v>
      </c>
      <c r="E101" s="266">
        <f>'gen-detail'!D288</f>
        <v>0</v>
      </c>
    </row>
    <row r="102" spans="2:5" ht="15.75">
      <c r="B102" s="306">
        <f>'gen-detail'!A289</f>
        <v>0</v>
      </c>
      <c r="C102" s="456">
        <f>'gen-detail'!B294</f>
        <v>0</v>
      </c>
      <c r="D102" s="456">
        <f>'gen-detail'!C294</f>
        <v>0</v>
      </c>
      <c r="E102" s="266">
        <f>'gen-detail'!D294</f>
        <v>0</v>
      </c>
    </row>
    <row r="103" spans="2:5" ht="15.75">
      <c r="B103" s="317" t="s">
        <v>30</v>
      </c>
      <c r="C103" s="485">
        <f>SUM(C65:C102)</f>
        <v>3774957</v>
      </c>
      <c r="D103" s="485">
        <f>SUM(D65:D102)</f>
        <v>4542656</v>
      </c>
      <c r="E103" s="349">
        <f>SUM(E65:E102)</f>
        <v>4901708</v>
      </c>
    </row>
    <row r="104" spans="2:5" ht="15.75">
      <c r="B104" s="319"/>
      <c r="C104" s="452"/>
      <c r="D104" s="452"/>
      <c r="E104" s="112"/>
    </row>
    <row r="105" spans="2:10" ht="15.75">
      <c r="B105" s="319"/>
      <c r="C105" s="452"/>
      <c r="D105" s="452"/>
      <c r="E105" s="112"/>
      <c r="G105" s="782" t="str">
        <f>CONCATENATE("Desired Carryover Into ",E1+1,"")</f>
        <v>Desired Carryover Into 2014</v>
      </c>
      <c r="H105" s="783"/>
      <c r="I105" s="783"/>
      <c r="J105" s="784"/>
    </row>
    <row r="106" spans="2:10" ht="15.75">
      <c r="B106" s="319"/>
      <c r="C106" s="452"/>
      <c r="D106" s="452"/>
      <c r="E106" s="112"/>
      <c r="G106" s="650"/>
      <c r="H106" s="651"/>
      <c r="I106" s="652"/>
      <c r="J106" s="653"/>
    </row>
    <row r="107" spans="2:10" ht="15.75">
      <c r="B107" s="319"/>
      <c r="C107" s="452"/>
      <c r="D107" s="452"/>
      <c r="E107" s="112"/>
      <c r="G107" s="654" t="s">
        <v>690</v>
      </c>
      <c r="H107" s="652"/>
      <c r="I107" s="652"/>
      <c r="J107" s="655">
        <v>0</v>
      </c>
    </row>
    <row r="108" spans="2:10" ht="15.75">
      <c r="B108" s="319"/>
      <c r="C108" s="452"/>
      <c r="D108" s="452"/>
      <c r="E108" s="112"/>
      <c r="G108" s="650" t="s">
        <v>691</v>
      </c>
      <c r="H108" s="651"/>
      <c r="I108" s="651"/>
      <c r="J108" s="656">
        <f>IF(J107=0,"",ROUND((J107+E120-G120)/inputOth!E6*1000,3)-G125)</f>
      </c>
    </row>
    <row r="109" spans="2:10" ht="15.75">
      <c r="B109" s="319"/>
      <c r="C109" s="452"/>
      <c r="D109" s="452"/>
      <c r="E109" s="112"/>
      <c r="G109" s="657" t="str">
        <f>CONCATENATE("",E1," Tot Exp/Non-Appr Must Be:")</f>
        <v>2013 Tot Exp/Non-Appr Must Be:</v>
      </c>
      <c r="H109" s="658"/>
      <c r="I109" s="659"/>
      <c r="J109" s="660">
        <f>IF(J107&gt;0,IF(E117&lt;E55,IF(J107=G120,E117,((J107-G120)*(1-D119))+E55),E117+(J107-G120)),0)</f>
        <v>0</v>
      </c>
    </row>
    <row r="110" spans="2:10" ht="15.75">
      <c r="B110" s="310" t="s">
        <v>77</v>
      </c>
      <c r="C110" s="452">
        <v>60841</v>
      </c>
      <c r="D110" s="452">
        <v>75296</v>
      </c>
      <c r="E110" s="120">
        <f>Nhood!$E6</f>
        <v>57598</v>
      </c>
      <c r="G110" s="661" t="s">
        <v>842</v>
      </c>
      <c r="H110" s="662"/>
      <c r="I110" s="662"/>
      <c r="J110" s="663">
        <f>IF(J107&gt;0,J109-E117,0)</f>
        <v>0</v>
      </c>
    </row>
    <row r="111" spans="2:5" ht="15.75">
      <c r="B111" s="310" t="s">
        <v>75</v>
      </c>
      <c r="C111" s="452"/>
      <c r="D111" s="452"/>
      <c r="E111" s="112"/>
    </row>
    <row r="112" spans="2:10" ht="15.75">
      <c r="B112" s="310" t="s">
        <v>683</v>
      </c>
      <c r="C112" s="453">
        <f>IF(C113*0.1&lt;C111,"Exceed 10% Rule","")</f>
      </c>
      <c r="D112" s="453">
        <f>IF(D113*0.1&lt;D111,"Exceed 10% Rule","")</f>
      </c>
      <c r="E112" s="345">
        <f>IF(E113*0.1&lt;E111,"Exceed 10% Rule","")</f>
      </c>
      <c r="G112" s="776" t="str">
        <f>CONCATENATE("Projected Carryover Into ",E1+1,"")</f>
        <v>Projected Carryover Into 2014</v>
      </c>
      <c r="H112" s="777"/>
      <c r="I112" s="777"/>
      <c r="J112" s="778"/>
    </row>
    <row r="113" spans="2:10" ht="15.75">
      <c r="B113" s="312" t="s">
        <v>171</v>
      </c>
      <c r="C113" s="454">
        <f>SUM(C103:C111)</f>
        <v>3835798</v>
      </c>
      <c r="D113" s="454">
        <f>SUM(D103:D111)</f>
        <v>4617952</v>
      </c>
      <c r="E113" s="353">
        <f>SUM(E103:E111)</f>
        <v>4959306</v>
      </c>
      <c r="G113" s="517"/>
      <c r="H113" s="516"/>
      <c r="I113" s="516"/>
      <c r="J113" s="518"/>
    </row>
    <row r="114" spans="2:10" ht="15.75">
      <c r="B114" s="148" t="s">
        <v>285</v>
      </c>
      <c r="C114" s="457">
        <f>C55-C113</f>
        <v>880198</v>
      </c>
      <c r="D114" s="457">
        <f>D55-D113</f>
        <v>822544</v>
      </c>
      <c r="E114" s="221" t="s">
        <v>148</v>
      </c>
      <c r="G114" s="503">
        <f>D114</f>
        <v>822544</v>
      </c>
      <c r="H114" s="501" t="str">
        <f>CONCATENATE("",E1-1," Ending Cash Balance (est.)")</f>
        <v>2012 Ending Cash Balance (est.)</v>
      </c>
      <c r="I114" s="500"/>
      <c r="J114" s="518"/>
    </row>
    <row r="115" spans="2:10" ht="15.75">
      <c r="B115" s="288" t="str">
        <f>CONCATENATE("",E$1-2,"/",E$1-1," Budget Authority Amount:")</f>
        <v>2011/2012 Budget Authority Amount:</v>
      </c>
      <c r="C115" s="280">
        <f>inputOth!$B30</f>
        <v>4571775</v>
      </c>
      <c r="D115" s="280">
        <f>inputPrYr!$D16</f>
        <v>4617952</v>
      </c>
      <c r="E115" s="221" t="s">
        <v>148</v>
      </c>
      <c r="F115" s="321"/>
      <c r="G115" s="503">
        <f>E54</f>
        <v>1780534</v>
      </c>
      <c r="H115" s="499" t="str">
        <f>CONCATENATE("",E1," Non-AV Receipts (est.)")</f>
        <v>2013 Non-AV Receipts (est.)</v>
      </c>
      <c r="I115" s="500"/>
      <c r="J115" s="518"/>
    </row>
    <row r="116" spans="2:11" ht="15.75">
      <c r="B116" s="288"/>
      <c r="C116" s="772" t="s">
        <v>687</v>
      </c>
      <c r="D116" s="773"/>
      <c r="E116" s="112"/>
      <c r="F116" s="502">
        <f>IF(E113/0.95-E113&lt;E116,"Exceeds 5%","")</f>
      </c>
      <c r="G116" s="498">
        <f>IF(E119&gt;0,E118,E120)</f>
        <v>2356228</v>
      </c>
      <c r="H116" s="499" t="str">
        <f>CONCATENATE("",E1," Ad Valorem Tax (est.)")</f>
        <v>2013 Ad Valorem Tax (est.)</v>
      </c>
      <c r="I116" s="500"/>
      <c r="J116" s="518"/>
      <c r="K116" s="666" t="str">
        <f>IF(G116=E120,"","Note: Does not include Delinquent Taxes")</f>
        <v>Note: Does not include Delinquent Taxes</v>
      </c>
    </row>
    <row r="117" spans="2:10" ht="15.75">
      <c r="B117" s="506" t="str">
        <f>CONCATENATE(C132,"     ",D132)</f>
        <v>     </v>
      </c>
      <c r="C117" s="774" t="s">
        <v>688</v>
      </c>
      <c r="D117" s="775"/>
      <c r="E117" s="266">
        <f>E113+E116</f>
        <v>4959306</v>
      </c>
      <c r="G117" s="503">
        <f>SUM(G114:G116)</f>
        <v>4959306</v>
      </c>
      <c r="H117" s="499" t="str">
        <f>CONCATENATE("Total ",E1," Resources Available")</f>
        <v>Total 2013 Resources Available</v>
      </c>
      <c r="I117" s="500"/>
      <c r="J117" s="518"/>
    </row>
    <row r="118" spans="2:10" ht="15.75">
      <c r="B118" s="506" t="str">
        <f>CONCATENATE(C133,"     ",D133)</f>
        <v>     </v>
      </c>
      <c r="C118" s="322"/>
      <c r="D118" s="240" t="s">
        <v>172</v>
      </c>
      <c r="E118" s="120">
        <f>IF(E117-E55&gt;0,E117-E55,0)</f>
        <v>2356228</v>
      </c>
      <c r="G118" s="497"/>
      <c r="H118" s="499"/>
      <c r="I118" s="499"/>
      <c r="J118" s="518"/>
    </row>
    <row r="119" spans="2:10" ht="15.75">
      <c r="B119" s="288"/>
      <c r="C119" s="504" t="s">
        <v>689</v>
      </c>
      <c r="D119" s="649">
        <f>inputOth!$E$23</f>
        <v>0.03</v>
      </c>
      <c r="E119" s="266">
        <f>IF(D119&gt;0,(E118*D119),0)</f>
        <v>70686.84</v>
      </c>
      <c r="G119" s="498">
        <f>C113*0.05+C113</f>
        <v>4027587.9</v>
      </c>
      <c r="H119" s="499" t="str">
        <f>CONCATENATE("Less ",E1-2," Expenditures + 5%")</f>
        <v>Less 2011 Expenditures + 5%</v>
      </c>
      <c r="I119" s="500"/>
      <c r="J119" s="518"/>
    </row>
    <row r="120" spans="2:10" ht="15.75">
      <c r="B120" s="85"/>
      <c r="C120" s="780" t="str">
        <f>CONCATENATE("Amount of  ",$E$1-1," Ad Valorem Tax")</f>
        <v>Amount of  2012 Ad Valorem Tax</v>
      </c>
      <c r="D120" s="781"/>
      <c r="E120" s="349">
        <f>E118+E119</f>
        <v>2426914.84</v>
      </c>
      <c r="G120" s="496">
        <f>G117-G119</f>
        <v>931718.1000000001</v>
      </c>
      <c r="H120" s="495" t="str">
        <f>CONCATENATE("Projected ",E1," Carryover (est.)")</f>
        <v>Projected 2013 Carryover (est.)</v>
      </c>
      <c r="I120" s="474"/>
      <c r="J120" s="473"/>
    </row>
    <row r="121" spans="2:10" ht="15.75">
      <c r="B121" s="85"/>
      <c r="C121" s="85"/>
      <c r="D121" s="85"/>
      <c r="E121" s="85"/>
      <c r="G121" s="513"/>
      <c r="H121" s="513"/>
      <c r="I121" s="513"/>
      <c r="J121" s="513"/>
    </row>
    <row r="122" spans="2:10" ht="15.75">
      <c r="B122" s="779" t="s">
        <v>295</v>
      </c>
      <c r="C122" s="779"/>
      <c r="D122" s="779"/>
      <c r="E122" s="779"/>
      <c r="G122" s="785" t="s">
        <v>843</v>
      </c>
      <c r="H122" s="786"/>
      <c r="I122" s="786"/>
      <c r="J122" s="787"/>
    </row>
    <row r="123" spans="7:10" ht="15.75">
      <c r="G123" s="668"/>
      <c r="H123" s="669"/>
      <c r="I123" s="670"/>
      <c r="J123" s="671"/>
    </row>
    <row r="124" spans="7:10" ht="15.75">
      <c r="G124" s="672">
        <f>summ!H16</f>
        <v>19.438</v>
      </c>
      <c r="H124" s="669" t="str">
        <f>CONCATENATE("",E1," Fund Mill Rate")</f>
        <v>2013 Fund Mill Rate</v>
      </c>
      <c r="I124" s="670"/>
      <c r="J124" s="671"/>
    </row>
    <row r="125" spans="7:10" ht="15.75">
      <c r="G125" s="673">
        <f>summ!E16</f>
        <v>26.986</v>
      </c>
      <c r="H125" s="669" t="str">
        <f>CONCATENATE("",E1-1," Fund Mill Rate")</f>
        <v>2012 Fund Mill Rate</v>
      </c>
      <c r="I125" s="670"/>
      <c r="J125" s="671"/>
    </row>
    <row r="126" spans="7:10" ht="15.75">
      <c r="G126" s="674">
        <f>summ!H61</f>
        <v>42.760999999999996</v>
      </c>
      <c r="H126" s="669" t="str">
        <f>CONCATENATE("Total ",E1," Mill Rate")</f>
        <v>Total 2013 Mill Rate</v>
      </c>
      <c r="I126" s="670"/>
      <c r="J126" s="671"/>
    </row>
    <row r="127" spans="7:10" ht="15.75">
      <c r="G127" s="673">
        <f>summ!E61</f>
        <v>43.934999999999995</v>
      </c>
      <c r="H127" s="675" t="str">
        <f>CONCATENATE("Total ",E1-1," Mill Rate")</f>
        <v>Total 2012 Mill Rate</v>
      </c>
      <c r="I127" s="676"/>
      <c r="J127" s="677"/>
    </row>
    <row r="128" spans="7:10" ht="15.75">
      <c r="G128" s="710"/>
      <c r="H128" s="519"/>
      <c r="I128" s="708"/>
      <c r="J128" s="709"/>
    </row>
    <row r="132" spans="3:4" ht="15.75" hidden="1">
      <c r="C132" s="72">
        <f>IF(C113&gt;C115,"See Tab A","")</f>
      </c>
      <c r="D132" s="72">
        <f>IF(D113&gt;D115,"See Tab C","")</f>
      </c>
    </row>
    <row r="133" spans="3:4" ht="15.75" hidden="1">
      <c r="C133" s="72">
        <f>IF(C114&lt;0,"See Tab B","")</f>
      </c>
      <c r="D133" s="72">
        <f>IF(D114&lt;0,"See Tab D","")</f>
      </c>
    </row>
  </sheetData>
  <sheetProtection/>
  <mergeCells count="8">
    <mergeCell ref="C116:D116"/>
    <mergeCell ref="C117:D117"/>
    <mergeCell ref="G112:J112"/>
    <mergeCell ref="B57:E57"/>
    <mergeCell ref="B122:E122"/>
    <mergeCell ref="C120:D120"/>
    <mergeCell ref="G105:J105"/>
    <mergeCell ref="G122:J122"/>
  </mergeCells>
  <conditionalFormatting sqref="E111">
    <cfRule type="cellIs" priority="2" dxfId="408" operator="greaterThan" stopIfTrue="1">
      <formula>$E$113*0.1</formula>
    </cfRule>
  </conditionalFormatting>
  <conditionalFormatting sqref="E116">
    <cfRule type="cellIs" priority="3" dxfId="408" operator="greaterThan" stopIfTrue="1">
      <formula>$E$113/0.95-$E$113</formula>
    </cfRule>
  </conditionalFormatting>
  <conditionalFormatting sqref="D111">
    <cfRule type="cellIs" priority="4" dxfId="2" operator="greaterThan" stopIfTrue="1">
      <formula>$D$113*0.1</formula>
    </cfRule>
  </conditionalFormatting>
  <conditionalFormatting sqref="C111">
    <cfRule type="cellIs" priority="5" dxfId="2" operator="greaterThan" stopIfTrue="1">
      <formula>$C$113*0.1</formula>
    </cfRule>
  </conditionalFormatting>
  <conditionalFormatting sqref="C114">
    <cfRule type="cellIs" priority="6" dxfId="2" operator="lessThan" stopIfTrue="1">
      <formula>0</formula>
    </cfRule>
  </conditionalFormatting>
  <conditionalFormatting sqref="D113">
    <cfRule type="cellIs" priority="7" dxfId="2" operator="greaterThan" stopIfTrue="1">
      <formula>$D$115</formula>
    </cfRule>
  </conditionalFormatting>
  <conditionalFormatting sqref="C113">
    <cfRule type="cellIs" priority="8" dxfId="2" operator="greaterThan" stopIfTrue="1">
      <formula>$C$115</formula>
    </cfRule>
  </conditionalFormatting>
  <conditionalFormatting sqref="D52">
    <cfRule type="cellIs" priority="9" dxfId="2" operator="greaterThan" stopIfTrue="1">
      <formula>$D$54*0.1</formula>
    </cfRule>
  </conditionalFormatting>
  <conditionalFormatting sqref="C52">
    <cfRule type="cellIs" priority="10" dxfId="2" operator="greaterThan" stopIfTrue="1">
      <formula>$C$54*0.1</formula>
    </cfRule>
  </conditionalFormatting>
  <conditionalFormatting sqref="E52">
    <cfRule type="cellIs" priority="11" dxfId="408" operator="greaterThan" stopIfTrue="1">
      <formula>$E$54*0.1+E120</formula>
    </cfRule>
  </conditionalFormatting>
  <conditionalFormatting sqref="D114">
    <cfRule type="cellIs" priority="1" dxfId="0" operator="lessThan" stopIfTrue="1">
      <formula>0</formula>
    </cfRule>
  </conditionalFormatting>
  <printOptions/>
  <pageMargins left="1" right="0.5" top="0.81" bottom="0.36" header="0.5" footer="0"/>
  <pageSetup blackAndWhite="1" fitToHeight="2" horizontalDpi="120" verticalDpi="120" orientation="portrait" scale="65" r:id="rId1"/>
  <headerFooter alignWithMargins="0">
    <oddHeader>&amp;RState of Kansas
County
</oddHeader>
  </headerFooter>
  <rowBreaks count="1" manualBreakCount="1">
    <brk id="57" max="255"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E411"/>
  <sheetViews>
    <sheetView zoomScalePageLayoutView="0" workbookViewId="0" topLeftCell="A61">
      <selection activeCell="D79" sqref="D79"/>
    </sheetView>
  </sheetViews>
  <sheetFormatPr defaultColWidth="8.796875" defaultRowHeight="15"/>
  <cols>
    <col min="1" max="1" width="30.796875" style="72" customWidth="1"/>
    <col min="2" max="3" width="15.796875" style="72" customWidth="1"/>
    <col min="4" max="4" width="16.09765625" style="72" customWidth="1"/>
    <col min="5" max="16384" width="8.8984375" style="72" customWidth="1"/>
  </cols>
  <sheetData>
    <row r="1" spans="1:4" ht="15.75">
      <c r="A1" s="228" t="str">
        <f>inputPrYr!C2</f>
        <v>Rice County</v>
      </c>
      <c r="B1" s="85"/>
      <c r="C1" s="302"/>
      <c r="D1" s="85">
        <f>inputPrYr!C4</f>
        <v>2013</v>
      </c>
    </row>
    <row r="2" spans="1:4" ht="15.75">
      <c r="A2" s="85"/>
      <c r="B2" s="85"/>
      <c r="C2" s="85"/>
      <c r="D2" s="302"/>
    </row>
    <row r="3" spans="1:4" ht="15.75">
      <c r="A3" s="152" t="s">
        <v>239</v>
      </c>
      <c r="B3" s="315"/>
      <c r="C3" s="315"/>
      <c r="D3" s="315"/>
    </row>
    <row r="4" spans="1:4" ht="15.75">
      <c r="A4" s="302" t="s">
        <v>160</v>
      </c>
      <c r="B4" s="703" t="s">
        <v>844</v>
      </c>
      <c r="C4" s="704" t="s">
        <v>845</v>
      </c>
      <c r="D4" s="215" t="s">
        <v>846</v>
      </c>
    </row>
    <row r="5" spans="1:4" ht="15.75">
      <c r="A5" s="481" t="s">
        <v>686</v>
      </c>
      <c r="B5" s="455" t="str">
        <f>CONCATENATE("Actual for ",D1-2,"")</f>
        <v>Actual for 2011</v>
      </c>
      <c r="C5" s="455" t="str">
        <f>CONCATENATE("Estimate for ",D1-1,"")</f>
        <v>Estimate for 2012</v>
      </c>
      <c r="D5" s="303" t="str">
        <f>CONCATENATE("Year for ",D1,"")</f>
        <v>Year for 2013</v>
      </c>
    </row>
    <row r="6" spans="1:4" ht="15.75">
      <c r="A6" s="263" t="s">
        <v>170</v>
      </c>
      <c r="B6" s="127"/>
      <c r="C6" s="127"/>
      <c r="D6" s="127"/>
    </row>
    <row r="7" spans="1:4" ht="15.75">
      <c r="A7" s="325" t="s">
        <v>175</v>
      </c>
      <c r="B7" s="127"/>
      <c r="C7" s="127"/>
      <c r="D7" s="127"/>
    </row>
    <row r="8" spans="1:4" ht="15.75">
      <c r="A8" s="110" t="s">
        <v>176</v>
      </c>
      <c r="B8" s="307">
        <v>18928</v>
      </c>
      <c r="C8" s="307">
        <v>18360</v>
      </c>
      <c r="D8" s="307">
        <v>18360</v>
      </c>
    </row>
    <row r="9" spans="1:4" ht="15.75">
      <c r="A9" s="110" t="s">
        <v>177</v>
      </c>
      <c r="B9" s="307">
        <v>27265</v>
      </c>
      <c r="C9" s="307">
        <v>445030</v>
      </c>
      <c r="D9" s="307">
        <v>466625</v>
      </c>
    </row>
    <row r="10" spans="1:4" ht="15.75">
      <c r="A10" s="110" t="s">
        <v>178</v>
      </c>
      <c r="B10" s="307">
        <v>3512</v>
      </c>
      <c r="C10" s="307">
        <v>5000</v>
      </c>
      <c r="D10" s="307">
        <v>6000</v>
      </c>
    </row>
    <row r="11" spans="1:4" ht="15.75">
      <c r="A11" s="110" t="s">
        <v>179</v>
      </c>
      <c r="B11" s="307">
        <v>0</v>
      </c>
      <c r="C11" s="307">
        <v>0</v>
      </c>
      <c r="D11" s="307">
        <v>0</v>
      </c>
    </row>
    <row r="12" spans="1:4" ht="15.75">
      <c r="A12" s="294"/>
      <c r="B12" s="307"/>
      <c r="C12" s="307"/>
      <c r="D12" s="307"/>
    </row>
    <row r="13" spans="1:4" ht="15.75">
      <c r="A13" s="302" t="s">
        <v>132</v>
      </c>
      <c r="B13" s="326">
        <f>SUM(B8:B12)</f>
        <v>49705</v>
      </c>
      <c r="C13" s="326">
        <f>SUM(C8:C12)</f>
        <v>468390</v>
      </c>
      <c r="D13" s="326">
        <f>SUM(D8:D12)</f>
        <v>490985</v>
      </c>
    </row>
    <row r="14" spans="1:4" ht="15.75">
      <c r="A14" s="325" t="s">
        <v>180</v>
      </c>
      <c r="B14" s="127"/>
      <c r="C14" s="127"/>
      <c r="D14" s="127"/>
    </row>
    <row r="15" spans="1:4" ht="15.75">
      <c r="A15" s="110" t="s">
        <v>176</v>
      </c>
      <c r="B15" s="307">
        <v>922</v>
      </c>
      <c r="C15" s="307">
        <v>1004</v>
      </c>
      <c r="D15" s="307">
        <v>1030</v>
      </c>
    </row>
    <row r="16" spans="1:4" ht="15.75">
      <c r="A16" s="110" t="s">
        <v>177</v>
      </c>
      <c r="B16" s="307">
        <v>32326</v>
      </c>
      <c r="C16" s="307">
        <v>30400</v>
      </c>
      <c r="D16" s="307">
        <v>30400</v>
      </c>
    </row>
    <row r="17" spans="1:4" ht="15.75">
      <c r="A17" s="110" t="s">
        <v>178</v>
      </c>
      <c r="B17" s="307">
        <v>829</v>
      </c>
      <c r="C17" s="307">
        <v>7000</v>
      </c>
      <c r="D17" s="307">
        <v>7000</v>
      </c>
    </row>
    <row r="18" spans="1:4" ht="15.75">
      <c r="A18" s="110" t="s">
        <v>179</v>
      </c>
      <c r="B18" s="307">
        <v>0</v>
      </c>
      <c r="C18" s="307">
        <v>0</v>
      </c>
      <c r="D18" s="307">
        <v>0</v>
      </c>
    </row>
    <row r="19" spans="1:4" ht="15.75">
      <c r="A19" s="302" t="s">
        <v>132</v>
      </c>
      <c r="B19" s="326">
        <f>SUM(B15:B18)</f>
        <v>34077</v>
      </c>
      <c r="C19" s="326">
        <f>SUM(C15:C18)</f>
        <v>38404</v>
      </c>
      <c r="D19" s="326">
        <f>SUM(D15:D18)</f>
        <v>38430</v>
      </c>
    </row>
    <row r="20" spans="1:4" ht="15.75">
      <c r="A20" s="325" t="s">
        <v>950</v>
      </c>
      <c r="B20" s="127"/>
      <c r="C20" s="127"/>
      <c r="D20" s="127"/>
    </row>
    <row r="21" spans="1:4" ht="15.75">
      <c r="A21" s="110" t="s">
        <v>951</v>
      </c>
      <c r="B21" s="307">
        <v>37080</v>
      </c>
      <c r="C21" s="307">
        <v>37080</v>
      </c>
      <c r="D21" s="307">
        <v>37080</v>
      </c>
    </row>
    <row r="22" spans="1:5" ht="15.75">
      <c r="A22" s="110" t="s">
        <v>952</v>
      </c>
      <c r="B22" s="307">
        <v>56000</v>
      </c>
      <c r="C22" s="307">
        <v>56000</v>
      </c>
      <c r="D22" s="307">
        <v>56000</v>
      </c>
      <c r="E22" s="72" t="s">
        <v>1102</v>
      </c>
    </row>
    <row r="23" spans="1:4" ht="15.75">
      <c r="A23" s="110" t="s">
        <v>953</v>
      </c>
      <c r="B23" s="307">
        <v>105000</v>
      </c>
      <c r="C23" s="307">
        <v>105000</v>
      </c>
      <c r="D23" s="307">
        <v>106000</v>
      </c>
    </row>
    <row r="24" spans="1:4" ht="15.75">
      <c r="A24" s="110" t="s">
        <v>954</v>
      </c>
      <c r="B24" s="307">
        <v>22450</v>
      </c>
      <c r="C24" s="307">
        <v>21500</v>
      </c>
      <c r="D24" s="307">
        <v>21500</v>
      </c>
    </row>
    <row r="25" spans="1:4" ht="15.75">
      <c r="A25" s="110" t="s">
        <v>955</v>
      </c>
      <c r="B25" s="307">
        <v>3200</v>
      </c>
      <c r="C25" s="307">
        <v>3200</v>
      </c>
      <c r="D25" s="307">
        <v>3200</v>
      </c>
    </row>
    <row r="26" spans="1:4" ht="15.75">
      <c r="A26" s="110" t="s">
        <v>956</v>
      </c>
      <c r="B26" s="307">
        <v>30000</v>
      </c>
      <c r="C26" s="307">
        <v>30000</v>
      </c>
      <c r="D26" s="307">
        <v>30000</v>
      </c>
    </row>
    <row r="27" spans="1:4" ht="15.75">
      <c r="A27" s="302" t="s">
        <v>132</v>
      </c>
      <c r="B27" s="326">
        <f>SUM(B21:B26)</f>
        <v>253730</v>
      </c>
      <c r="C27" s="326">
        <f>SUM(C21:C26)</f>
        <v>252780</v>
      </c>
      <c r="D27" s="326">
        <f>SUM(D21:D26)</f>
        <v>253780</v>
      </c>
    </row>
    <row r="28" spans="1:4" ht="15.75">
      <c r="A28" s="325" t="s">
        <v>181</v>
      </c>
      <c r="B28" s="127"/>
      <c r="C28" s="127"/>
      <c r="D28" s="127"/>
    </row>
    <row r="29" spans="1:4" ht="15.75">
      <c r="A29" s="110" t="s">
        <v>176</v>
      </c>
      <c r="B29" s="307">
        <v>127102</v>
      </c>
      <c r="C29" s="307">
        <v>127920</v>
      </c>
      <c r="D29" s="307">
        <v>136379</v>
      </c>
    </row>
    <row r="30" spans="1:4" ht="15.75">
      <c r="A30" s="110" t="s">
        <v>177</v>
      </c>
      <c r="B30" s="307">
        <v>28845</v>
      </c>
      <c r="C30" s="307">
        <v>36045</v>
      </c>
      <c r="D30" s="307">
        <v>35945</v>
      </c>
    </row>
    <row r="31" spans="1:4" ht="15.75">
      <c r="A31" s="110" t="s">
        <v>178</v>
      </c>
      <c r="B31" s="307">
        <v>4076</v>
      </c>
      <c r="C31" s="307">
        <v>7300</v>
      </c>
      <c r="D31" s="307">
        <v>7500</v>
      </c>
    </row>
    <row r="32" spans="1:4" ht="15.75">
      <c r="A32" s="110" t="s">
        <v>957</v>
      </c>
      <c r="B32" s="307">
        <v>5000</v>
      </c>
      <c r="C32" s="307">
        <v>0</v>
      </c>
      <c r="D32" s="307">
        <v>0</v>
      </c>
    </row>
    <row r="33" spans="1:4" ht="15.75">
      <c r="A33" s="110" t="s">
        <v>179</v>
      </c>
      <c r="B33" s="307">
        <v>1345</v>
      </c>
      <c r="C33" s="307">
        <v>1961</v>
      </c>
      <c r="D33" s="307">
        <v>1960</v>
      </c>
    </row>
    <row r="34" spans="1:4" ht="15.75">
      <c r="A34" s="302" t="s">
        <v>132</v>
      </c>
      <c r="B34" s="326">
        <f>SUM(B29:B33)</f>
        <v>166368</v>
      </c>
      <c r="C34" s="326">
        <f>SUM(C29:C33)</f>
        <v>173226</v>
      </c>
      <c r="D34" s="326">
        <f>SUM(D29:D33)</f>
        <v>181784</v>
      </c>
    </row>
    <row r="35" spans="1:4" ht="15.75">
      <c r="A35" s="325" t="s">
        <v>182</v>
      </c>
      <c r="B35" s="127"/>
      <c r="C35" s="127"/>
      <c r="D35" s="127"/>
    </row>
    <row r="36" spans="1:4" ht="15.75">
      <c r="A36" s="110" t="s">
        <v>176</v>
      </c>
      <c r="B36" s="307">
        <v>132864</v>
      </c>
      <c r="C36" s="307">
        <v>134286</v>
      </c>
      <c r="D36" s="307">
        <v>145577</v>
      </c>
    </row>
    <row r="37" spans="1:4" ht="15.75">
      <c r="A37" s="110" t="s">
        <v>177</v>
      </c>
      <c r="B37" s="307">
        <v>19061</v>
      </c>
      <c r="C37" s="307">
        <v>21450</v>
      </c>
      <c r="D37" s="307">
        <v>19060</v>
      </c>
    </row>
    <row r="38" spans="1:4" ht="15.75">
      <c r="A38" s="110" t="s">
        <v>178</v>
      </c>
      <c r="B38" s="307">
        <v>6918</v>
      </c>
      <c r="C38" s="307">
        <v>3400</v>
      </c>
      <c r="D38" s="307">
        <v>3400</v>
      </c>
    </row>
    <row r="39" spans="1:4" ht="15.75">
      <c r="A39" s="110" t="s">
        <v>179</v>
      </c>
      <c r="B39" s="307">
        <v>1009</v>
      </c>
      <c r="C39" s="307">
        <v>3000</v>
      </c>
      <c r="D39" s="307">
        <v>1000</v>
      </c>
    </row>
    <row r="40" spans="1:4" ht="15.75">
      <c r="A40" s="302" t="s">
        <v>132</v>
      </c>
      <c r="B40" s="326">
        <f>SUM(B36:B39)</f>
        <v>159852</v>
      </c>
      <c r="C40" s="326">
        <f>SUM(C36:C39)</f>
        <v>162136</v>
      </c>
      <c r="D40" s="326">
        <f>SUM(D36:D39)</f>
        <v>169037</v>
      </c>
    </row>
    <row r="41" spans="1:4" ht="15.75">
      <c r="A41" s="325" t="s">
        <v>151</v>
      </c>
      <c r="B41" s="127"/>
      <c r="C41" s="127"/>
      <c r="D41" s="127"/>
    </row>
    <row r="42" spans="1:4" ht="15.75">
      <c r="A42" s="110" t="s">
        <v>176</v>
      </c>
      <c r="B42" s="307">
        <v>114911</v>
      </c>
      <c r="C42" s="307">
        <v>111718</v>
      </c>
      <c r="D42" s="307">
        <v>114841</v>
      </c>
    </row>
    <row r="43" spans="1:4" ht="15.75">
      <c r="A43" s="110" t="s">
        <v>177</v>
      </c>
      <c r="B43" s="307">
        <v>14836</v>
      </c>
      <c r="C43" s="307">
        <v>12275</v>
      </c>
      <c r="D43" s="307">
        <v>12550</v>
      </c>
    </row>
    <row r="44" spans="1:4" ht="15.75">
      <c r="A44" s="110" t="s">
        <v>178</v>
      </c>
      <c r="B44" s="307">
        <v>2144</v>
      </c>
      <c r="C44" s="307">
        <v>3000</v>
      </c>
      <c r="D44" s="307">
        <v>3000</v>
      </c>
    </row>
    <row r="45" spans="1:4" ht="15.75">
      <c r="A45" s="110" t="s">
        <v>957</v>
      </c>
      <c r="B45" s="307">
        <v>0</v>
      </c>
      <c r="C45" s="307">
        <v>0</v>
      </c>
      <c r="D45" s="307">
        <v>1500</v>
      </c>
    </row>
    <row r="46" spans="1:4" ht="15.75">
      <c r="A46" s="110" t="s">
        <v>179</v>
      </c>
      <c r="B46" s="307">
        <v>135</v>
      </c>
      <c r="C46" s="307">
        <v>2000</v>
      </c>
      <c r="D46" s="307">
        <v>1500</v>
      </c>
    </row>
    <row r="47" spans="1:4" ht="15.75">
      <c r="A47" s="302" t="s">
        <v>132</v>
      </c>
      <c r="B47" s="326">
        <f>SUM(B42:B46)</f>
        <v>132026</v>
      </c>
      <c r="C47" s="326">
        <f>SUM(C42:C46)</f>
        <v>128993</v>
      </c>
      <c r="D47" s="326">
        <f>SUM(D42:D46)</f>
        <v>133391</v>
      </c>
    </row>
    <row r="48" spans="1:4" ht="15.75">
      <c r="A48" s="325" t="s">
        <v>183</v>
      </c>
      <c r="B48" s="127"/>
      <c r="C48" s="127"/>
      <c r="D48" s="127"/>
    </row>
    <row r="49" spans="1:4" ht="15.75">
      <c r="A49" s="110" t="s">
        <v>176</v>
      </c>
      <c r="B49" s="307">
        <v>48351</v>
      </c>
      <c r="C49" s="307">
        <v>48000</v>
      </c>
      <c r="D49" s="307">
        <v>48000</v>
      </c>
    </row>
    <row r="50" spans="1:4" ht="15.75">
      <c r="A50" s="110" t="s">
        <v>177</v>
      </c>
      <c r="B50" s="307">
        <v>18798</v>
      </c>
      <c r="C50" s="307">
        <v>14350</v>
      </c>
      <c r="D50" s="307">
        <v>23850</v>
      </c>
    </row>
    <row r="51" spans="1:4" ht="15.75">
      <c r="A51" s="110" t="s">
        <v>178</v>
      </c>
      <c r="B51" s="307">
        <v>2506</v>
      </c>
      <c r="C51" s="307">
        <v>2500</v>
      </c>
      <c r="D51" s="307">
        <v>1750</v>
      </c>
    </row>
    <row r="52" spans="1:4" ht="15.75">
      <c r="A52" s="110" t="s">
        <v>179</v>
      </c>
      <c r="B52" s="307">
        <v>1013</v>
      </c>
      <c r="C52" s="307">
        <v>0</v>
      </c>
      <c r="D52" s="307">
        <v>0</v>
      </c>
    </row>
    <row r="53" spans="1:4" ht="15.75">
      <c r="A53" s="302" t="s">
        <v>132</v>
      </c>
      <c r="B53" s="320">
        <f>SUM(B49:B52)</f>
        <v>70668</v>
      </c>
      <c r="C53" s="320">
        <f>SUM(C49:C52)</f>
        <v>64850</v>
      </c>
      <c r="D53" s="320">
        <f>SUM(D49:D52)</f>
        <v>73600</v>
      </c>
    </row>
    <row r="54" spans="1:4" ht="15.75">
      <c r="A54" s="85"/>
      <c r="B54" s="127"/>
      <c r="C54" s="127"/>
      <c r="D54" s="127"/>
    </row>
    <row r="55" spans="1:4" ht="15.75">
      <c r="A55" s="302" t="s">
        <v>313</v>
      </c>
      <c r="B55" s="313">
        <f>B13+B19+B27+B34+B40+B47+B53</f>
        <v>866426</v>
      </c>
      <c r="C55" s="313">
        <f>C13+C19+C27+C34+C40+C47+C53</f>
        <v>1288779</v>
      </c>
      <c r="D55" s="313">
        <f>D13+D19+D27+D34+D40+D47+D53</f>
        <v>1341007</v>
      </c>
    </row>
    <row r="56" spans="1:4" ht="15.75">
      <c r="A56" s="85"/>
      <c r="B56" s="228"/>
      <c r="C56" s="228"/>
      <c r="D56" s="228"/>
    </row>
    <row r="57" spans="1:4" ht="15.75">
      <c r="A57" s="788" t="s">
        <v>296</v>
      </c>
      <c r="B57" s="788"/>
      <c r="C57" s="788"/>
      <c r="D57" s="788"/>
    </row>
    <row r="58" spans="1:4" ht="15.75">
      <c r="A58" s="85"/>
      <c r="B58" s="228"/>
      <c r="C58" s="228"/>
      <c r="D58" s="228"/>
    </row>
    <row r="59" spans="1:4" ht="15.75">
      <c r="A59" s="228" t="str">
        <f>inputPrYr!C2</f>
        <v>Rice County</v>
      </c>
      <c r="B59" s="228"/>
      <c r="C59" s="84"/>
      <c r="D59" s="327">
        <f>D1</f>
        <v>2013</v>
      </c>
    </row>
    <row r="60" spans="1:4" ht="15.75">
      <c r="A60" s="85"/>
      <c r="B60" s="228"/>
      <c r="C60" s="228"/>
      <c r="D60" s="84"/>
    </row>
    <row r="61" spans="1:4" ht="15.75">
      <c r="A61" s="314" t="s">
        <v>238</v>
      </c>
      <c r="B61" s="328"/>
      <c r="C61" s="328"/>
      <c r="D61" s="328"/>
    </row>
    <row r="62" spans="1:4" ht="15.75">
      <c r="A62" s="85" t="s">
        <v>160</v>
      </c>
      <c r="B62" s="324" t="str">
        <f aca="true" t="shared" si="0" ref="B62:D63">B4</f>
        <v>Prior Year </v>
      </c>
      <c r="C62" s="215" t="str">
        <f t="shared" si="0"/>
        <v>Current Year </v>
      </c>
      <c r="D62" s="215" t="str">
        <f t="shared" si="0"/>
        <v>Proposed Budget </v>
      </c>
    </row>
    <row r="63" spans="1:4" ht="15.75">
      <c r="A63" s="114" t="s">
        <v>174</v>
      </c>
      <c r="B63" s="316" t="str">
        <f t="shared" si="0"/>
        <v>Actual for 2011</v>
      </c>
      <c r="C63" s="316" t="str">
        <f t="shared" si="0"/>
        <v>Estimate for 2012</v>
      </c>
      <c r="D63" s="316" t="str">
        <f t="shared" si="0"/>
        <v>Year for 2013</v>
      </c>
    </row>
    <row r="64" spans="1:4" ht="15.75">
      <c r="A64" s="302" t="s">
        <v>170</v>
      </c>
      <c r="B64" s="127"/>
      <c r="C64" s="127"/>
      <c r="D64" s="127"/>
    </row>
    <row r="65" spans="1:4" ht="15.75">
      <c r="A65" s="325" t="s">
        <v>958</v>
      </c>
      <c r="B65" s="127"/>
      <c r="C65" s="127"/>
      <c r="D65" s="127"/>
    </row>
    <row r="66" spans="1:4" ht="15.75">
      <c r="A66" s="110" t="s">
        <v>176</v>
      </c>
      <c r="B66" s="307">
        <v>13636</v>
      </c>
      <c r="C66" s="307">
        <v>3000</v>
      </c>
      <c r="D66" s="307">
        <v>28279</v>
      </c>
    </row>
    <row r="67" spans="1:4" ht="15.75">
      <c r="A67" s="110" t="s">
        <v>177</v>
      </c>
      <c r="B67" s="307">
        <v>36963</v>
      </c>
      <c r="C67" s="307">
        <v>32050</v>
      </c>
      <c r="D67" s="307">
        <v>20200</v>
      </c>
    </row>
    <row r="68" spans="1:4" ht="15.75">
      <c r="A68" s="110" t="s">
        <v>178</v>
      </c>
      <c r="B68" s="307">
        <v>7684</v>
      </c>
      <c r="C68" s="307">
        <v>9100</v>
      </c>
      <c r="D68" s="307">
        <v>8850</v>
      </c>
    </row>
    <row r="69" spans="1:4" ht="15.75">
      <c r="A69" s="110" t="s">
        <v>965</v>
      </c>
      <c r="B69" s="307">
        <v>5000</v>
      </c>
      <c r="C69" s="307">
        <v>0</v>
      </c>
      <c r="D69" s="307">
        <v>5000</v>
      </c>
    </row>
    <row r="70" spans="1:4" ht="15.75">
      <c r="A70" s="110" t="s">
        <v>179</v>
      </c>
      <c r="B70" s="307">
        <v>1453</v>
      </c>
      <c r="C70" s="307">
        <v>6000</v>
      </c>
      <c r="D70" s="307">
        <v>2500</v>
      </c>
    </row>
    <row r="71" spans="1:4" ht="15.75">
      <c r="A71" s="329" t="s">
        <v>132</v>
      </c>
      <c r="B71" s="326">
        <f>SUM(B66:B70)</f>
        <v>64736</v>
      </c>
      <c r="C71" s="326">
        <f>SUM(C66:C70)</f>
        <v>50150</v>
      </c>
      <c r="D71" s="326">
        <f>SUM(D66:D70)</f>
        <v>64829</v>
      </c>
    </row>
    <row r="72" spans="1:4" ht="15.75">
      <c r="A72" s="325" t="s">
        <v>959</v>
      </c>
      <c r="B72" s="127"/>
      <c r="C72" s="127"/>
      <c r="D72" s="127"/>
    </row>
    <row r="73" spans="1:4" ht="15.75">
      <c r="A73" s="110" t="s">
        <v>176</v>
      </c>
      <c r="B73" s="307">
        <v>28834</v>
      </c>
      <c r="C73" s="307">
        <v>0</v>
      </c>
      <c r="D73" s="307">
        <v>30000</v>
      </c>
    </row>
    <row r="74" spans="1:4" ht="15.75">
      <c r="A74" s="110" t="s">
        <v>177</v>
      </c>
      <c r="B74" s="307">
        <v>75034</v>
      </c>
      <c r="C74" s="307">
        <v>136850</v>
      </c>
      <c r="D74" s="307">
        <v>150890</v>
      </c>
    </row>
    <row r="75" spans="1:4" ht="15.75">
      <c r="A75" s="110" t="s">
        <v>178</v>
      </c>
      <c r="B75" s="307">
        <v>7104</v>
      </c>
      <c r="C75" s="307">
        <v>304937</v>
      </c>
      <c r="D75" s="307">
        <v>330000</v>
      </c>
    </row>
    <row r="76" spans="1:4" ht="15.75">
      <c r="A76" s="110" t="s">
        <v>960</v>
      </c>
      <c r="B76" s="307">
        <v>0</v>
      </c>
      <c r="C76" s="307">
        <v>250000</v>
      </c>
      <c r="D76" s="307">
        <v>250000</v>
      </c>
    </row>
    <row r="77" spans="1:4" ht="15.75">
      <c r="A77" s="110" t="s">
        <v>961</v>
      </c>
      <c r="B77" s="307">
        <v>100451</v>
      </c>
      <c r="C77" s="307">
        <v>50000</v>
      </c>
      <c r="D77" s="307">
        <v>50000</v>
      </c>
    </row>
    <row r="78" spans="1:4" ht="15.75">
      <c r="A78" s="110" t="s">
        <v>962</v>
      </c>
      <c r="B78" s="307">
        <v>0</v>
      </c>
      <c r="C78" s="307">
        <v>20000</v>
      </c>
      <c r="D78" s="307">
        <v>20000</v>
      </c>
    </row>
    <row r="79" spans="1:5" ht="15.75">
      <c r="A79" s="110" t="s">
        <v>963</v>
      </c>
      <c r="B79" s="307">
        <v>20</v>
      </c>
      <c r="C79" s="307">
        <v>4790</v>
      </c>
      <c r="D79" s="307">
        <v>9790</v>
      </c>
      <c r="E79" s="72" t="s">
        <v>1068</v>
      </c>
    </row>
    <row r="80" spans="1:4" ht="15.75">
      <c r="A80" s="110" t="s">
        <v>1071</v>
      </c>
      <c r="B80" s="307">
        <v>0</v>
      </c>
      <c r="C80" s="307">
        <v>0</v>
      </c>
      <c r="D80" s="307">
        <v>0</v>
      </c>
    </row>
    <row r="81" spans="1:4" ht="15.75">
      <c r="A81" s="110" t="s">
        <v>179</v>
      </c>
      <c r="B81" s="307">
        <v>5600</v>
      </c>
      <c r="C81" s="307">
        <v>84704</v>
      </c>
      <c r="D81" s="307">
        <v>85000</v>
      </c>
    </row>
    <row r="82" spans="1:4" ht="15.75">
      <c r="A82" s="302" t="s">
        <v>132</v>
      </c>
      <c r="B82" s="320">
        <f>SUM(B73:B81)</f>
        <v>217043</v>
      </c>
      <c r="C82" s="320">
        <f>SUM(C73:C81)</f>
        <v>851281</v>
      </c>
      <c r="D82" s="320">
        <f>SUM(D73:D81)</f>
        <v>925680</v>
      </c>
    </row>
    <row r="83" spans="1:4" ht="15.75">
      <c r="A83" s="325" t="s">
        <v>964</v>
      </c>
      <c r="B83" s="127"/>
      <c r="C83" s="127"/>
      <c r="D83" s="127"/>
    </row>
    <row r="84" spans="1:4" ht="15.75">
      <c r="A84" s="110" t="s">
        <v>176</v>
      </c>
      <c r="B84" s="307">
        <v>174439</v>
      </c>
      <c r="C84" s="307">
        <v>154731</v>
      </c>
      <c r="D84" s="307">
        <v>198251</v>
      </c>
    </row>
    <row r="85" spans="1:4" ht="15.75">
      <c r="A85" s="110" t="s">
        <v>177</v>
      </c>
      <c r="B85" s="307">
        <v>28755</v>
      </c>
      <c r="C85" s="307">
        <v>34650</v>
      </c>
      <c r="D85" s="307">
        <v>38000</v>
      </c>
    </row>
    <row r="86" spans="1:4" ht="15.75">
      <c r="A86" s="110" t="s">
        <v>178</v>
      </c>
      <c r="B86" s="307">
        <v>5169</v>
      </c>
      <c r="C86" s="307">
        <v>6100</v>
      </c>
      <c r="D86" s="307">
        <v>7000</v>
      </c>
    </row>
    <row r="87" spans="1:4" ht="15.75">
      <c r="A87" s="110" t="s">
        <v>965</v>
      </c>
      <c r="B87" s="307">
        <v>5779</v>
      </c>
      <c r="C87" s="307">
        <v>5779</v>
      </c>
      <c r="D87" s="307">
        <v>0</v>
      </c>
    </row>
    <row r="88" spans="1:4" ht="15.75">
      <c r="A88" s="110" t="s">
        <v>966</v>
      </c>
      <c r="B88" s="307">
        <v>50000</v>
      </c>
      <c r="C88" s="307">
        <v>50000</v>
      </c>
      <c r="D88" s="307">
        <v>0</v>
      </c>
    </row>
    <row r="89" spans="1:4" ht="15.75">
      <c r="A89" s="294" t="s">
        <v>179</v>
      </c>
      <c r="B89" s="307">
        <v>0</v>
      </c>
      <c r="C89" s="307">
        <v>4000</v>
      </c>
      <c r="D89" s="307">
        <v>4000</v>
      </c>
    </row>
    <row r="90" spans="1:4" ht="15.75">
      <c r="A90" s="302" t="s">
        <v>132</v>
      </c>
      <c r="B90" s="320">
        <f>SUM(B84:B89)</f>
        <v>264142</v>
      </c>
      <c r="C90" s="320">
        <f>SUM(C84:C89)</f>
        <v>255260</v>
      </c>
      <c r="D90" s="320">
        <f>SUM(D84:D89)</f>
        <v>247251</v>
      </c>
    </row>
    <row r="91" spans="1:4" ht="15.75">
      <c r="A91" s="325" t="s">
        <v>184</v>
      </c>
      <c r="B91" s="127"/>
      <c r="C91" s="127"/>
      <c r="D91" s="127"/>
    </row>
    <row r="92" spans="1:4" ht="15.75">
      <c r="A92" s="110" t="s">
        <v>176</v>
      </c>
      <c r="B92" s="307">
        <v>89722</v>
      </c>
      <c r="C92" s="307">
        <v>94606</v>
      </c>
      <c r="D92" s="307">
        <v>103035</v>
      </c>
    </row>
    <row r="93" spans="1:4" ht="15.75">
      <c r="A93" s="110" t="s">
        <v>177</v>
      </c>
      <c r="B93" s="307">
        <v>32734</v>
      </c>
      <c r="C93" s="307">
        <v>25580</v>
      </c>
      <c r="D93" s="307">
        <v>26055</v>
      </c>
    </row>
    <row r="94" spans="1:4" ht="15.75">
      <c r="A94" s="110" t="s">
        <v>178</v>
      </c>
      <c r="B94" s="307">
        <v>899</v>
      </c>
      <c r="C94" s="307">
        <v>1800</v>
      </c>
      <c r="D94" s="307">
        <v>1800</v>
      </c>
    </row>
    <row r="95" spans="1:4" ht="15.75">
      <c r="A95" s="110" t="s">
        <v>965</v>
      </c>
      <c r="B95" s="307">
        <v>0</v>
      </c>
      <c r="C95" s="307">
        <v>0</v>
      </c>
      <c r="D95" s="307">
        <v>0</v>
      </c>
    </row>
    <row r="96" spans="1:4" ht="15.75">
      <c r="A96" s="110" t="s">
        <v>179</v>
      </c>
      <c r="B96" s="307">
        <v>0</v>
      </c>
      <c r="C96" s="307">
        <v>800</v>
      </c>
      <c r="D96" s="307">
        <v>800</v>
      </c>
    </row>
    <row r="97" spans="1:4" ht="15.75">
      <c r="A97" s="302" t="s">
        <v>132</v>
      </c>
      <c r="B97" s="320">
        <f>SUM(B92:B96)</f>
        <v>123355</v>
      </c>
      <c r="C97" s="320">
        <f>SUM(C92:C96)</f>
        <v>122786</v>
      </c>
      <c r="D97" s="320">
        <f>SUM(D92:D96)</f>
        <v>131690</v>
      </c>
    </row>
    <row r="98" spans="1:4" ht="15.75">
      <c r="A98" s="325" t="s">
        <v>159</v>
      </c>
      <c r="B98" s="127"/>
      <c r="C98" s="127"/>
      <c r="D98" s="127"/>
    </row>
    <row r="99" spans="1:4" ht="15.75">
      <c r="A99" s="110" t="s">
        <v>176</v>
      </c>
      <c r="B99" s="307">
        <v>0</v>
      </c>
      <c r="C99" s="307">
        <v>0</v>
      </c>
      <c r="D99" s="307">
        <v>0</v>
      </c>
    </row>
    <row r="100" spans="1:4" ht="15.75">
      <c r="A100" s="110" t="s">
        <v>177</v>
      </c>
      <c r="B100" s="307">
        <v>88144</v>
      </c>
      <c r="C100" s="307">
        <v>94010</v>
      </c>
      <c r="D100" s="307">
        <v>106660</v>
      </c>
    </row>
    <row r="101" spans="1:4" ht="15.75">
      <c r="A101" s="110" t="s">
        <v>178</v>
      </c>
      <c r="B101" s="307">
        <v>4650</v>
      </c>
      <c r="C101" s="307">
        <v>5000</v>
      </c>
      <c r="D101" s="307">
        <v>4500</v>
      </c>
    </row>
    <row r="102" spans="1:4" ht="15.75">
      <c r="A102" s="110" t="s">
        <v>965</v>
      </c>
      <c r="B102" s="307">
        <v>5954</v>
      </c>
      <c r="C102" s="307">
        <v>6000</v>
      </c>
      <c r="D102" s="307">
        <v>6000</v>
      </c>
    </row>
    <row r="103" spans="1:4" ht="15.75">
      <c r="A103" s="110" t="s">
        <v>179</v>
      </c>
      <c r="B103" s="307">
        <v>4601</v>
      </c>
      <c r="C103" s="307">
        <v>2450</v>
      </c>
      <c r="D103" s="307">
        <v>2450</v>
      </c>
    </row>
    <row r="104" spans="1:4" ht="15.75">
      <c r="A104" s="302" t="s">
        <v>132</v>
      </c>
      <c r="B104" s="320">
        <f>SUM(B99:B103)</f>
        <v>103349</v>
      </c>
      <c r="C104" s="320">
        <f>SUM(C99:C103)</f>
        <v>107460</v>
      </c>
      <c r="D104" s="320">
        <f>SUM(D99:D103)</f>
        <v>119610</v>
      </c>
    </row>
    <row r="105" spans="1:4" ht="15.75">
      <c r="A105" s="325" t="s">
        <v>186</v>
      </c>
      <c r="B105" s="127"/>
      <c r="C105" s="127"/>
      <c r="D105" s="127"/>
    </row>
    <row r="106" spans="1:4" ht="15.75">
      <c r="A106" s="110" t="s">
        <v>176</v>
      </c>
      <c r="B106" s="307">
        <v>37894</v>
      </c>
      <c r="C106" s="307">
        <v>28000</v>
      </c>
      <c r="D106" s="307">
        <v>28839</v>
      </c>
    </row>
    <row r="107" spans="1:4" ht="15.75">
      <c r="A107" s="110" t="s">
        <v>177</v>
      </c>
      <c r="B107" s="307">
        <v>5844</v>
      </c>
      <c r="C107" s="307">
        <v>17400</v>
      </c>
      <c r="D107" s="307">
        <v>6350</v>
      </c>
    </row>
    <row r="108" spans="1:4" ht="15.75">
      <c r="A108" s="110" t="s">
        <v>178</v>
      </c>
      <c r="B108" s="307">
        <v>1441</v>
      </c>
      <c r="C108" s="307">
        <v>2600</v>
      </c>
      <c r="D108" s="307">
        <v>1400</v>
      </c>
    </row>
    <row r="109" spans="1:4" ht="15.75">
      <c r="A109" s="110" t="s">
        <v>1045</v>
      </c>
      <c r="B109" s="307">
        <v>9000</v>
      </c>
      <c r="C109" s="307">
        <v>0</v>
      </c>
      <c r="D109" s="307">
        <v>10000</v>
      </c>
    </row>
    <row r="110" spans="1:4" ht="15.75">
      <c r="A110" s="110" t="s">
        <v>179</v>
      </c>
      <c r="B110" s="307">
        <v>0</v>
      </c>
      <c r="C110" s="307">
        <v>2000</v>
      </c>
      <c r="D110" s="307">
        <v>1800</v>
      </c>
    </row>
    <row r="111" spans="1:4" ht="15.75">
      <c r="A111" s="302" t="s">
        <v>132</v>
      </c>
      <c r="B111" s="320">
        <f>SUM(B106:B110)</f>
        <v>54179</v>
      </c>
      <c r="C111" s="320">
        <f>SUM(C106:C110)</f>
        <v>50000</v>
      </c>
      <c r="D111" s="320">
        <f>SUM(D106:D110)</f>
        <v>48389</v>
      </c>
    </row>
    <row r="112" spans="1:4" ht="15.75">
      <c r="A112" s="325" t="s">
        <v>187</v>
      </c>
      <c r="B112" s="127"/>
      <c r="C112" s="127"/>
      <c r="D112" s="127"/>
    </row>
    <row r="113" spans="1:4" ht="15.75">
      <c r="A113" s="110" t="s">
        <v>176</v>
      </c>
      <c r="B113" s="307">
        <v>12826</v>
      </c>
      <c r="C113" s="307">
        <v>15451</v>
      </c>
      <c r="D113" s="307">
        <v>17300</v>
      </c>
    </row>
    <row r="114" spans="1:4" ht="15.75">
      <c r="A114" s="110" t="s">
        <v>177</v>
      </c>
      <c r="B114" s="307">
        <v>12894</v>
      </c>
      <c r="C114" s="307">
        <v>23825</v>
      </c>
      <c r="D114" s="307">
        <v>22325</v>
      </c>
    </row>
    <row r="115" spans="1:4" ht="15.75">
      <c r="A115" s="110" t="s">
        <v>178</v>
      </c>
      <c r="B115" s="307">
        <v>2859</v>
      </c>
      <c r="C115" s="307">
        <v>2000</v>
      </c>
      <c r="D115" s="307">
        <v>1700</v>
      </c>
    </row>
    <row r="116" spans="1:4" ht="15.75">
      <c r="A116" s="110" t="s">
        <v>967</v>
      </c>
      <c r="B116" s="307">
        <v>3061</v>
      </c>
      <c r="C116" s="307">
        <v>0</v>
      </c>
      <c r="D116" s="307">
        <v>3100</v>
      </c>
    </row>
    <row r="117" spans="1:4" ht="15.75">
      <c r="A117" s="110" t="s">
        <v>179</v>
      </c>
      <c r="B117" s="307">
        <v>0</v>
      </c>
      <c r="C117" s="307">
        <v>0</v>
      </c>
      <c r="D117" s="307">
        <v>0</v>
      </c>
    </row>
    <row r="118" spans="1:4" ht="15.75">
      <c r="A118" s="110" t="s">
        <v>1069</v>
      </c>
      <c r="B118" s="307">
        <v>0</v>
      </c>
      <c r="C118" s="307">
        <v>0</v>
      </c>
      <c r="D118" s="307">
        <v>5000</v>
      </c>
    </row>
    <row r="119" spans="1:4" ht="15.75">
      <c r="A119" s="302" t="s">
        <v>132</v>
      </c>
      <c r="B119" s="320">
        <f>SUM(B113:B118)</f>
        <v>31640</v>
      </c>
      <c r="C119" s="320">
        <f>SUM(C113:C118)</f>
        <v>41276</v>
      </c>
      <c r="D119" s="320">
        <f>SUM(D113:D118)</f>
        <v>49425</v>
      </c>
    </row>
    <row r="120" spans="1:4" ht="15.75">
      <c r="A120" s="85"/>
      <c r="B120" s="127"/>
      <c r="C120" s="127"/>
      <c r="D120" s="127"/>
    </row>
    <row r="121" spans="1:4" ht="15.75">
      <c r="A121" s="302" t="s">
        <v>314</v>
      </c>
      <c r="B121" s="313">
        <f>B71+B82+B90+B97+B104+B111+B119</f>
        <v>858444</v>
      </c>
      <c r="C121" s="313">
        <f>C71+C82+C90+C97+C104+C111+C119</f>
        <v>1478213</v>
      </c>
      <c r="D121" s="313">
        <f>D71+D82+D90+D97+D104+D111+D119</f>
        <v>1586874</v>
      </c>
    </row>
    <row r="122" spans="1:4" ht="15.75">
      <c r="A122" s="85"/>
      <c r="B122" s="228"/>
      <c r="C122" s="228"/>
      <c r="D122" s="228"/>
    </row>
    <row r="123" spans="1:4" ht="15.75">
      <c r="A123" s="788" t="s">
        <v>297</v>
      </c>
      <c r="B123" s="788"/>
      <c r="C123" s="788"/>
      <c r="D123" s="788"/>
    </row>
    <row r="124" spans="1:4" ht="15.75">
      <c r="A124" s="228" t="str">
        <f>inputPrYr!C2</f>
        <v>Rice County</v>
      </c>
      <c r="B124" s="228"/>
      <c r="C124" s="84"/>
      <c r="D124" s="327">
        <f>D1</f>
        <v>2013</v>
      </c>
    </row>
    <row r="125" spans="1:4" ht="15.75">
      <c r="A125" s="85"/>
      <c r="B125" s="228"/>
      <c r="C125" s="228"/>
      <c r="D125" s="84"/>
    </row>
    <row r="126" spans="1:4" ht="15.75">
      <c r="A126" s="314" t="s">
        <v>238</v>
      </c>
      <c r="B126" s="328"/>
      <c r="C126" s="328"/>
      <c r="D126" s="328"/>
    </row>
    <row r="127" spans="1:4" ht="15.75">
      <c r="A127" s="85" t="s">
        <v>160</v>
      </c>
      <c r="B127" s="324" t="str">
        <f aca="true" t="shared" si="1" ref="B127:D128">B4</f>
        <v>Prior Year </v>
      </c>
      <c r="C127" s="215" t="str">
        <f t="shared" si="1"/>
        <v>Current Year </v>
      </c>
      <c r="D127" s="215" t="str">
        <f t="shared" si="1"/>
        <v>Proposed Budget </v>
      </c>
    </row>
    <row r="128" spans="1:4" ht="15.75">
      <c r="A128" s="114" t="s">
        <v>174</v>
      </c>
      <c r="B128" s="316" t="str">
        <f t="shared" si="1"/>
        <v>Actual for 2011</v>
      </c>
      <c r="C128" s="316" t="str">
        <f t="shared" si="1"/>
        <v>Estimate for 2012</v>
      </c>
      <c r="D128" s="316" t="str">
        <f t="shared" si="1"/>
        <v>Year for 2013</v>
      </c>
    </row>
    <row r="129" spans="1:4" ht="15.75">
      <c r="A129" s="302" t="s">
        <v>170</v>
      </c>
      <c r="B129" s="127"/>
      <c r="C129" s="127"/>
      <c r="D129" s="127"/>
    </row>
    <row r="130" spans="1:4" ht="15.75">
      <c r="A130" s="325" t="s">
        <v>968</v>
      </c>
      <c r="B130" s="127"/>
      <c r="C130" s="127"/>
      <c r="D130" s="127"/>
    </row>
    <row r="131" spans="1:4" ht="15.75">
      <c r="A131" s="110" t="s">
        <v>176</v>
      </c>
      <c r="B131" s="307">
        <v>17016</v>
      </c>
      <c r="C131" s="307">
        <v>20200</v>
      </c>
      <c r="D131" s="307">
        <v>20200</v>
      </c>
    </row>
    <row r="132" spans="1:4" ht="15.75">
      <c r="A132" s="110" t="s">
        <v>177</v>
      </c>
      <c r="B132" s="307">
        <v>6273</v>
      </c>
      <c r="C132" s="307">
        <v>9350</v>
      </c>
      <c r="D132" s="307">
        <v>9350</v>
      </c>
    </row>
    <row r="133" spans="1:4" ht="15.75">
      <c r="A133" s="110" t="s">
        <v>178</v>
      </c>
      <c r="B133" s="307">
        <v>5783</v>
      </c>
      <c r="C133" s="307">
        <v>4200</v>
      </c>
      <c r="D133" s="307">
        <v>4200</v>
      </c>
    </row>
    <row r="134" spans="1:4" ht="15.75">
      <c r="A134" s="110" t="s">
        <v>179</v>
      </c>
      <c r="B134" s="307">
        <v>2626</v>
      </c>
      <c r="C134" s="307">
        <v>6000</v>
      </c>
      <c r="D134" s="307">
        <v>6000</v>
      </c>
    </row>
    <row r="135" spans="1:4" ht="15.75">
      <c r="A135" s="302" t="s">
        <v>132</v>
      </c>
      <c r="B135" s="320">
        <f>SUM(B131:B134)</f>
        <v>31698</v>
      </c>
      <c r="C135" s="320">
        <f>SUM(C131:C134)</f>
        <v>39750</v>
      </c>
      <c r="D135" s="320">
        <f>SUM(D131:D134)</f>
        <v>39750</v>
      </c>
    </row>
    <row r="136" spans="1:4" ht="15.75">
      <c r="A136" s="325" t="s">
        <v>969</v>
      </c>
      <c r="B136" s="127"/>
      <c r="C136" s="127"/>
      <c r="D136" s="127"/>
    </row>
    <row r="137" spans="1:4" ht="15.75">
      <c r="A137" s="110" t="s">
        <v>970</v>
      </c>
      <c r="B137" s="307">
        <v>0</v>
      </c>
      <c r="C137" s="307">
        <v>0</v>
      </c>
      <c r="D137" s="307">
        <v>100000</v>
      </c>
    </row>
    <row r="138" spans="1:4" ht="15.75">
      <c r="A138" s="110" t="s">
        <v>971</v>
      </c>
      <c r="B138" s="307">
        <v>0</v>
      </c>
      <c r="C138" s="307">
        <v>0</v>
      </c>
      <c r="D138" s="307">
        <v>75000</v>
      </c>
    </row>
    <row r="139" spans="1:4" ht="15.75">
      <c r="A139" s="110" t="s">
        <v>972</v>
      </c>
      <c r="B139" s="307">
        <v>0</v>
      </c>
      <c r="C139" s="307">
        <v>0</v>
      </c>
      <c r="D139" s="307">
        <v>50000</v>
      </c>
    </row>
    <row r="140" spans="1:4" ht="15.75">
      <c r="A140" s="110" t="s">
        <v>973</v>
      </c>
      <c r="B140" s="307">
        <v>645393</v>
      </c>
      <c r="C140" s="307">
        <v>200000</v>
      </c>
      <c r="D140" s="307">
        <v>200000</v>
      </c>
    </row>
    <row r="141" spans="1:4" ht="15.75">
      <c r="A141" s="302" t="s">
        <v>132</v>
      </c>
      <c r="B141" s="320">
        <f>SUM(B137:B140)</f>
        <v>645393</v>
      </c>
      <c r="C141" s="320">
        <f>SUM(C137:C140)</f>
        <v>200000</v>
      </c>
      <c r="D141" s="320">
        <f>SUM(D137:D140)</f>
        <v>425000</v>
      </c>
    </row>
    <row r="142" spans="1:4" ht="15.75">
      <c r="A142" s="325" t="s">
        <v>974</v>
      </c>
      <c r="B142" s="127"/>
      <c r="C142" s="127"/>
      <c r="D142" s="127"/>
    </row>
    <row r="143" spans="1:4" ht="15.75">
      <c r="A143" s="110" t="s">
        <v>176</v>
      </c>
      <c r="B143" s="307">
        <v>0</v>
      </c>
      <c r="C143" s="307">
        <v>0</v>
      </c>
      <c r="D143" s="307">
        <v>0</v>
      </c>
    </row>
    <row r="144" spans="1:4" ht="15.75">
      <c r="A144" s="110" t="s">
        <v>177</v>
      </c>
      <c r="B144" s="307">
        <v>7600</v>
      </c>
      <c r="C144" s="307">
        <v>11400</v>
      </c>
      <c r="D144" s="307">
        <v>11400</v>
      </c>
    </row>
    <row r="145" spans="1:4" ht="15.75">
      <c r="A145" s="110" t="s">
        <v>178</v>
      </c>
      <c r="B145" s="307">
        <v>1409</v>
      </c>
      <c r="C145" s="307">
        <v>2000</v>
      </c>
      <c r="D145" s="307">
        <v>2000</v>
      </c>
    </row>
    <row r="146" spans="1:4" ht="15.75">
      <c r="A146" s="110" t="s">
        <v>965</v>
      </c>
      <c r="B146" s="307">
        <v>0</v>
      </c>
      <c r="C146" s="307">
        <v>0</v>
      </c>
      <c r="D146" s="307">
        <v>0</v>
      </c>
    </row>
    <row r="147" spans="1:4" ht="15.75">
      <c r="A147" s="110" t="s">
        <v>179</v>
      </c>
      <c r="B147" s="307">
        <v>400</v>
      </c>
      <c r="C147" s="307">
        <v>1400</v>
      </c>
      <c r="D147" s="307">
        <v>1400</v>
      </c>
    </row>
    <row r="148" spans="1:4" ht="15.75">
      <c r="A148" s="302" t="s">
        <v>132</v>
      </c>
      <c r="B148" s="320">
        <f>SUM(B143:B147)</f>
        <v>9409</v>
      </c>
      <c r="C148" s="320">
        <f>SUM(C143:C147)</f>
        <v>14800</v>
      </c>
      <c r="D148" s="320">
        <f>SUM(D143:D147)</f>
        <v>14800</v>
      </c>
    </row>
    <row r="149" spans="1:4" ht="15.75">
      <c r="A149" s="325" t="s">
        <v>975</v>
      </c>
      <c r="B149" s="127"/>
      <c r="C149" s="127"/>
      <c r="D149" s="127"/>
    </row>
    <row r="150" spans="1:4" ht="15.75">
      <c r="A150" s="110" t="s">
        <v>176</v>
      </c>
      <c r="B150" s="307">
        <v>20299</v>
      </c>
      <c r="C150" s="307">
        <v>19825</v>
      </c>
      <c r="D150" s="307">
        <v>20424</v>
      </c>
    </row>
    <row r="151" spans="1:4" ht="15.75">
      <c r="A151" s="110" t="s">
        <v>177</v>
      </c>
      <c r="B151" s="307">
        <v>2056</v>
      </c>
      <c r="C151" s="307">
        <v>2675</v>
      </c>
      <c r="D151" s="307">
        <v>3425</v>
      </c>
    </row>
    <row r="152" spans="1:4" ht="15.75">
      <c r="A152" s="110" t="s">
        <v>178</v>
      </c>
      <c r="B152" s="307">
        <v>206</v>
      </c>
      <c r="C152" s="307">
        <v>200</v>
      </c>
      <c r="D152" s="307">
        <v>100</v>
      </c>
    </row>
    <row r="153" spans="1:4" ht="15.75">
      <c r="A153" s="110" t="s">
        <v>179</v>
      </c>
      <c r="B153" s="307">
        <v>0</v>
      </c>
      <c r="C153" s="307">
        <v>0</v>
      </c>
      <c r="D153" s="307">
        <v>0</v>
      </c>
    </row>
    <row r="154" spans="1:4" ht="15.75">
      <c r="A154" s="302" t="s">
        <v>132</v>
      </c>
      <c r="B154" s="320">
        <f>SUM(B150:B153)</f>
        <v>22561</v>
      </c>
      <c r="C154" s="320">
        <f>SUM(C150:C153)</f>
        <v>22700</v>
      </c>
      <c r="D154" s="320">
        <f>SUM(D150:D153)</f>
        <v>23949</v>
      </c>
    </row>
    <row r="155" spans="1:4" ht="15.75">
      <c r="A155" s="325" t="s">
        <v>190</v>
      </c>
      <c r="B155" s="127"/>
      <c r="C155" s="127"/>
      <c r="D155" s="127"/>
    </row>
    <row r="156" spans="1:4" ht="15.75">
      <c r="A156" s="110" t="s">
        <v>176</v>
      </c>
      <c r="B156" s="307">
        <v>67870</v>
      </c>
      <c r="C156" s="307">
        <v>64008</v>
      </c>
      <c r="D156" s="307">
        <v>71511</v>
      </c>
    </row>
    <row r="157" spans="1:4" ht="15.75">
      <c r="A157" s="110" t="s">
        <v>177</v>
      </c>
      <c r="B157" s="307">
        <v>11984</v>
      </c>
      <c r="C157" s="307">
        <v>10900</v>
      </c>
      <c r="D157" s="307">
        <v>11500</v>
      </c>
    </row>
    <row r="158" spans="1:4" ht="15.75">
      <c r="A158" s="110" t="s">
        <v>178</v>
      </c>
      <c r="B158" s="307">
        <v>1505</v>
      </c>
      <c r="C158" s="307">
        <v>2070</v>
      </c>
      <c r="D158" s="307">
        <v>1770</v>
      </c>
    </row>
    <row r="159" spans="1:4" ht="15.75">
      <c r="A159" s="110" t="s">
        <v>965</v>
      </c>
      <c r="B159" s="307">
        <v>6000</v>
      </c>
      <c r="C159" s="307">
        <v>0</v>
      </c>
      <c r="D159" s="307">
        <v>0</v>
      </c>
    </row>
    <row r="160" spans="1:4" ht="15.75">
      <c r="A160" s="110" t="s">
        <v>179</v>
      </c>
      <c r="B160" s="307">
        <v>0</v>
      </c>
      <c r="C160" s="307">
        <v>0</v>
      </c>
      <c r="D160" s="307">
        <v>0</v>
      </c>
    </row>
    <row r="161" spans="1:4" ht="15.75">
      <c r="A161" s="302" t="s">
        <v>132</v>
      </c>
      <c r="B161" s="320">
        <f>SUM(B156:B160)</f>
        <v>87359</v>
      </c>
      <c r="C161" s="320">
        <f>SUM(C156:C160)</f>
        <v>76978</v>
      </c>
      <c r="D161" s="320">
        <f>SUM(D156:D160)</f>
        <v>84781</v>
      </c>
    </row>
    <row r="162" spans="1:4" ht="15.75">
      <c r="A162" s="325" t="s">
        <v>976</v>
      </c>
      <c r="B162" s="127"/>
      <c r="C162" s="127"/>
      <c r="D162" s="127"/>
    </row>
    <row r="163" spans="1:4" ht="15.75">
      <c r="A163" s="110" t="s">
        <v>176</v>
      </c>
      <c r="B163" s="307">
        <v>259830</v>
      </c>
      <c r="C163" s="307">
        <v>233391</v>
      </c>
      <c r="D163" s="307">
        <v>278793</v>
      </c>
    </row>
    <row r="164" spans="1:4" ht="15.75">
      <c r="A164" s="110" t="s">
        <v>177</v>
      </c>
      <c r="B164" s="307">
        <v>47490</v>
      </c>
      <c r="C164" s="307">
        <v>40750</v>
      </c>
      <c r="D164" s="307">
        <v>41350</v>
      </c>
    </row>
    <row r="165" spans="1:4" ht="15.75">
      <c r="A165" s="110" t="s">
        <v>178</v>
      </c>
      <c r="B165" s="307">
        <v>37069</v>
      </c>
      <c r="C165" s="307">
        <v>50250</v>
      </c>
      <c r="D165" s="307">
        <v>48200</v>
      </c>
    </row>
    <row r="166" spans="1:4" ht="15.75">
      <c r="A166" s="110" t="s">
        <v>977</v>
      </c>
      <c r="B166" s="307">
        <v>278037</v>
      </c>
      <c r="C166" s="307">
        <v>300000</v>
      </c>
      <c r="D166" s="307">
        <v>300000</v>
      </c>
    </row>
    <row r="167" spans="1:4" ht="15.75">
      <c r="A167" s="110" t="s">
        <v>966</v>
      </c>
      <c r="B167" s="307">
        <v>150000</v>
      </c>
      <c r="C167" s="307">
        <v>150000</v>
      </c>
      <c r="D167" s="307">
        <v>0</v>
      </c>
    </row>
    <row r="168" spans="1:4" ht="15.75">
      <c r="A168" s="110" t="s">
        <v>965</v>
      </c>
      <c r="B168" s="307">
        <v>0</v>
      </c>
      <c r="C168" s="307">
        <v>0</v>
      </c>
      <c r="D168" s="307">
        <v>50000</v>
      </c>
    </row>
    <row r="169" spans="1:4" ht="15.75">
      <c r="A169" s="110" t="s">
        <v>179</v>
      </c>
      <c r="B169" s="451">
        <v>44601</v>
      </c>
      <c r="C169" s="451">
        <v>49500</v>
      </c>
      <c r="D169" s="451">
        <v>70500</v>
      </c>
    </row>
    <row r="170" spans="1:4" ht="15.75">
      <c r="A170" s="302" t="s">
        <v>132</v>
      </c>
      <c r="B170" s="320">
        <f>SUM(B163:B169)</f>
        <v>817027</v>
      </c>
      <c r="C170" s="320">
        <f>SUM(C163:C169)</f>
        <v>823891</v>
      </c>
      <c r="D170" s="320">
        <f>SUM(D163:D169)</f>
        <v>788843</v>
      </c>
    </row>
    <row r="171" spans="1:4" ht="15.75">
      <c r="A171" s="325" t="s">
        <v>192</v>
      </c>
      <c r="B171" s="127"/>
      <c r="C171" s="127"/>
      <c r="D171" s="127"/>
    </row>
    <row r="172" spans="1:4" ht="15.75">
      <c r="A172" s="110" t="s">
        <v>176</v>
      </c>
      <c r="B172" s="307">
        <v>103363</v>
      </c>
      <c r="C172" s="307">
        <v>80345</v>
      </c>
      <c r="D172" s="307">
        <v>89504</v>
      </c>
    </row>
    <row r="173" spans="1:4" ht="15.75">
      <c r="A173" s="110" t="s">
        <v>177</v>
      </c>
      <c r="B173" s="307">
        <v>243098</v>
      </c>
      <c r="C173" s="307">
        <v>431850</v>
      </c>
      <c r="D173" s="307">
        <v>416850</v>
      </c>
    </row>
    <row r="174" spans="1:4" ht="15.75">
      <c r="A174" s="110" t="s">
        <v>178</v>
      </c>
      <c r="B174" s="307">
        <v>40179</v>
      </c>
      <c r="C174" s="307">
        <v>57350</v>
      </c>
      <c r="D174" s="307">
        <v>62350</v>
      </c>
    </row>
    <row r="175" spans="1:4" ht="15.75">
      <c r="A175" s="110" t="s">
        <v>965</v>
      </c>
      <c r="B175" s="307">
        <v>50000</v>
      </c>
      <c r="C175" s="307">
        <v>25000</v>
      </c>
      <c r="D175" s="307">
        <v>25000</v>
      </c>
    </row>
    <row r="176" spans="1:4" ht="15.75">
      <c r="A176" s="110" t="s">
        <v>179</v>
      </c>
      <c r="B176" s="307">
        <v>0</v>
      </c>
      <c r="C176" s="307">
        <v>3000</v>
      </c>
      <c r="D176" s="307">
        <v>3000</v>
      </c>
    </row>
    <row r="177" spans="1:4" ht="15.75">
      <c r="A177" s="302" t="s">
        <v>132</v>
      </c>
      <c r="B177" s="320">
        <f>SUM(B172:B176)</f>
        <v>436640</v>
      </c>
      <c r="C177" s="320">
        <f>SUM(C172:C176)</f>
        <v>597545</v>
      </c>
      <c r="D177" s="320">
        <f>SUM(D172:D176)</f>
        <v>596704</v>
      </c>
    </row>
    <row r="178" spans="1:4" ht="15.75">
      <c r="A178" s="325"/>
      <c r="B178" s="127"/>
      <c r="C178" s="127"/>
      <c r="D178" s="127"/>
    </row>
    <row r="179" spans="1:4" ht="15.75">
      <c r="A179" s="110"/>
      <c r="B179" s="307"/>
      <c r="C179" s="307"/>
      <c r="D179" s="307"/>
    </row>
    <row r="180" spans="1:4" ht="15.75">
      <c r="A180" s="110"/>
      <c r="B180" s="307"/>
      <c r="C180" s="307"/>
      <c r="D180" s="307"/>
    </row>
    <row r="181" spans="1:4" ht="15.75">
      <c r="A181" s="110"/>
      <c r="B181" s="307"/>
      <c r="C181" s="307"/>
      <c r="D181" s="307"/>
    </row>
    <row r="182" spans="1:4" ht="15.75">
      <c r="A182" s="110"/>
      <c r="B182" s="307"/>
      <c r="C182" s="307"/>
      <c r="D182" s="307"/>
    </row>
    <row r="183" spans="1:4" ht="15.75">
      <c r="A183" s="302" t="s">
        <v>132</v>
      </c>
      <c r="B183" s="320">
        <f>SUM(B179:B182)</f>
        <v>0</v>
      </c>
      <c r="C183" s="320">
        <f>SUM(C179:C182)</f>
        <v>0</v>
      </c>
      <c r="D183" s="320">
        <f>SUM(D179:D182)</f>
        <v>0</v>
      </c>
    </row>
    <row r="184" spans="1:4" ht="15.75">
      <c r="A184" s="302"/>
      <c r="B184" s="127"/>
      <c r="C184" s="127"/>
      <c r="D184" s="127"/>
    </row>
    <row r="185" spans="1:4" ht="15.75">
      <c r="A185" s="302" t="s">
        <v>315</v>
      </c>
      <c r="B185" s="313">
        <f>B135+B141+B148+B154+B161+B170+B177+B183</f>
        <v>2050087</v>
      </c>
      <c r="C185" s="313">
        <f>C135+C141+C148+C154+C161+C170+C177+C183</f>
        <v>1775664</v>
      </c>
      <c r="D185" s="313">
        <f>D135+D141+D148+D154+D161+D170+D177+D183</f>
        <v>1973827</v>
      </c>
    </row>
    <row r="186" spans="1:4" ht="15.75">
      <c r="A186" s="85"/>
      <c r="B186" s="228"/>
      <c r="C186" s="228"/>
      <c r="D186" s="228"/>
    </row>
    <row r="187" spans="1:4" ht="15.75">
      <c r="A187" s="788" t="s">
        <v>298</v>
      </c>
      <c r="B187" s="788"/>
      <c r="C187" s="788"/>
      <c r="D187" s="788"/>
    </row>
    <row r="188" spans="1:4" ht="15.75">
      <c r="A188" s="228" t="str">
        <f>inputPrYr!C2</f>
        <v>Rice County</v>
      </c>
      <c r="B188" s="228"/>
      <c r="C188" s="84"/>
      <c r="D188" s="327">
        <f>D1</f>
        <v>2013</v>
      </c>
    </row>
    <row r="189" spans="1:4" ht="15.75">
      <c r="A189" s="85"/>
      <c r="B189" s="228"/>
      <c r="C189" s="228"/>
      <c r="D189" s="84"/>
    </row>
    <row r="190" spans="1:4" ht="15.75">
      <c r="A190" s="314" t="s">
        <v>238</v>
      </c>
      <c r="B190" s="328"/>
      <c r="C190" s="328"/>
      <c r="D190" s="328"/>
    </row>
    <row r="191" spans="1:4" ht="15.75">
      <c r="A191" s="85" t="s">
        <v>160</v>
      </c>
      <c r="B191" s="324" t="str">
        <f aca="true" t="shared" si="2" ref="B191:D192">B4</f>
        <v>Prior Year </v>
      </c>
      <c r="C191" s="215" t="str">
        <f t="shared" si="2"/>
        <v>Current Year </v>
      </c>
      <c r="D191" s="215" t="str">
        <f t="shared" si="2"/>
        <v>Proposed Budget </v>
      </c>
    </row>
    <row r="192" spans="1:4" ht="15.75">
      <c r="A192" s="114" t="s">
        <v>174</v>
      </c>
      <c r="B192" s="316" t="str">
        <f t="shared" si="2"/>
        <v>Actual for 2011</v>
      </c>
      <c r="C192" s="316" t="str">
        <f t="shared" si="2"/>
        <v>Estimate for 2012</v>
      </c>
      <c r="D192" s="316" t="str">
        <f t="shared" si="2"/>
        <v>Year for 2013</v>
      </c>
    </row>
    <row r="193" spans="1:4" ht="15.75" hidden="1">
      <c r="A193" s="302" t="s">
        <v>170</v>
      </c>
      <c r="B193" s="127"/>
      <c r="C193" s="127"/>
      <c r="D193" s="127"/>
    </row>
    <row r="194" spans="1:4" ht="15.75" hidden="1">
      <c r="A194" s="325"/>
      <c r="B194" s="127"/>
      <c r="C194" s="127"/>
      <c r="D194" s="127"/>
    </row>
    <row r="195" spans="1:4" ht="15.75" hidden="1">
      <c r="A195" s="110"/>
      <c r="B195" s="307"/>
      <c r="C195" s="307"/>
      <c r="D195" s="307"/>
    </row>
    <row r="196" spans="1:4" ht="15.75" hidden="1">
      <c r="A196" s="110"/>
      <c r="B196" s="307"/>
      <c r="C196" s="307"/>
      <c r="D196" s="307"/>
    </row>
    <row r="197" spans="1:4" ht="15.75" hidden="1">
      <c r="A197" s="110"/>
      <c r="B197" s="307"/>
      <c r="C197" s="307"/>
      <c r="D197" s="307"/>
    </row>
    <row r="198" spans="1:4" ht="15.75" hidden="1">
      <c r="A198" s="110"/>
      <c r="B198" s="307"/>
      <c r="C198" s="307"/>
      <c r="D198" s="307"/>
    </row>
    <row r="199" spans="1:4" ht="15.75" hidden="1">
      <c r="A199" s="302" t="s">
        <v>132</v>
      </c>
      <c r="B199" s="320">
        <f>SUM(B195:B198)</f>
        <v>0</v>
      </c>
      <c r="C199" s="320">
        <f>SUM(C195:C198)</f>
        <v>0</v>
      </c>
      <c r="D199" s="320">
        <f>SUM(D195:D198)</f>
        <v>0</v>
      </c>
    </row>
    <row r="200" spans="1:4" ht="15.75" hidden="1">
      <c r="A200" s="325"/>
      <c r="B200" s="127"/>
      <c r="C200" s="127"/>
      <c r="D200" s="127"/>
    </row>
    <row r="201" spans="1:4" ht="15.75" hidden="1">
      <c r="A201" s="110"/>
      <c r="B201" s="307"/>
      <c r="C201" s="307"/>
      <c r="D201" s="307"/>
    </row>
    <row r="202" spans="1:4" ht="15.75" hidden="1">
      <c r="A202" s="110"/>
      <c r="B202" s="307"/>
      <c r="C202" s="307"/>
      <c r="D202" s="307"/>
    </row>
    <row r="203" spans="1:4" ht="15.75" hidden="1">
      <c r="A203" s="110"/>
      <c r="B203" s="307"/>
      <c r="C203" s="307"/>
      <c r="D203" s="307"/>
    </row>
    <row r="204" spans="1:4" ht="15.75" hidden="1">
      <c r="A204" s="110"/>
      <c r="B204" s="307"/>
      <c r="C204" s="307"/>
      <c r="D204" s="307"/>
    </row>
    <row r="205" spans="1:4" ht="15.75" hidden="1">
      <c r="A205" s="302" t="s">
        <v>132</v>
      </c>
      <c r="B205" s="127">
        <f>SUM(B201:B204)</f>
        <v>0</v>
      </c>
      <c r="C205" s="127">
        <f>SUM(C201:C204)</f>
        <v>0</v>
      </c>
      <c r="D205" s="127">
        <f>SUM(D201:D204)</f>
        <v>0</v>
      </c>
    </row>
    <row r="206" spans="1:4" ht="15.75" hidden="1">
      <c r="A206" s="325"/>
      <c r="B206" s="127"/>
      <c r="C206" s="127"/>
      <c r="D206" s="127"/>
    </row>
    <row r="207" spans="1:4" ht="15.75" hidden="1">
      <c r="A207" s="110"/>
      <c r="B207" s="307"/>
      <c r="C207" s="307"/>
      <c r="D207" s="307"/>
    </row>
    <row r="208" spans="1:4" ht="15.75" hidden="1">
      <c r="A208" s="110"/>
      <c r="B208" s="307"/>
      <c r="C208" s="307"/>
      <c r="D208" s="307"/>
    </row>
    <row r="209" spans="1:4" ht="15.75" hidden="1">
      <c r="A209" s="110"/>
      <c r="B209" s="307"/>
      <c r="C209" s="307"/>
      <c r="D209" s="307"/>
    </row>
    <row r="210" spans="1:4" ht="15.75" hidden="1">
      <c r="A210" s="110"/>
      <c r="B210" s="307"/>
      <c r="C210" s="307"/>
      <c r="D210" s="307"/>
    </row>
    <row r="211" spans="1:4" ht="15.75" hidden="1">
      <c r="A211" s="302" t="s">
        <v>132</v>
      </c>
      <c r="B211" s="320">
        <f>SUM(B207:B210)</f>
        <v>0</v>
      </c>
      <c r="C211" s="320">
        <f>SUM(C207:C210)</f>
        <v>0</v>
      </c>
      <c r="D211" s="320">
        <f>SUM(D207:D210)</f>
        <v>0</v>
      </c>
    </row>
    <row r="212" spans="1:4" ht="15.75" hidden="1">
      <c r="A212" s="325"/>
      <c r="B212" s="127"/>
      <c r="C212" s="127"/>
      <c r="D212" s="127"/>
    </row>
    <row r="213" spans="1:4" ht="15.75" hidden="1">
      <c r="A213" s="110"/>
      <c r="B213" s="307"/>
      <c r="C213" s="307"/>
      <c r="D213" s="307"/>
    </row>
    <row r="214" spans="1:4" ht="15.75" hidden="1">
      <c r="A214" s="110"/>
      <c r="B214" s="307"/>
      <c r="C214" s="307"/>
      <c r="D214" s="307"/>
    </row>
    <row r="215" spans="1:4" ht="15.75" hidden="1">
      <c r="A215" s="110"/>
      <c r="B215" s="307"/>
      <c r="C215" s="307"/>
      <c r="D215" s="307"/>
    </row>
    <row r="216" spans="1:4" ht="15.75" hidden="1">
      <c r="A216" s="110"/>
      <c r="B216" s="307"/>
      <c r="C216" s="307"/>
      <c r="D216" s="307"/>
    </row>
    <row r="217" spans="1:4" ht="15.75" hidden="1">
      <c r="A217" s="302" t="s">
        <v>132</v>
      </c>
      <c r="B217" s="127">
        <f>SUM(B213:B216)</f>
        <v>0</v>
      </c>
      <c r="C217" s="127">
        <f>SUM(C213:C216)</f>
        <v>0</v>
      </c>
      <c r="D217" s="127">
        <f>SUM(D213:D216)</f>
        <v>0</v>
      </c>
    </row>
    <row r="218" spans="1:4" ht="15.75" hidden="1">
      <c r="A218" s="325"/>
      <c r="B218" s="127"/>
      <c r="C218" s="127"/>
      <c r="D218" s="127"/>
    </row>
    <row r="219" spans="1:4" ht="15.75" hidden="1">
      <c r="A219" s="110"/>
      <c r="B219" s="307"/>
      <c r="C219" s="307"/>
      <c r="D219" s="307"/>
    </row>
    <row r="220" spans="1:4" ht="15.75" hidden="1">
      <c r="A220" s="110"/>
      <c r="B220" s="307"/>
      <c r="C220" s="307"/>
      <c r="D220" s="307"/>
    </row>
    <row r="221" spans="1:4" ht="15.75" hidden="1">
      <c r="A221" s="110"/>
      <c r="B221" s="307"/>
      <c r="C221" s="307"/>
      <c r="D221" s="307"/>
    </row>
    <row r="222" spans="1:4" ht="15.75" hidden="1">
      <c r="A222" s="110"/>
      <c r="B222" s="307"/>
      <c r="C222" s="307"/>
      <c r="D222" s="307"/>
    </row>
    <row r="223" spans="1:4" ht="15.75" hidden="1">
      <c r="A223" s="302" t="s">
        <v>132</v>
      </c>
      <c r="B223" s="320">
        <f>SUM(B219:B222)</f>
        <v>0</v>
      </c>
      <c r="C223" s="320">
        <f>SUM(C219:C222)</f>
        <v>0</v>
      </c>
      <c r="D223" s="320">
        <f>SUM(D219:D222)</f>
        <v>0</v>
      </c>
    </row>
    <row r="224" spans="1:4" ht="15.75" hidden="1">
      <c r="A224" s="325"/>
      <c r="B224" s="127"/>
      <c r="C224" s="127"/>
      <c r="D224" s="127"/>
    </row>
    <row r="225" spans="1:4" ht="15.75" hidden="1">
      <c r="A225" s="110"/>
      <c r="B225" s="307"/>
      <c r="C225" s="307"/>
      <c r="D225" s="307"/>
    </row>
    <row r="226" spans="1:4" ht="15.75" hidden="1">
      <c r="A226" s="110"/>
      <c r="B226" s="307"/>
      <c r="C226" s="307"/>
      <c r="D226" s="307"/>
    </row>
    <row r="227" spans="1:4" ht="15.75" hidden="1">
      <c r="A227" s="110"/>
      <c r="B227" s="307"/>
      <c r="C227" s="307"/>
      <c r="D227" s="307"/>
    </row>
    <row r="228" spans="1:4" ht="15.75" hidden="1">
      <c r="A228" s="110"/>
      <c r="B228" s="307"/>
      <c r="C228" s="307"/>
      <c r="D228" s="307"/>
    </row>
    <row r="229" spans="1:4" ht="15.75" hidden="1">
      <c r="A229" s="302" t="s">
        <v>132</v>
      </c>
      <c r="B229" s="320">
        <f>SUM(B225:B228)</f>
        <v>0</v>
      </c>
      <c r="C229" s="320">
        <f>SUM(C225:C228)</f>
        <v>0</v>
      </c>
      <c r="D229" s="320">
        <f>SUM(D225:D228)</f>
        <v>0</v>
      </c>
    </row>
    <row r="230" spans="1:4" ht="15.75" hidden="1">
      <c r="A230" s="325"/>
      <c r="B230" s="127"/>
      <c r="C230" s="127"/>
      <c r="D230" s="127"/>
    </row>
    <row r="231" spans="1:4" ht="15.75" hidden="1">
      <c r="A231" s="110"/>
      <c r="B231" s="307"/>
      <c r="C231" s="307"/>
      <c r="D231" s="307"/>
    </row>
    <row r="232" spans="1:4" ht="15.75" hidden="1">
      <c r="A232" s="302" t="s">
        <v>132</v>
      </c>
      <c r="B232" s="320">
        <f>B231</f>
        <v>0</v>
      </c>
      <c r="C232" s="320">
        <f>C231</f>
        <v>0</v>
      </c>
      <c r="D232" s="320">
        <f>D231</f>
        <v>0</v>
      </c>
    </row>
    <row r="233" spans="1:4" ht="15.75" hidden="1">
      <c r="A233" s="325"/>
      <c r="B233" s="127"/>
      <c r="C233" s="127"/>
      <c r="D233" s="127"/>
    </row>
    <row r="234" spans="1:4" ht="15.75" hidden="1">
      <c r="A234" s="110"/>
      <c r="B234" s="307"/>
      <c r="C234" s="307"/>
      <c r="D234" s="307"/>
    </row>
    <row r="235" spans="1:4" ht="15.75" hidden="1">
      <c r="A235" s="110"/>
      <c r="B235" s="307"/>
      <c r="C235" s="307"/>
      <c r="D235" s="307"/>
    </row>
    <row r="236" spans="1:4" ht="15.75" hidden="1">
      <c r="A236" s="110"/>
      <c r="B236" s="307"/>
      <c r="C236" s="307"/>
      <c r="D236" s="307"/>
    </row>
    <row r="237" spans="1:4" ht="15.75" hidden="1">
      <c r="A237" s="110"/>
      <c r="B237" s="307"/>
      <c r="C237" s="307"/>
      <c r="D237" s="307"/>
    </row>
    <row r="238" spans="1:4" ht="15.75" hidden="1">
      <c r="A238" s="302" t="s">
        <v>132</v>
      </c>
      <c r="B238" s="320">
        <f>SUM(B234:B237)</f>
        <v>0</v>
      </c>
      <c r="C238" s="320">
        <f>SUM(C234:C237)</f>
        <v>0</v>
      </c>
      <c r="D238" s="320">
        <f>SUM(D234:D237)</f>
        <v>0</v>
      </c>
    </row>
    <row r="239" spans="1:4" ht="15.75" hidden="1">
      <c r="A239" s="325"/>
      <c r="B239" s="127"/>
      <c r="C239" s="127"/>
      <c r="D239" s="127"/>
    </row>
    <row r="240" spans="1:4" ht="15.75" hidden="1">
      <c r="A240" s="110"/>
      <c r="B240" s="307"/>
      <c r="C240" s="307"/>
      <c r="D240" s="307"/>
    </row>
    <row r="241" spans="1:4" ht="15.75" hidden="1">
      <c r="A241" s="110"/>
      <c r="B241" s="307"/>
      <c r="C241" s="307"/>
      <c r="D241" s="307"/>
    </row>
    <row r="242" spans="1:4" ht="15.75" hidden="1">
      <c r="A242" s="110"/>
      <c r="B242" s="307"/>
      <c r="C242" s="307"/>
      <c r="D242" s="307"/>
    </row>
    <row r="243" spans="1:4" ht="15.75" hidden="1">
      <c r="A243" s="110"/>
      <c r="B243" s="307"/>
      <c r="C243" s="307"/>
      <c r="D243" s="307"/>
    </row>
    <row r="244" spans="1:4" ht="15.75" hidden="1">
      <c r="A244" s="302" t="s">
        <v>132</v>
      </c>
      <c r="B244" s="320">
        <f>SUM(B240:B243)</f>
        <v>0</v>
      </c>
      <c r="C244" s="320">
        <f>SUM(C240:C243)</f>
        <v>0</v>
      </c>
      <c r="D244" s="320">
        <f>SUM(D240:D243)</f>
        <v>0</v>
      </c>
    </row>
    <row r="245" spans="1:4" ht="15.75">
      <c r="A245" s="302"/>
      <c r="B245" s="320"/>
      <c r="C245" s="320"/>
      <c r="D245" s="320"/>
    </row>
    <row r="246" spans="1:4" ht="15.75">
      <c r="A246" s="302" t="s">
        <v>316</v>
      </c>
      <c r="B246" s="313">
        <f>B199+B205+B211+B217+B223+B229+B231+B238+B244</f>
        <v>0</v>
      </c>
      <c r="C246" s="313">
        <f>C199+C205+C211+C217+C223+C229+C231+C238+C244</f>
        <v>0</v>
      </c>
      <c r="D246" s="313">
        <f>D199+D205+D211+D217+D223+D229+D231+D238+D244</f>
        <v>0</v>
      </c>
    </row>
    <row r="247" spans="1:4" ht="15.75">
      <c r="A247" s="85"/>
      <c r="B247" s="228"/>
      <c r="C247" s="228"/>
      <c r="D247" s="228"/>
    </row>
    <row r="248" spans="1:4" ht="15.75">
      <c r="A248" s="788" t="s">
        <v>299</v>
      </c>
      <c r="B248" s="788"/>
      <c r="C248" s="788"/>
      <c r="D248" s="788"/>
    </row>
    <row r="249" spans="1:4" ht="15.75">
      <c r="A249" s="228" t="str">
        <f>inputPrYr!C2</f>
        <v>Rice County</v>
      </c>
      <c r="B249" s="228"/>
      <c r="C249" s="84"/>
      <c r="D249" s="327">
        <f>D1</f>
        <v>2013</v>
      </c>
    </row>
    <row r="250" spans="1:4" ht="15.75">
      <c r="A250" s="85"/>
      <c r="B250" s="228"/>
      <c r="C250" s="228"/>
      <c r="D250" s="84"/>
    </row>
    <row r="251" spans="1:4" ht="15.75">
      <c r="A251" s="314" t="s">
        <v>238</v>
      </c>
      <c r="B251" s="328"/>
      <c r="C251" s="328"/>
      <c r="D251" s="328"/>
    </row>
    <row r="252" spans="1:4" ht="15.75">
      <c r="A252" s="85" t="s">
        <v>160</v>
      </c>
      <c r="B252" s="324" t="str">
        <f aca="true" t="shared" si="3" ref="B252:D253">B4</f>
        <v>Prior Year </v>
      </c>
      <c r="C252" s="215" t="str">
        <f t="shared" si="3"/>
        <v>Current Year </v>
      </c>
      <c r="D252" s="215" t="str">
        <f t="shared" si="3"/>
        <v>Proposed Budget </v>
      </c>
    </row>
    <row r="253" spans="1:4" ht="15.75">
      <c r="A253" s="114" t="s">
        <v>174</v>
      </c>
      <c r="B253" s="316" t="str">
        <f t="shared" si="3"/>
        <v>Actual for 2011</v>
      </c>
      <c r="C253" s="316" t="str">
        <f t="shared" si="3"/>
        <v>Estimate for 2012</v>
      </c>
      <c r="D253" s="316" t="str">
        <f t="shared" si="3"/>
        <v>Year for 2013</v>
      </c>
    </row>
    <row r="254" spans="1:4" ht="15.75">
      <c r="A254" s="263" t="s">
        <v>170</v>
      </c>
      <c r="B254" s="127"/>
      <c r="C254" s="127"/>
      <c r="D254" s="127"/>
    </row>
    <row r="255" spans="1:4" ht="15.75" hidden="1">
      <c r="A255" s="325"/>
      <c r="B255" s="127"/>
      <c r="C255" s="127"/>
      <c r="D255" s="127"/>
    </row>
    <row r="256" spans="1:4" ht="15.75" hidden="1">
      <c r="A256" s="110"/>
      <c r="B256" s="307"/>
      <c r="C256" s="307"/>
      <c r="D256" s="307"/>
    </row>
    <row r="257" spans="1:4" ht="15.75" hidden="1">
      <c r="A257" s="110"/>
      <c r="B257" s="307"/>
      <c r="C257" s="307"/>
      <c r="D257" s="307"/>
    </row>
    <row r="258" spans="1:4" ht="15.75" hidden="1">
      <c r="A258" s="110"/>
      <c r="B258" s="307"/>
      <c r="C258" s="307"/>
      <c r="D258" s="307"/>
    </row>
    <row r="259" spans="1:4" ht="15.75" hidden="1">
      <c r="A259" s="110"/>
      <c r="B259" s="307"/>
      <c r="C259" s="307"/>
      <c r="D259" s="307"/>
    </row>
    <row r="260" spans="1:4" ht="15.75" hidden="1">
      <c r="A260" s="302" t="s">
        <v>132</v>
      </c>
      <c r="B260" s="320">
        <f>SUM(B256:B259)</f>
        <v>0</v>
      </c>
      <c r="C260" s="320">
        <f>SUM(C256:C259)</f>
        <v>0</v>
      </c>
      <c r="D260" s="320">
        <f>SUM(D256:D259)</f>
        <v>0</v>
      </c>
    </row>
    <row r="261" spans="1:4" ht="15.75" hidden="1">
      <c r="A261" s="325"/>
      <c r="B261" s="127"/>
      <c r="C261" s="127"/>
      <c r="D261" s="127"/>
    </row>
    <row r="262" spans="1:4" ht="15.75" hidden="1">
      <c r="A262" s="110"/>
      <c r="B262" s="307"/>
      <c r="C262" s="307"/>
      <c r="D262" s="307"/>
    </row>
    <row r="263" spans="1:4" ht="15.75" hidden="1">
      <c r="A263" s="110"/>
      <c r="B263" s="307"/>
      <c r="C263" s="307"/>
      <c r="D263" s="307"/>
    </row>
    <row r="264" spans="1:4" ht="15.75" hidden="1">
      <c r="A264" s="110"/>
      <c r="B264" s="307"/>
      <c r="C264" s="307"/>
      <c r="D264" s="307"/>
    </row>
    <row r="265" spans="1:4" ht="15.75" hidden="1">
      <c r="A265" s="110"/>
      <c r="B265" s="307"/>
      <c r="C265" s="307"/>
      <c r="D265" s="307"/>
    </row>
    <row r="266" spans="1:4" ht="15.75" hidden="1">
      <c r="A266" s="302" t="s">
        <v>132</v>
      </c>
      <c r="B266" s="320">
        <f>SUM(B262:B265)</f>
        <v>0</v>
      </c>
      <c r="C266" s="320">
        <f>SUM(C262:C265)</f>
        <v>0</v>
      </c>
      <c r="D266" s="320">
        <f>SUM(D262:D265)</f>
        <v>0</v>
      </c>
    </row>
    <row r="267" spans="1:4" ht="15.75" hidden="1">
      <c r="A267" s="325"/>
      <c r="B267" s="127"/>
      <c r="C267" s="127"/>
      <c r="D267" s="127"/>
    </row>
    <row r="268" spans="1:4" ht="15.75" hidden="1">
      <c r="A268" s="110"/>
      <c r="B268" s="307"/>
      <c r="C268" s="307"/>
      <c r="D268" s="307"/>
    </row>
    <row r="269" spans="1:4" ht="15.75" hidden="1">
      <c r="A269" s="110"/>
      <c r="B269" s="307"/>
      <c r="C269" s="307"/>
      <c r="D269" s="307"/>
    </row>
    <row r="270" spans="1:4" ht="15.75" hidden="1">
      <c r="A270" s="110"/>
      <c r="B270" s="307"/>
      <c r="C270" s="307"/>
      <c r="D270" s="307"/>
    </row>
    <row r="271" spans="1:4" ht="15.75" hidden="1">
      <c r="A271" s="110"/>
      <c r="B271" s="307"/>
      <c r="C271" s="307"/>
      <c r="D271" s="307"/>
    </row>
    <row r="272" spans="1:4" ht="15.75" hidden="1">
      <c r="A272" s="302" t="s">
        <v>132</v>
      </c>
      <c r="B272" s="320">
        <f>SUM(B268:B271)</f>
        <v>0</v>
      </c>
      <c r="C272" s="320">
        <f>SUM(C268:C271)</f>
        <v>0</v>
      </c>
      <c r="D272" s="320">
        <f>SUM(D268:D271)</f>
        <v>0</v>
      </c>
    </row>
    <row r="273" spans="1:4" ht="15.75" hidden="1">
      <c r="A273" s="325"/>
      <c r="B273" s="127"/>
      <c r="C273" s="127"/>
      <c r="D273" s="127"/>
    </row>
    <row r="274" spans="1:4" ht="15.75" hidden="1">
      <c r="A274" s="110"/>
      <c r="B274" s="307"/>
      <c r="C274" s="307"/>
      <c r="D274" s="307"/>
    </row>
    <row r="275" spans="1:4" ht="15.75" hidden="1">
      <c r="A275" s="110"/>
      <c r="B275" s="307"/>
      <c r="C275" s="307"/>
      <c r="D275" s="307"/>
    </row>
    <row r="276" spans="1:4" ht="15.75" hidden="1">
      <c r="A276" s="110"/>
      <c r="B276" s="307"/>
      <c r="C276" s="307"/>
      <c r="D276" s="307"/>
    </row>
    <row r="277" spans="1:4" ht="15.75" hidden="1">
      <c r="A277" s="110"/>
      <c r="B277" s="307"/>
      <c r="C277" s="307"/>
      <c r="D277" s="307"/>
    </row>
    <row r="278" spans="1:4" ht="15.75" hidden="1">
      <c r="A278" s="302" t="s">
        <v>132</v>
      </c>
      <c r="B278" s="320">
        <f>SUM(B274:B277)</f>
        <v>0</v>
      </c>
      <c r="C278" s="320">
        <f>SUM(C274:C277)</f>
        <v>0</v>
      </c>
      <c r="D278" s="320">
        <f>SUM(D274:D277)</f>
        <v>0</v>
      </c>
    </row>
    <row r="279" spans="1:4" ht="15.75" hidden="1">
      <c r="A279" s="325"/>
      <c r="B279" s="127"/>
      <c r="C279" s="127"/>
      <c r="D279" s="127"/>
    </row>
    <row r="280" spans="1:4" ht="15.75" hidden="1">
      <c r="A280" s="110"/>
      <c r="B280" s="307"/>
      <c r="C280" s="307"/>
      <c r="D280" s="307"/>
    </row>
    <row r="281" spans="1:4" ht="15.75" hidden="1">
      <c r="A281" s="110"/>
      <c r="B281" s="307"/>
      <c r="C281" s="307"/>
      <c r="D281" s="307"/>
    </row>
    <row r="282" spans="1:4" ht="15.75" hidden="1">
      <c r="A282" s="302" t="s">
        <v>132</v>
      </c>
      <c r="B282" s="320">
        <f>SUM(B280:B281)</f>
        <v>0</v>
      </c>
      <c r="C282" s="320">
        <f>SUM(C280:C281)</f>
        <v>0</v>
      </c>
      <c r="D282" s="320">
        <f>SUM(D280:D281)</f>
        <v>0</v>
      </c>
    </row>
    <row r="283" spans="1:4" ht="15.75" hidden="1">
      <c r="A283" s="325"/>
      <c r="B283" s="127"/>
      <c r="C283" s="127"/>
      <c r="D283" s="127"/>
    </row>
    <row r="284" spans="1:4" ht="15.75" hidden="1">
      <c r="A284" s="110"/>
      <c r="B284" s="307"/>
      <c r="C284" s="307"/>
      <c r="D284" s="307"/>
    </row>
    <row r="285" spans="1:4" ht="15.75" hidden="1">
      <c r="A285" s="110"/>
      <c r="B285" s="307"/>
      <c r="C285" s="307"/>
      <c r="D285" s="307"/>
    </row>
    <row r="286" spans="1:4" ht="15.75" hidden="1">
      <c r="A286" s="110"/>
      <c r="B286" s="307"/>
      <c r="C286" s="307"/>
      <c r="D286" s="307"/>
    </row>
    <row r="287" spans="1:4" ht="15.75" hidden="1">
      <c r="A287" s="110"/>
      <c r="B287" s="307"/>
      <c r="C287" s="307"/>
      <c r="D287" s="307"/>
    </row>
    <row r="288" spans="1:4" ht="15.75" hidden="1">
      <c r="A288" s="302" t="s">
        <v>132</v>
      </c>
      <c r="B288" s="320">
        <f>SUM(B284:B287)</f>
        <v>0</v>
      </c>
      <c r="C288" s="320">
        <f>SUM(C284:C287)</f>
        <v>0</v>
      </c>
      <c r="D288" s="320">
        <f>SUM(D284:D287)</f>
        <v>0</v>
      </c>
    </row>
    <row r="289" spans="1:4" ht="15.75" hidden="1">
      <c r="A289" s="325"/>
      <c r="B289" s="127"/>
      <c r="C289" s="127"/>
      <c r="D289" s="127"/>
    </row>
    <row r="290" spans="1:4" ht="15.75" hidden="1">
      <c r="A290" s="110"/>
      <c r="B290" s="307"/>
      <c r="C290" s="307"/>
      <c r="D290" s="307"/>
    </row>
    <row r="291" spans="1:4" ht="15.75" hidden="1">
      <c r="A291" s="110"/>
      <c r="B291" s="307"/>
      <c r="C291" s="307"/>
      <c r="D291" s="307"/>
    </row>
    <row r="292" spans="1:4" ht="15.75" hidden="1">
      <c r="A292" s="110"/>
      <c r="B292" s="307"/>
      <c r="C292" s="307"/>
      <c r="D292" s="307"/>
    </row>
    <row r="293" spans="1:4" ht="15.75" hidden="1">
      <c r="A293" s="110"/>
      <c r="B293" s="307"/>
      <c r="C293" s="307"/>
      <c r="D293" s="307"/>
    </row>
    <row r="294" spans="1:4" ht="15.75" hidden="1">
      <c r="A294" s="302" t="s">
        <v>132</v>
      </c>
      <c r="B294" s="320">
        <f>SUM(B290:B293)</f>
        <v>0</v>
      </c>
      <c r="C294" s="320">
        <f>SUM(C290:C293)</f>
        <v>0</v>
      </c>
      <c r="D294" s="320">
        <f>SUM(D290:D293)</f>
        <v>0</v>
      </c>
    </row>
    <row r="295" spans="1:4" ht="15.75">
      <c r="A295" s="302"/>
      <c r="B295" s="127"/>
      <c r="C295" s="127"/>
      <c r="D295" s="127"/>
    </row>
    <row r="296" spans="1:4" ht="15.75">
      <c r="A296" s="302" t="s">
        <v>317</v>
      </c>
      <c r="B296" s="320">
        <f>B260+B266+B272+B278+B282+B288+B294</f>
        <v>0</v>
      </c>
      <c r="C296" s="320">
        <f>C260+C266+C272+C278+C282+C288+C294</f>
        <v>0</v>
      </c>
      <c r="D296" s="320">
        <f>D260+D266+D272+D278+D282+D288+D294</f>
        <v>0</v>
      </c>
    </row>
    <row r="297" spans="1:4" ht="15.75">
      <c r="A297" s="302"/>
      <c r="B297" s="127"/>
      <c r="C297" s="127"/>
      <c r="D297" s="127"/>
    </row>
    <row r="298" spans="1:4" ht="15.75">
      <c r="A298" s="302" t="s">
        <v>318</v>
      </c>
      <c r="B298" s="320">
        <f>B55</f>
        <v>866426</v>
      </c>
      <c r="C298" s="320">
        <f>C55</f>
        <v>1288779</v>
      </c>
      <c r="D298" s="320">
        <f>D55</f>
        <v>1341007</v>
      </c>
    </row>
    <row r="299" spans="1:4" ht="15.75">
      <c r="A299" s="85"/>
      <c r="B299" s="127"/>
      <c r="C299" s="127"/>
      <c r="D299" s="127"/>
    </row>
    <row r="300" spans="1:4" ht="15.75">
      <c r="A300" s="302" t="s">
        <v>319</v>
      </c>
      <c r="B300" s="320">
        <f>B121</f>
        <v>858444</v>
      </c>
      <c r="C300" s="320">
        <f>C121</f>
        <v>1478213</v>
      </c>
      <c r="D300" s="320">
        <f>D121</f>
        <v>1586874</v>
      </c>
    </row>
    <row r="301" spans="1:4" ht="15.75">
      <c r="A301" s="85"/>
      <c r="B301" s="127"/>
      <c r="C301" s="127"/>
      <c r="D301" s="127"/>
    </row>
    <row r="302" spans="1:4" ht="15.75">
      <c r="A302" s="302" t="s">
        <v>315</v>
      </c>
      <c r="B302" s="320">
        <f>B185</f>
        <v>2050087</v>
      </c>
      <c r="C302" s="320">
        <f>C185</f>
        <v>1775664</v>
      </c>
      <c r="D302" s="320">
        <f>D185</f>
        <v>1973827</v>
      </c>
    </row>
    <row r="303" spans="1:4" ht="15.75">
      <c r="A303" s="85"/>
      <c r="B303" s="127"/>
      <c r="C303" s="127"/>
      <c r="D303" s="127"/>
    </row>
    <row r="304" spans="1:4" ht="15.75">
      <c r="A304" s="302" t="s">
        <v>316</v>
      </c>
      <c r="B304" s="320">
        <f>B246</f>
        <v>0</v>
      </c>
      <c r="C304" s="320">
        <f>C246</f>
        <v>0</v>
      </c>
      <c r="D304" s="320">
        <f>D246</f>
        <v>0</v>
      </c>
    </row>
    <row r="305" spans="1:4" ht="15.75">
      <c r="A305" s="85"/>
      <c r="B305" s="127"/>
      <c r="C305" s="127"/>
      <c r="D305" s="127"/>
    </row>
    <row r="306" spans="1:4" ht="16.5" thickBot="1">
      <c r="A306" s="263" t="s">
        <v>31</v>
      </c>
      <c r="B306" s="330">
        <f>SUM(B296:B305)</f>
        <v>3774957</v>
      </c>
      <c r="C306" s="330">
        <f>SUM(C296:C305)</f>
        <v>4542656</v>
      </c>
      <c r="D306" s="330">
        <f>SUM(D296:D305)</f>
        <v>4901708</v>
      </c>
    </row>
    <row r="307" spans="1:4" ht="16.5" thickTop="1">
      <c r="A307" s="331" t="s">
        <v>32</v>
      </c>
      <c r="B307" s="332"/>
      <c r="C307" s="332"/>
      <c r="D307" s="332"/>
    </row>
    <row r="308" spans="1:4" ht="15.75">
      <c r="A308" s="788" t="s">
        <v>320</v>
      </c>
      <c r="B308" s="788"/>
      <c r="C308" s="788"/>
      <c r="D308" s="788"/>
    </row>
    <row r="309" spans="2:4" ht="15.75">
      <c r="B309" s="333"/>
      <c r="C309" s="333"/>
      <c r="D309" s="333"/>
    </row>
    <row r="310" spans="2:4" ht="15.75">
      <c r="B310" s="333"/>
      <c r="C310" s="333"/>
      <c r="D310" s="333"/>
    </row>
    <row r="311" spans="2:4" ht="15.75">
      <c r="B311" s="333"/>
      <c r="C311" s="333"/>
      <c r="D311" s="333"/>
    </row>
    <row r="312" spans="2:4" ht="15.75">
      <c r="B312" s="333"/>
      <c r="C312" s="333"/>
      <c r="D312" s="333"/>
    </row>
    <row r="313" spans="2:4" ht="15.75">
      <c r="B313" s="333"/>
      <c r="C313" s="333"/>
      <c r="D313" s="333"/>
    </row>
    <row r="314" spans="2:4" ht="15.75">
      <c r="B314" s="333"/>
      <c r="C314" s="333"/>
      <c r="D314" s="333"/>
    </row>
    <row r="315" spans="2:4" ht="15.75">
      <c r="B315" s="333"/>
      <c r="C315" s="333"/>
      <c r="D315" s="333"/>
    </row>
    <row r="316" spans="2:4" ht="15.75">
      <c r="B316" s="333"/>
      <c r="C316" s="333"/>
      <c r="D316" s="333"/>
    </row>
    <row r="317" spans="2:4" ht="15.75">
      <c r="B317" s="333"/>
      <c r="C317" s="333"/>
      <c r="D317" s="333"/>
    </row>
    <row r="318" spans="2:4" ht="15.75">
      <c r="B318" s="333"/>
      <c r="C318" s="333"/>
      <c r="D318" s="333"/>
    </row>
    <row r="319" spans="2:4" ht="15.75">
      <c r="B319" s="333"/>
      <c r="C319" s="333"/>
      <c r="D319" s="333"/>
    </row>
    <row r="320" spans="2:4" ht="15.75">
      <c r="B320" s="333"/>
      <c r="C320" s="333"/>
      <c r="D320" s="333"/>
    </row>
    <row r="321" spans="2:4" ht="15.75">
      <c r="B321" s="333"/>
      <c r="C321" s="333"/>
      <c r="D321" s="333"/>
    </row>
    <row r="322" spans="2:4" ht="15.75">
      <c r="B322" s="333"/>
      <c r="C322" s="333"/>
      <c r="D322" s="333"/>
    </row>
    <row r="323" spans="2:4" ht="15.75">
      <c r="B323" s="333"/>
      <c r="C323" s="333"/>
      <c r="D323" s="333"/>
    </row>
    <row r="324" spans="2:4" ht="15.75">
      <c r="B324" s="333"/>
      <c r="C324" s="333"/>
      <c r="D324" s="333"/>
    </row>
    <row r="325" spans="2:4" ht="15.75">
      <c r="B325" s="333"/>
      <c r="C325" s="333"/>
      <c r="D325" s="333"/>
    </row>
    <row r="326" spans="2:4" ht="15.75">
      <c r="B326" s="333"/>
      <c r="C326" s="333"/>
      <c r="D326" s="333"/>
    </row>
    <row r="327" spans="2:4" ht="15.75">
      <c r="B327" s="333"/>
      <c r="C327" s="333"/>
      <c r="D327" s="333"/>
    </row>
    <row r="328" spans="2:4" ht="15.75">
      <c r="B328" s="333"/>
      <c r="C328" s="333"/>
      <c r="D328" s="333"/>
    </row>
    <row r="329" spans="2:4" ht="15.75">
      <c r="B329" s="333"/>
      <c r="C329" s="333"/>
      <c r="D329" s="333"/>
    </row>
    <row r="330" spans="2:4" ht="15.75">
      <c r="B330" s="333"/>
      <c r="C330" s="333"/>
      <c r="D330" s="333"/>
    </row>
    <row r="331" spans="2:4" ht="15.75">
      <c r="B331" s="333"/>
      <c r="C331" s="333"/>
      <c r="D331" s="333"/>
    </row>
    <row r="332" spans="2:4" ht="15.75">
      <c r="B332" s="333"/>
      <c r="C332" s="333"/>
      <c r="D332" s="333"/>
    </row>
    <row r="333" spans="2:4" ht="15.75">
      <c r="B333" s="333"/>
      <c r="C333" s="333"/>
      <c r="D333" s="333"/>
    </row>
    <row r="334" spans="2:4" ht="15.75">
      <c r="B334" s="333"/>
      <c r="C334" s="333"/>
      <c r="D334" s="333"/>
    </row>
    <row r="335" spans="2:4" ht="15.75">
      <c r="B335" s="333"/>
      <c r="C335" s="333"/>
      <c r="D335" s="333"/>
    </row>
    <row r="336" spans="2:4" ht="15.75">
      <c r="B336" s="333"/>
      <c r="C336" s="333"/>
      <c r="D336" s="333"/>
    </row>
    <row r="337" spans="2:4" ht="15.75">
      <c r="B337" s="333"/>
      <c r="C337" s="333"/>
      <c r="D337" s="333"/>
    </row>
    <row r="338" spans="2:4" ht="15.75">
      <c r="B338" s="333"/>
      <c r="C338" s="333"/>
      <c r="D338" s="333"/>
    </row>
    <row r="339" spans="2:4" ht="15.75">
      <c r="B339" s="333"/>
      <c r="C339" s="333"/>
      <c r="D339" s="333"/>
    </row>
    <row r="340" spans="2:4" ht="15.75">
      <c r="B340" s="333"/>
      <c r="C340" s="333"/>
      <c r="D340" s="333"/>
    </row>
    <row r="341" spans="2:4" ht="15.75">
      <c r="B341" s="333"/>
      <c r="C341" s="333"/>
      <c r="D341" s="333"/>
    </row>
    <row r="342" spans="2:4" ht="15.75">
      <c r="B342" s="333"/>
      <c r="C342" s="333"/>
      <c r="D342" s="333"/>
    </row>
    <row r="343" spans="2:4" ht="15.75">
      <c r="B343" s="333"/>
      <c r="C343" s="333"/>
      <c r="D343" s="333"/>
    </row>
    <row r="344" spans="2:4" ht="15.75">
      <c r="B344" s="333"/>
      <c r="C344" s="333"/>
      <c r="D344" s="333"/>
    </row>
    <row r="345" spans="2:4" ht="15.75">
      <c r="B345" s="333"/>
      <c r="C345" s="333"/>
      <c r="D345" s="333"/>
    </row>
    <row r="346" spans="2:4" ht="15.75">
      <c r="B346" s="333"/>
      <c r="C346" s="333"/>
      <c r="D346" s="333"/>
    </row>
    <row r="347" spans="2:4" ht="15.75">
      <c r="B347" s="333"/>
      <c r="C347" s="333"/>
      <c r="D347" s="333"/>
    </row>
    <row r="348" spans="2:4" ht="15.75">
      <c r="B348" s="333"/>
      <c r="C348" s="333"/>
      <c r="D348" s="333"/>
    </row>
    <row r="349" spans="2:4" ht="15.75">
      <c r="B349" s="333"/>
      <c r="C349" s="333"/>
      <c r="D349" s="333"/>
    </row>
    <row r="350" spans="2:4" ht="15.75">
      <c r="B350" s="333"/>
      <c r="C350" s="333"/>
      <c r="D350" s="333"/>
    </row>
    <row r="351" spans="2:4" ht="15.75">
      <c r="B351" s="333"/>
      <c r="C351" s="333"/>
      <c r="D351" s="333"/>
    </row>
    <row r="352" spans="2:4" ht="15.75">
      <c r="B352" s="333"/>
      <c r="C352" s="333"/>
      <c r="D352" s="333"/>
    </row>
    <row r="353" spans="2:4" ht="15.75">
      <c r="B353" s="333"/>
      <c r="C353" s="333"/>
      <c r="D353" s="333"/>
    </row>
    <row r="354" spans="2:4" ht="15.75">
      <c r="B354" s="333"/>
      <c r="C354" s="333"/>
      <c r="D354" s="333"/>
    </row>
    <row r="355" spans="2:4" ht="15.75">
      <c r="B355" s="333"/>
      <c r="C355" s="333"/>
      <c r="D355" s="333"/>
    </row>
    <row r="356" spans="2:4" ht="15.75">
      <c r="B356" s="333"/>
      <c r="C356" s="333"/>
      <c r="D356" s="333"/>
    </row>
    <row r="357" spans="2:4" ht="15.75">
      <c r="B357" s="333"/>
      <c r="C357" s="333"/>
      <c r="D357" s="333"/>
    </row>
    <row r="358" spans="2:4" ht="15.75">
      <c r="B358" s="333"/>
      <c r="C358" s="333"/>
      <c r="D358" s="333"/>
    </row>
    <row r="359" spans="2:4" ht="15.75">
      <c r="B359" s="333"/>
      <c r="C359" s="333"/>
      <c r="D359" s="333"/>
    </row>
    <row r="360" spans="2:4" ht="15.75">
      <c r="B360" s="333"/>
      <c r="C360" s="333"/>
      <c r="D360" s="333"/>
    </row>
    <row r="361" spans="2:4" ht="15.75">
      <c r="B361" s="333"/>
      <c r="C361" s="333"/>
      <c r="D361" s="333"/>
    </row>
    <row r="362" spans="2:4" ht="15.75">
      <c r="B362" s="333"/>
      <c r="C362" s="333"/>
      <c r="D362" s="333"/>
    </row>
    <row r="363" spans="2:4" ht="15.75">
      <c r="B363" s="333"/>
      <c r="C363" s="333"/>
      <c r="D363" s="333"/>
    </row>
    <row r="364" spans="2:4" ht="15.75">
      <c r="B364" s="333"/>
      <c r="C364" s="333"/>
      <c r="D364" s="333"/>
    </row>
    <row r="365" spans="2:4" ht="15.75">
      <c r="B365" s="333"/>
      <c r="C365" s="333"/>
      <c r="D365" s="333"/>
    </row>
    <row r="366" spans="2:4" ht="15.75">
      <c r="B366" s="333"/>
      <c r="C366" s="333"/>
      <c r="D366" s="333"/>
    </row>
    <row r="367" spans="2:4" ht="15.75">
      <c r="B367" s="333"/>
      <c r="C367" s="333"/>
      <c r="D367" s="333"/>
    </row>
    <row r="368" spans="2:4" ht="15.75">
      <c r="B368" s="333"/>
      <c r="C368" s="333"/>
      <c r="D368" s="333"/>
    </row>
    <row r="369" spans="2:4" ht="15.75">
      <c r="B369" s="333"/>
      <c r="C369" s="333"/>
      <c r="D369" s="333"/>
    </row>
    <row r="370" spans="2:4" ht="15.75">
      <c r="B370" s="333"/>
      <c r="C370" s="333"/>
      <c r="D370" s="333"/>
    </row>
    <row r="371" spans="2:4" ht="15.75">
      <c r="B371" s="333"/>
      <c r="C371" s="333"/>
      <c r="D371" s="333"/>
    </row>
    <row r="372" spans="2:4" ht="15.75">
      <c r="B372" s="333"/>
      <c r="C372" s="333"/>
      <c r="D372" s="333"/>
    </row>
    <row r="373" spans="2:4" ht="15.75">
      <c r="B373" s="333"/>
      <c r="C373" s="333"/>
      <c r="D373" s="333"/>
    </row>
    <row r="374" spans="2:4" ht="15.75">
      <c r="B374" s="333"/>
      <c r="C374" s="333"/>
      <c r="D374" s="333"/>
    </row>
    <row r="375" spans="2:4" ht="15.75">
      <c r="B375" s="333"/>
      <c r="C375" s="333"/>
      <c r="D375" s="333"/>
    </row>
    <row r="376" spans="2:4" ht="15.75">
      <c r="B376" s="333"/>
      <c r="C376" s="333"/>
      <c r="D376" s="333"/>
    </row>
    <row r="377" spans="2:4" ht="15.75">
      <c r="B377" s="333"/>
      <c r="C377" s="333"/>
      <c r="D377" s="333"/>
    </row>
    <row r="378" spans="2:4" ht="15.75">
      <c r="B378" s="333"/>
      <c r="C378" s="333"/>
      <c r="D378" s="333"/>
    </row>
    <row r="379" spans="2:4" ht="15.75">
      <c r="B379" s="333"/>
      <c r="C379" s="333"/>
      <c r="D379" s="333"/>
    </row>
    <row r="380" spans="2:4" ht="15.75">
      <c r="B380" s="333"/>
      <c r="C380" s="333"/>
      <c r="D380" s="333"/>
    </row>
    <row r="381" spans="2:4" ht="15.75">
      <c r="B381" s="333"/>
      <c r="C381" s="333"/>
      <c r="D381" s="333"/>
    </row>
    <row r="382" spans="2:4" ht="15.75">
      <c r="B382" s="333"/>
      <c r="C382" s="333"/>
      <c r="D382" s="333"/>
    </row>
    <row r="383" spans="2:4" ht="15.75">
      <c r="B383" s="333"/>
      <c r="C383" s="333"/>
      <c r="D383" s="333"/>
    </row>
    <row r="384" spans="2:4" ht="15.75">
      <c r="B384" s="333"/>
      <c r="C384" s="333"/>
      <c r="D384" s="333"/>
    </row>
    <row r="385" spans="2:4" ht="15.75">
      <c r="B385" s="333"/>
      <c r="C385" s="333"/>
      <c r="D385" s="333"/>
    </row>
    <row r="386" spans="2:4" ht="15.75">
      <c r="B386" s="333"/>
      <c r="C386" s="333"/>
      <c r="D386" s="333"/>
    </row>
    <row r="387" spans="2:4" ht="15.75">
      <c r="B387" s="333"/>
      <c r="C387" s="333"/>
      <c r="D387" s="333"/>
    </row>
    <row r="388" spans="2:4" ht="15.75">
      <c r="B388" s="333"/>
      <c r="C388" s="333"/>
      <c r="D388" s="333"/>
    </row>
    <row r="389" spans="2:4" ht="15.75">
      <c r="B389" s="333"/>
      <c r="C389" s="333"/>
      <c r="D389" s="333"/>
    </row>
    <row r="390" spans="2:4" ht="15.75">
      <c r="B390" s="333"/>
      <c r="C390" s="333"/>
      <c r="D390" s="333"/>
    </row>
    <row r="391" spans="2:4" ht="15.75">
      <c r="B391" s="333"/>
      <c r="C391" s="333"/>
      <c r="D391" s="333"/>
    </row>
    <row r="392" spans="2:4" ht="15.75">
      <c r="B392" s="333"/>
      <c r="C392" s="333"/>
      <c r="D392" s="333"/>
    </row>
    <row r="393" spans="2:4" ht="15.75">
      <c r="B393" s="333"/>
      <c r="C393" s="333"/>
      <c r="D393" s="333"/>
    </row>
    <row r="394" spans="2:4" ht="15.75">
      <c r="B394" s="333"/>
      <c r="C394" s="333"/>
      <c r="D394" s="333"/>
    </row>
    <row r="395" spans="2:4" ht="15.75">
      <c r="B395" s="333"/>
      <c r="C395" s="333"/>
      <c r="D395" s="333"/>
    </row>
    <row r="396" spans="2:4" ht="15.75">
      <c r="B396" s="333"/>
      <c r="C396" s="333"/>
      <c r="D396" s="333"/>
    </row>
    <row r="397" spans="2:4" ht="15.75">
      <c r="B397" s="333"/>
      <c r="C397" s="333"/>
      <c r="D397" s="333"/>
    </row>
    <row r="398" spans="2:4" ht="15.75">
      <c r="B398" s="333"/>
      <c r="C398" s="333"/>
      <c r="D398" s="333"/>
    </row>
    <row r="399" spans="2:4" ht="15.75">
      <c r="B399" s="333"/>
      <c r="C399" s="333"/>
      <c r="D399" s="333"/>
    </row>
    <row r="400" spans="2:4" ht="15.75">
      <c r="B400" s="333"/>
      <c r="C400" s="333"/>
      <c r="D400" s="333"/>
    </row>
    <row r="401" spans="2:4" ht="15.75">
      <c r="B401" s="333"/>
      <c r="C401" s="333"/>
      <c r="D401" s="333"/>
    </row>
    <row r="402" spans="2:4" ht="15.75">
      <c r="B402" s="333"/>
      <c r="C402" s="333"/>
      <c r="D402" s="333"/>
    </row>
    <row r="403" spans="2:4" ht="15.75">
      <c r="B403" s="333"/>
      <c r="C403" s="333"/>
      <c r="D403" s="333"/>
    </row>
    <row r="404" spans="2:4" ht="15.75">
      <c r="B404" s="333"/>
      <c r="C404" s="333"/>
      <c r="D404" s="333"/>
    </row>
    <row r="405" spans="2:4" ht="15.75">
      <c r="B405" s="333"/>
      <c r="C405" s="333"/>
      <c r="D405" s="333"/>
    </row>
    <row r="406" spans="2:4" ht="15.75">
      <c r="B406" s="333"/>
      <c r="C406" s="333"/>
      <c r="D406" s="333"/>
    </row>
    <row r="407" spans="2:4" ht="15.75">
      <c r="B407" s="333"/>
      <c r="C407" s="333"/>
      <c r="D407" s="333"/>
    </row>
    <row r="408" spans="2:4" ht="15.75">
      <c r="B408" s="333"/>
      <c r="C408" s="333"/>
      <c r="D408" s="333"/>
    </row>
    <row r="409" spans="2:4" ht="15.75">
      <c r="B409" s="333"/>
      <c r="C409" s="333"/>
      <c r="D409" s="333"/>
    </row>
    <row r="410" spans="2:4" ht="15.75">
      <c r="B410" s="333"/>
      <c r="C410" s="333"/>
      <c r="D410" s="333"/>
    </row>
    <row r="411" spans="2:4" ht="15.75">
      <c r="B411" s="333"/>
      <c r="C411" s="333"/>
      <c r="D411" s="333"/>
    </row>
  </sheetData>
  <sheetProtection/>
  <mergeCells count="5">
    <mergeCell ref="A308:D308"/>
    <mergeCell ref="A57:D57"/>
    <mergeCell ref="A123:D123"/>
    <mergeCell ref="A187:D187"/>
    <mergeCell ref="A248:D248"/>
  </mergeCells>
  <printOptions/>
  <pageMargins left="1.12" right="0.5" top="0.74" bottom="0.34" header="0.5" footer="0"/>
  <pageSetup blackAndWhite="1" horizontalDpi="120" verticalDpi="120" orientation="portrait" scale="71" r:id="rId1"/>
  <headerFooter alignWithMargins="0">
    <oddHeader>&amp;RState of Kansas
County
</oddHeader>
  </headerFooter>
  <rowBreaks count="4" manualBreakCount="4">
    <brk id="57" max="255" man="1"/>
    <brk id="123" max="3" man="1"/>
    <brk id="187" max="255" man="1"/>
    <brk id="248"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K71"/>
  <sheetViews>
    <sheetView zoomScalePageLayoutView="0" workbookViewId="0" topLeftCell="A22">
      <selection activeCell="B1" sqref="B1"/>
    </sheetView>
  </sheetViews>
  <sheetFormatPr defaultColWidth="8.796875" defaultRowHeight="15"/>
  <cols>
    <col min="1" max="1" width="2.3984375" style="143" customWidth="1"/>
    <col min="2" max="2" width="31.09765625" style="143" customWidth="1"/>
    <col min="3" max="4" width="16.19921875" style="143" customWidth="1"/>
    <col min="5" max="5" width="16.296875" style="143" customWidth="1"/>
    <col min="6" max="6" width="7.3984375" style="143" customWidth="1"/>
    <col min="7" max="7" width="10.19921875" style="143" customWidth="1"/>
    <col min="8" max="8" width="8.8984375" style="143" customWidth="1"/>
    <col min="9" max="9" width="5" style="143" customWidth="1"/>
    <col min="10" max="10" width="10" style="143" customWidth="1"/>
    <col min="11" max="16384" width="8.8984375" style="143" customWidth="1"/>
  </cols>
  <sheetData>
    <row r="1" spans="2:5" ht="15.75">
      <c r="B1" s="228" t="str">
        <f>inputPrYr!C2</f>
        <v>Rice County</v>
      </c>
      <c r="C1" s="85"/>
      <c r="D1" s="85"/>
      <c r="E1" s="255">
        <f>inputPrYr!$C$4</f>
        <v>2013</v>
      </c>
    </row>
    <row r="2" spans="2:5" ht="15.75">
      <c r="B2" s="85"/>
      <c r="C2" s="85"/>
      <c r="D2" s="85"/>
      <c r="E2" s="240"/>
    </row>
    <row r="3" spans="2:5" ht="15.75">
      <c r="B3" s="152" t="s">
        <v>242</v>
      </c>
      <c r="C3" s="334"/>
      <c r="D3" s="334"/>
      <c r="E3" s="335"/>
    </row>
    <row r="4" spans="2:5" ht="15.75">
      <c r="B4" s="85"/>
      <c r="C4" s="328"/>
      <c r="D4" s="328"/>
      <c r="E4" s="328"/>
    </row>
    <row r="5" spans="2:5" ht="15.75">
      <c r="B5" s="84" t="s">
        <v>160</v>
      </c>
      <c r="C5" s="703" t="s">
        <v>844</v>
      </c>
      <c r="D5" s="704" t="s">
        <v>845</v>
      </c>
      <c r="E5" s="215" t="s">
        <v>846</v>
      </c>
    </row>
    <row r="6" spans="2:5" ht="15.75">
      <c r="B6" s="484" t="str">
        <f>inputPrYr!B17</f>
        <v>Debt Service</v>
      </c>
      <c r="C6" s="455" t="str">
        <f>CONCATENATE("Actual for ",E1-2,"")</f>
        <v>Actual for 2011</v>
      </c>
      <c r="D6" s="455" t="str">
        <f>CONCATENATE("Estimate for ",E1-1,"")</f>
        <v>Estimate for 2012</v>
      </c>
      <c r="E6" s="303" t="str">
        <f>CONCATENATE("Year for ",E1,"")</f>
        <v>Year for 2013</v>
      </c>
    </row>
    <row r="7" spans="2:5" ht="15.75">
      <c r="B7" s="148" t="s">
        <v>284</v>
      </c>
      <c r="C7" s="459">
        <v>81542</v>
      </c>
      <c r="D7" s="461">
        <f>C51</f>
        <v>82663</v>
      </c>
      <c r="E7" s="336">
        <f>D51</f>
        <v>1120</v>
      </c>
    </row>
    <row r="8" spans="2:5" ht="15.75">
      <c r="B8" s="337" t="s">
        <v>286</v>
      </c>
      <c r="C8" s="460"/>
      <c r="D8" s="461"/>
      <c r="E8" s="336"/>
    </row>
    <row r="9" spans="2:5" ht="15.75">
      <c r="B9" s="148" t="s">
        <v>161</v>
      </c>
      <c r="C9" s="452">
        <v>0</v>
      </c>
      <c r="D9" s="458">
        <f>IF(inputPrYr!H17&gt;0,inputPrYr!H17,inputPrYr!E17)</f>
        <v>0</v>
      </c>
      <c r="E9" s="338" t="s">
        <v>148</v>
      </c>
    </row>
    <row r="10" spans="2:5" ht="15.75">
      <c r="B10" s="148" t="s">
        <v>162</v>
      </c>
      <c r="C10" s="452">
        <v>1121</v>
      </c>
      <c r="D10" s="452">
        <v>0</v>
      </c>
      <c r="E10" s="339"/>
    </row>
    <row r="11" spans="2:5" ht="15.75">
      <c r="B11" s="148" t="s">
        <v>163</v>
      </c>
      <c r="C11" s="452">
        <v>0</v>
      </c>
      <c r="D11" s="452">
        <v>0</v>
      </c>
      <c r="E11" s="340" t="str">
        <f>mvalloc!E8</f>
        <v> </v>
      </c>
    </row>
    <row r="12" spans="2:5" ht="15.75">
      <c r="B12" s="148" t="s">
        <v>164</v>
      </c>
      <c r="C12" s="452">
        <v>0</v>
      </c>
      <c r="D12" s="452">
        <v>0</v>
      </c>
      <c r="E12" s="340" t="str">
        <f>mvalloc!F8</f>
        <v> </v>
      </c>
    </row>
    <row r="13" spans="2:5" ht="15.75">
      <c r="B13" s="341" t="s">
        <v>266</v>
      </c>
      <c r="C13" s="452">
        <v>0</v>
      </c>
      <c r="D13" s="452">
        <v>0</v>
      </c>
      <c r="E13" s="340" t="str">
        <f>mvalloc!G8</f>
        <v> </v>
      </c>
    </row>
    <row r="14" spans="2:5" ht="15.75">
      <c r="B14" s="342"/>
      <c r="C14" s="452"/>
      <c r="D14" s="452"/>
      <c r="E14" s="343"/>
    </row>
    <row r="15" spans="2:5" ht="15.75">
      <c r="B15" s="342"/>
      <c r="C15" s="452"/>
      <c r="D15" s="452"/>
      <c r="E15" s="339"/>
    </row>
    <row r="16" spans="2:5" ht="15.75">
      <c r="B16" s="342"/>
      <c r="C16" s="452"/>
      <c r="D16" s="452"/>
      <c r="E16" s="339"/>
    </row>
    <row r="17" spans="2:5" ht="15.75">
      <c r="B17" s="342"/>
      <c r="C17" s="452"/>
      <c r="D17" s="452"/>
      <c r="E17" s="339"/>
    </row>
    <row r="18" spans="2:5" ht="15.75">
      <c r="B18" s="342"/>
      <c r="C18" s="452"/>
      <c r="D18" s="452"/>
      <c r="E18" s="339"/>
    </row>
    <row r="19" spans="2:5" ht="15.75">
      <c r="B19" s="342"/>
      <c r="C19" s="452"/>
      <c r="D19" s="452"/>
      <c r="E19" s="339"/>
    </row>
    <row r="20" spans="2:5" ht="15.75">
      <c r="B20" s="342"/>
      <c r="C20" s="452"/>
      <c r="D20" s="452"/>
      <c r="E20" s="339"/>
    </row>
    <row r="21" spans="2:5" ht="15.75">
      <c r="B21" s="342"/>
      <c r="C21" s="452"/>
      <c r="D21" s="452"/>
      <c r="E21" s="339"/>
    </row>
    <row r="22" spans="2:5" ht="15.75">
      <c r="B22" s="342" t="s">
        <v>335</v>
      </c>
      <c r="C22" s="452"/>
      <c r="D22" s="452"/>
      <c r="E22" s="339"/>
    </row>
    <row r="23" spans="2:5" ht="15.75">
      <c r="B23" s="344" t="s">
        <v>165</v>
      </c>
      <c r="C23" s="452"/>
      <c r="D23" s="452"/>
      <c r="E23" s="339"/>
    </row>
    <row r="24" spans="2:5" ht="15.75">
      <c r="B24" s="310" t="s">
        <v>75</v>
      </c>
      <c r="C24" s="452"/>
      <c r="D24" s="452"/>
      <c r="E24" s="339"/>
    </row>
    <row r="25" spans="2:5" ht="15.75">
      <c r="B25" s="310" t="s">
        <v>76</v>
      </c>
      <c r="C25" s="453">
        <f>IF(C26*0.1&lt;C24,"Exceed 10% Rule","")</f>
      </c>
      <c r="D25" s="453">
        <f>IF(D26*0.1&lt;D24,"Exceed 10% Rule","")</f>
      </c>
      <c r="E25" s="345">
        <f>IF(E26*0.1+E57&lt;E24,"Exceed 10% Rule","")</f>
      </c>
    </row>
    <row r="26" spans="2:5" ht="15.75">
      <c r="B26" s="312" t="s">
        <v>166</v>
      </c>
      <c r="C26" s="462">
        <f>SUM(C9:C24)</f>
        <v>1121</v>
      </c>
      <c r="D26" s="463">
        <f>SUM(D9:D24)</f>
        <v>0</v>
      </c>
      <c r="E26" s="346">
        <f>SUM(E9:E24)</f>
        <v>0</v>
      </c>
    </row>
    <row r="27" spans="2:5" ht="15.75">
      <c r="B27" s="312" t="s">
        <v>167</v>
      </c>
      <c r="C27" s="463">
        <f>C7+C26</f>
        <v>82663</v>
      </c>
      <c r="D27" s="463">
        <f>D7+D26</f>
        <v>82663</v>
      </c>
      <c r="E27" s="347">
        <f>E7+E26</f>
        <v>1120</v>
      </c>
    </row>
    <row r="28" spans="2:5" ht="15.75">
      <c r="B28" s="337" t="s">
        <v>170</v>
      </c>
      <c r="C28" s="460"/>
      <c r="D28" s="460"/>
      <c r="E28" s="340"/>
    </row>
    <row r="29" spans="2:5" ht="15.75">
      <c r="B29" s="319" t="s">
        <v>226</v>
      </c>
      <c r="C29" s="452">
        <v>0</v>
      </c>
      <c r="D29" s="452">
        <v>0</v>
      </c>
      <c r="E29" s="339"/>
    </row>
    <row r="30" spans="2:5" ht="15.75">
      <c r="B30" s="319" t="s">
        <v>1114</v>
      </c>
      <c r="C30" s="452"/>
      <c r="D30" s="452">
        <v>81543</v>
      </c>
      <c r="E30" s="339">
        <v>1120</v>
      </c>
    </row>
    <row r="31" spans="2:5" ht="15.75">
      <c r="B31" s="319"/>
      <c r="C31" s="452"/>
      <c r="D31" s="452"/>
      <c r="E31" s="339"/>
    </row>
    <row r="32" spans="2:5" ht="15.75">
      <c r="B32" s="319"/>
      <c r="C32" s="452"/>
      <c r="D32" s="452"/>
      <c r="E32" s="339"/>
    </row>
    <row r="33" spans="2:5" ht="15.75">
      <c r="B33" s="319"/>
      <c r="C33" s="452"/>
      <c r="D33" s="452"/>
      <c r="E33" s="339"/>
    </row>
    <row r="34" spans="2:5" ht="15.75">
      <c r="B34" s="319"/>
      <c r="C34" s="452"/>
      <c r="D34" s="452"/>
      <c r="E34" s="339"/>
    </row>
    <row r="35" spans="2:5" ht="15.75">
      <c r="B35" s="319"/>
      <c r="C35" s="452"/>
      <c r="D35" s="452"/>
      <c r="E35" s="339"/>
    </row>
    <row r="36" spans="2:5" ht="15.75">
      <c r="B36" s="319"/>
      <c r="C36" s="452"/>
      <c r="D36" s="452"/>
      <c r="E36" s="339"/>
    </row>
    <row r="37" spans="2:5" ht="15.75">
      <c r="B37" s="319"/>
      <c r="C37" s="452"/>
      <c r="D37" s="452"/>
      <c r="E37" s="339"/>
    </row>
    <row r="38" spans="2:5" ht="15.75">
      <c r="B38" s="319"/>
      <c r="C38" s="452"/>
      <c r="D38" s="452"/>
      <c r="E38" s="339"/>
    </row>
    <row r="39" spans="2:5" ht="15.75">
      <c r="B39" s="319"/>
      <c r="C39" s="452"/>
      <c r="D39" s="452"/>
      <c r="E39" s="339"/>
    </row>
    <row r="40" spans="2:5" ht="15.75">
      <c r="B40" s="319"/>
      <c r="C40" s="452"/>
      <c r="D40" s="452"/>
      <c r="E40" s="339"/>
    </row>
    <row r="41" spans="2:5" ht="15.75">
      <c r="B41" s="319"/>
      <c r="C41" s="452"/>
      <c r="D41" s="452"/>
      <c r="E41" s="339"/>
    </row>
    <row r="42" spans="2:10" ht="15.75">
      <c r="B42" s="319"/>
      <c r="C42" s="452"/>
      <c r="D42" s="452"/>
      <c r="E42" s="339"/>
      <c r="G42" s="782" t="str">
        <f>CONCATENATE("Desired Carryover Into ",E1+1,"")</f>
        <v>Desired Carryover Into 2014</v>
      </c>
      <c r="H42" s="783"/>
      <c r="I42" s="783"/>
      <c r="J42" s="784"/>
    </row>
    <row r="43" spans="2:10" ht="15.75">
      <c r="B43" s="319"/>
      <c r="C43" s="452"/>
      <c r="D43" s="452"/>
      <c r="E43" s="339"/>
      <c r="G43" s="650"/>
      <c r="H43" s="651"/>
      <c r="I43" s="652"/>
      <c r="J43" s="653"/>
    </row>
    <row r="44" spans="2:10" ht="15.75">
      <c r="B44" s="319"/>
      <c r="C44" s="452"/>
      <c r="D44" s="452"/>
      <c r="E44" s="339"/>
      <c r="G44" s="654" t="s">
        <v>690</v>
      </c>
      <c r="H44" s="652"/>
      <c r="I44" s="652"/>
      <c r="J44" s="655">
        <v>0</v>
      </c>
    </row>
    <row r="45" spans="2:10" ht="15.75">
      <c r="B45" s="319"/>
      <c r="C45" s="452"/>
      <c r="D45" s="452"/>
      <c r="E45" s="339"/>
      <c r="G45" s="650" t="s">
        <v>691</v>
      </c>
      <c r="H45" s="651"/>
      <c r="I45" s="651"/>
      <c r="J45" s="656">
        <f>IF(J44=0,"",ROUND((J44+E57-G57)/inputOth!E6*1000,3)-G62)</f>
      </c>
    </row>
    <row r="46" spans="2:10" ht="15.75">
      <c r="B46" s="319"/>
      <c r="C46" s="452"/>
      <c r="D46" s="452"/>
      <c r="E46" s="339"/>
      <c r="G46" s="657" t="str">
        <f>CONCATENATE("",E1," Tot Exp/Non-Appr Must Be:")</f>
        <v>2013 Tot Exp/Non-Appr Must Be:</v>
      </c>
      <c r="H46" s="658"/>
      <c r="I46" s="659"/>
      <c r="J46" s="660">
        <f>IF(J44&gt;0,IF(E54&lt;E27,IF(J44=G57,E54,((J44-G57)*(1-D56))+E27),E54+(J44-G57)),0)</f>
        <v>0</v>
      </c>
    </row>
    <row r="47" spans="2:10" ht="15.75">
      <c r="B47" s="310" t="s">
        <v>77</v>
      </c>
      <c r="C47" s="452"/>
      <c r="D47" s="452"/>
      <c r="E47" s="320">
        <f>Nhood!E7</f>
      </c>
      <c r="G47" s="661" t="s">
        <v>842</v>
      </c>
      <c r="H47" s="662"/>
      <c r="I47" s="662"/>
      <c r="J47" s="663">
        <f>IF(J44&gt;0,J46-E54,0)</f>
        <v>0</v>
      </c>
    </row>
    <row r="48" spans="2:5" ht="15.75">
      <c r="B48" s="310" t="s">
        <v>75</v>
      </c>
      <c r="C48" s="452"/>
      <c r="D48" s="452"/>
      <c r="E48" s="339"/>
    </row>
    <row r="49" spans="2:10" ht="15.75">
      <c r="B49" s="310" t="s">
        <v>78</v>
      </c>
      <c r="C49" s="453">
        <f>IF(C50*0.1&lt;C48,"Exceed 10% Rule","")</f>
      </c>
      <c r="D49" s="453">
        <f>IF(D50*0.1&lt;D48,"Exceed 10% Rule","")</f>
      </c>
      <c r="E49" s="345">
        <f>IF(E50*0.1&lt;E48,"Exceed 10% Rule","")</f>
      </c>
      <c r="G49" s="776" t="str">
        <f>CONCATENATE("Projected Carryover Into ",E1+1,"")</f>
        <v>Projected Carryover Into 2014</v>
      </c>
      <c r="H49" s="783"/>
      <c r="I49" s="783"/>
      <c r="J49" s="784"/>
    </row>
    <row r="50" spans="2:10" ht="15.75">
      <c r="B50" s="312" t="s">
        <v>171</v>
      </c>
      <c r="C50" s="462">
        <f>SUM(C29:C48)</f>
        <v>0</v>
      </c>
      <c r="D50" s="463">
        <f>SUM(D29:D48)</f>
        <v>81543</v>
      </c>
      <c r="E50" s="346">
        <f>SUM(E29:E48)</f>
        <v>1120</v>
      </c>
      <c r="G50" s="472"/>
      <c r="H50" s="499"/>
      <c r="I50" s="499"/>
      <c r="J50" s="664"/>
    </row>
    <row r="51" spans="2:10" ht="15.75">
      <c r="B51" s="148" t="s">
        <v>285</v>
      </c>
      <c r="C51" s="464">
        <f>C27-C50</f>
        <v>82663</v>
      </c>
      <c r="D51" s="464">
        <f>D27-D50</f>
        <v>1120</v>
      </c>
      <c r="E51" s="338" t="s">
        <v>148</v>
      </c>
      <c r="G51" s="503">
        <f>D51</f>
        <v>1120</v>
      </c>
      <c r="H51" s="501" t="str">
        <f>CONCATENATE("",E1-1," Ending Cash Balance (est.)")</f>
        <v>2012 Ending Cash Balance (est.)</v>
      </c>
      <c r="I51" s="500"/>
      <c r="J51" s="665"/>
    </row>
    <row r="52" spans="2:10" ht="15.75">
      <c r="B52" s="288" t="str">
        <f>CONCATENATE("",E$1-2,"/",E$1-1," Budget Authority Amount:")</f>
        <v>2011/2012 Budget Authority Amount:</v>
      </c>
      <c r="C52" s="280">
        <f>inputOth!B31</f>
        <v>75855</v>
      </c>
      <c r="D52" s="280">
        <f>inputPrYr!D17</f>
        <v>81543</v>
      </c>
      <c r="E52" s="338" t="s">
        <v>148</v>
      </c>
      <c r="F52" s="348"/>
      <c r="G52" s="503">
        <f>E26</f>
        <v>0</v>
      </c>
      <c r="H52" s="499" t="str">
        <f>CONCATENATE("",E1," Non-AV Receipts (est.)")</f>
        <v>2013 Non-AV Receipts (est.)</v>
      </c>
      <c r="I52" s="499"/>
      <c r="J52" s="664"/>
    </row>
    <row r="53" spans="2:11" ht="15.75">
      <c r="B53" s="288"/>
      <c r="C53" s="772" t="s">
        <v>687</v>
      </c>
      <c r="D53" s="773"/>
      <c r="E53" s="112"/>
      <c r="F53" s="470">
        <f>IF(E50/0.95-E50&lt;E53,"Exceeds 5%","")</f>
      </c>
      <c r="G53" s="498">
        <f>IF(E56&gt;0,E55,E57)</f>
        <v>0</v>
      </c>
      <c r="H53" s="499" t="str">
        <f>CONCATENATE("",E1," Ad Valorem Tax (est.)")</f>
        <v>2013 Ad Valorem Tax (est.)</v>
      </c>
      <c r="I53" s="499"/>
      <c r="J53" s="664"/>
      <c r="K53" s="666">
        <f>IF(G53=E57,"","Note: Does not include Delinquent Taxes")</f>
      </c>
    </row>
    <row r="54" spans="2:10" ht="15.75">
      <c r="B54" s="506" t="str">
        <f>CONCATENATE(C70,"     ",D70)</f>
        <v>     </v>
      </c>
      <c r="C54" s="774" t="s">
        <v>688</v>
      </c>
      <c r="D54" s="775"/>
      <c r="E54" s="266">
        <f>E50+E53</f>
        <v>1120</v>
      </c>
      <c r="G54" s="503">
        <f>SUM(G51:G53)</f>
        <v>1120</v>
      </c>
      <c r="H54" s="499" t="str">
        <f>CONCATENATE("Total ",E1," Resources Available")</f>
        <v>Total 2013 Resources Available</v>
      </c>
      <c r="I54" s="500"/>
      <c r="J54" s="665"/>
    </row>
    <row r="55" spans="2:10" ht="15.75">
      <c r="B55" s="506" t="str">
        <f>CONCATENATE(C71,"     ",D71)</f>
        <v>     </v>
      </c>
      <c r="C55" s="322"/>
      <c r="D55" s="240" t="s">
        <v>172</v>
      </c>
      <c r="E55" s="120">
        <f>IF(E54-E27&gt;0,E54-E27,0)</f>
        <v>0</v>
      </c>
      <c r="G55" s="497"/>
      <c r="H55" s="499"/>
      <c r="I55" s="499"/>
      <c r="J55" s="664"/>
    </row>
    <row r="56" spans="2:10" ht="15.75">
      <c r="B56" s="240"/>
      <c r="C56" s="504" t="s">
        <v>689</v>
      </c>
      <c r="D56" s="649">
        <f>inputOth!$E$23</f>
        <v>0.03</v>
      </c>
      <c r="E56" s="266">
        <f>ROUND(IF(D56&gt;0,(E55*D56),0),0)</f>
        <v>0</v>
      </c>
      <c r="G56" s="498">
        <f>C50</f>
        <v>0</v>
      </c>
      <c r="H56" s="499" t="str">
        <f>CONCATENATE("Less ",E1-2," Expenditures")</f>
        <v>Less 2011 Expenditures</v>
      </c>
      <c r="I56" s="499"/>
      <c r="J56" s="664"/>
    </row>
    <row r="57" spans="2:10" ht="15.75">
      <c r="B57" s="85"/>
      <c r="C57" s="780" t="str">
        <f>CONCATENATE("Amount of  ",$E$1-1," Ad Valorem Tax")</f>
        <v>Amount of  2012 Ad Valorem Tax</v>
      </c>
      <c r="D57" s="781"/>
      <c r="E57" s="349">
        <f>E55+E56</f>
        <v>0</v>
      </c>
      <c r="G57" s="699">
        <f>G54-G56</f>
        <v>1120</v>
      </c>
      <c r="H57" s="471" t="str">
        <f>CONCATENATE("Projected ",E1+1," carryover (est.)")</f>
        <v>Projected 2014 carryover (est.)</v>
      </c>
      <c r="I57" s="474"/>
      <c r="J57" s="667"/>
    </row>
    <row r="58" spans="2:5" ht="15.75">
      <c r="B58" s="240"/>
      <c r="C58" s="85"/>
      <c r="D58" s="85"/>
      <c r="E58" s="85"/>
    </row>
    <row r="59" spans="2:10" ht="15.75">
      <c r="B59" s="288" t="s">
        <v>194</v>
      </c>
      <c r="C59" s="350">
        <v>8</v>
      </c>
      <c r="D59" s="85"/>
      <c r="E59" s="85"/>
      <c r="G59" s="785" t="s">
        <v>843</v>
      </c>
      <c r="H59" s="786"/>
      <c r="I59" s="786"/>
      <c r="J59" s="787"/>
    </row>
    <row r="60" spans="7:10" ht="15.75">
      <c r="G60" s="668"/>
      <c r="H60" s="669"/>
      <c r="I60" s="670"/>
      <c r="J60" s="671"/>
    </row>
    <row r="61" spans="7:10" ht="15.75">
      <c r="G61" s="672" t="str">
        <f>summ!H17</f>
        <v>  </v>
      </c>
      <c r="H61" s="669" t="str">
        <f>CONCATENATE("",E1," Fund Mill Rate")</f>
        <v>2013 Fund Mill Rate</v>
      </c>
      <c r="I61" s="670"/>
      <c r="J61" s="671"/>
    </row>
    <row r="62" spans="7:10" ht="15.75">
      <c r="G62" s="673" t="str">
        <f>summ!E17</f>
        <v>  </v>
      </c>
      <c r="H62" s="669" t="str">
        <f>CONCATENATE("",E1-1," Fund Mill Rate")</f>
        <v>2012 Fund Mill Rate</v>
      </c>
      <c r="I62" s="670"/>
      <c r="J62" s="671"/>
    </row>
    <row r="63" spans="7:10" ht="15.75">
      <c r="G63" s="674">
        <f>summ!H61</f>
        <v>42.760999999999996</v>
      </c>
      <c r="H63" s="669" t="str">
        <f>CONCATENATE("Total ",E1," Mill Rate")</f>
        <v>Total 2013 Mill Rate</v>
      </c>
      <c r="I63" s="670"/>
      <c r="J63" s="671"/>
    </row>
    <row r="64" spans="7:10" ht="15.75">
      <c r="G64" s="673">
        <f>summ!E61</f>
        <v>43.934999999999995</v>
      </c>
      <c r="H64" s="675" t="str">
        <f>CONCATENATE("Total ",E1-1," Mill Rate")</f>
        <v>Total 2012 Mill Rate</v>
      </c>
      <c r="I64" s="676"/>
      <c r="J64" s="677"/>
    </row>
    <row r="70" spans="3:4" ht="15.75" hidden="1">
      <c r="C70" s="143">
        <f>IF(C50&gt;C52,"SeeTab A","")</f>
      </c>
      <c r="D70" s="143">
        <f>IF(D50&gt;D52,"See Tab C","")</f>
      </c>
    </row>
    <row r="71" spans="3:4" ht="15.75" hidden="1">
      <c r="C71" s="143">
        <f>IF(C51&lt;0,"See Tab B","")</f>
      </c>
      <c r="D71" s="143">
        <f>IF(D51&lt;0,"See Tab D","")</f>
      </c>
    </row>
  </sheetData>
  <sheetProtection/>
  <mergeCells count="6">
    <mergeCell ref="G59:J59"/>
    <mergeCell ref="C53:D53"/>
    <mergeCell ref="C54:D54"/>
    <mergeCell ref="C57:D57"/>
    <mergeCell ref="G42:J42"/>
    <mergeCell ref="G49:J49"/>
  </mergeCells>
  <conditionalFormatting sqref="E48">
    <cfRule type="cellIs" priority="2" dxfId="408" operator="greaterThan" stopIfTrue="1">
      <formula>$E$50*0.1</formula>
    </cfRule>
  </conditionalFormatting>
  <conditionalFormatting sqref="E53">
    <cfRule type="cellIs" priority="3" dxfId="408" operator="greaterThan" stopIfTrue="1">
      <formula>$E$50/0.95-$E$50</formula>
    </cfRule>
  </conditionalFormatting>
  <conditionalFormatting sqref="C51">
    <cfRule type="cellIs" priority="4" dxfId="2" operator="lessThan" stopIfTrue="1">
      <formula>0</formula>
    </cfRule>
  </conditionalFormatting>
  <conditionalFormatting sqref="C50">
    <cfRule type="cellIs" priority="5" dxfId="2" operator="greaterThan" stopIfTrue="1">
      <formula>$C$52</formula>
    </cfRule>
  </conditionalFormatting>
  <conditionalFormatting sqref="D50">
    <cfRule type="cellIs" priority="6" dxfId="2" operator="greaterThan" stopIfTrue="1">
      <formula>$D$52</formula>
    </cfRule>
  </conditionalFormatting>
  <conditionalFormatting sqref="C24">
    <cfRule type="cellIs" priority="7" dxfId="2" operator="greaterThan" stopIfTrue="1">
      <formula>$C$26*0.1</formula>
    </cfRule>
  </conditionalFormatting>
  <conditionalFormatting sqref="D24">
    <cfRule type="cellIs" priority="8" dxfId="2" operator="greaterThan" stopIfTrue="1">
      <formula>$D$26*0.1</formula>
    </cfRule>
  </conditionalFormatting>
  <conditionalFormatting sqref="E24">
    <cfRule type="cellIs" priority="9" dxfId="408" operator="greaterThan" stopIfTrue="1">
      <formula>$E$26*0.1+E57</formula>
    </cfRule>
  </conditionalFormatting>
  <conditionalFormatting sqref="C48">
    <cfRule type="cellIs" priority="10" dxfId="2" operator="greaterThan" stopIfTrue="1">
      <formula>$C$50*0.1</formula>
    </cfRule>
  </conditionalFormatting>
  <conditionalFormatting sqref="D48">
    <cfRule type="cellIs" priority="11" dxfId="2" operator="greaterThan" stopIfTrue="1">
      <formula>$D$50*0.1</formula>
    </cfRule>
  </conditionalFormatting>
  <conditionalFormatting sqref="D5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dimension ref="B1:K130"/>
  <sheetViews>
    <sheetView zoomScalePageLayoutView="0" workbookViewId="0" topLeftCell="A1">
      <selection activeCell="B1" sqref="B1"/>
    </sheetView>
  </sheetViews>
  <sheetFormatPr defaultColWidth="8.796875" defaultRowHeight="15"/>
  <cols>
    <col min="1" max="1" width="2.3984375" style="72" customWidth="1"/>
    <col min="2" max="2" width="31.09765625" style="72" customWidth="1"/>
    <col min="3" max="4" width="15.796875" style="72" customWidth="1"/>
    <col min="5" max="5" width="16.19921875" style="72" customWidth="1"/>
    <col min="6" max="6" width="7.3984375" style="72" customWidth="1"/>
    <col min="7" max="7" width="10.19921875" style="72" customWidth="1"/>
    <col min="8" max="8" width="8.8984375" style="72" customWidth="1"/>
    <col min="9" max="9" width="5" style="72" customWidth="1"/>
    <col min="10" max="10" width="10" style="72" customWidth="1"/>
    <col min="11"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242</v>
      </c>
      <c r="C3" s="85"/>
      <c r="D3" s="85"/>
      <c r="E3" s="301"/>
    </row>
    <row r="4" spans="2:5" ht="15.75">
      <c r="B4" s="302" t="s">
        <v>160</v>
      </c>
      <c r="C4" s="703" t="s">
        <v>844</v>
      </c>
      <c r="D4" s="704" t="s">
        <v>845</v>
      </c>
      <c r="E4" s="215" t="s">
        <v>846</v>
      </c>
    </row>
    <row r="5" spans="2:5" ht="15.75">
      <c r="B5" s="484" t="str">
        <f>inputPrYr!B18</f>
        <v>Road &amp; Bridge</v>
      </c>
      <c r="C5" s="455" t="str">
        <f>CONCATENATE("Actual for ",E1-2,"")</f>
        <v>Actual for 2011</v>
      </c>
      <c r="D5" s="455" t="str">
        <f>CONCATENATE("Estimate for ",E1-1,"")</f>
        <v>Estimate for 2012</v>
      </c>
      <c r="E5" s="303" t="str">
        <f>CONCATENATE("Year for ",E1,"")</f>
        <v>Year for 2013</v>
      </c>
    </row>
    <row r="6" spans="2:5" ht="15.75">
      <c r="B6" s="304" t="s">
        <v>284</v>
      </c>
      <c r="C6" s="452">
        <v>1002683</v>
      </c>
      <c r="D6" s="456">
        <f>C112</f>
        <v>912774</v>
      </c>
      <c r="E6" s="266">
        <f>D112</f>
        <v>470466</v>
      </c>
    </row>
    <row r="7" spans="2:5" ht="15.75">
      <c r="B7" s="291" t="s">
        <v>286</v>
      </c>
      <c r="C7" s="306"/>
      <c r="D7" s="306"/>
      <c r="E7" s="127"/>
    </row>
    <row r="8" spans="2:5" ht="15.75">
      <c r="B8" s="304" t="s">
        <v>161</v>
      </c>
      <c r="C8" s="452">
        <v>443620</v>
      </c>
      <c r="D8" s="456">
        <f>IF(inputPrYr!H18&gt;0,inputPrYr!H18,inputPrYr!E18)</f>
        <v>238078</v>
      </c>
      <c r="E8" s="221" t="s">
        <v>148</v>
      </c>
    </row>
    <row r="9" spans="2:5" ht="15.75">
      <c r="B9" s="304" t="s">
        <v>162</v>
      </c>
      <c r="C9" s="452">
        <v>16109</v>
      </c>
      <c r="D9" s="452"/>
      <c r="E9" s="307"/>
    </row>
    <row r="10" spans="2:5" ht="15.75">
      <c r="B10" s="304" t="s">
        <v>163</v>
      </c>
      <c r="C10" s="452">
        <v>45827</v>
      </c>
      <c r="D10" s="452">
        <v>35907</v>
      </c>
      <c r="E10" s="127">
        <f>mvalloc!E9</f>
        <v>18333</v>
      </c>
    </row>
    <row r="11" spans="2:5" ht="15.75">
      <c r="B11" s="304" t="s">
        <v>164</v>
      </c>
      <c r="C11" s="452">
        <v>942</v>
      </c>
      <c r="D11" s="452">
        <v>753</v>
      </c>
      <c r="E11" s="127">
        <f>mvalloc!F9</f>
        <v>371</v>
      </c>
    </row>
    <row r="12" spans="2:5" ht="15.75">
      <c r="B12" s="306" t="s">
        <v>266</v>
      </c>
      <c r="C12" s="452">
        <v>6009</v>
      </c>
      <c r="D12" s="452">
        <v>1219</v>
      </c>
      <c r="E12" s="127">
        <f>mvalloc!G9</f>
        <v>1160</v>
      </c>
    </row>
    <row r="13" spans="2:5" ht="15.75">
      <c r="B13" s="351" t="s">
        <v>7</v>
      </c>
      <c r="C13" s="452">
        <v>322857</v>
      </c>
      <c r="D13" s="452">
        <v>434734</v>
      </c>
      <c r="E13" s="147">
        <v>434734</v>
      </c>
    </row>
    <row r="14" spans="2:5" ht="15.75">
      <c r="B14" s="351" t="s">
        <v>8</v>
      </c>
      <c r="C14" s="452">
        <v>0</v>
      </c>
      <c r="D14" s="452"/>
      <c r="E14" s="147"/>
    </row>
    <row r="15" spans="2:5" ht="15.75">
      <c r="B15" s="351" t="s">
        <v>978</v>
      </c>
      <c r="C15" s="452">
        <v>120101</v>
      </c>
      <c r="D15" s="452">
        <v>90000</v>
      </c>
      <c r="E15" s="147">
        <v>90000</v>
      </c>
    </row>
    <row r="16" spans="2:5" ht="15.75">
      <c r="B16" s="352" t="s">
        <v>979</v>
      </c>
      <c r="C16" s="452">
        <v>645393</v>
      </c>
      <c r="D16" s="452">
        <v>201120</v>
      </c>
      <c r="E16" s="147">
        <v>300000</v>
      </c>
    </row>
    <row r="17" spans="2:5" ht="15.75">
      <c r="B17" s="308" t="s">
        <v>933</v>
      </c>
      <c r="C17" s="452">
        <v>787</v>
      </c>
      <c r="D17" s="452">
        <v>0</v>
      </c>
      <c r="E17" s="307">
        <v>0</v>
      </c>
    </row>
    <row r="18" spans="2:5" ht="15.75">
      <c r="B18" s="308" t="s">
        <v>1051</v>
      </c>
      <c r="C18" s="452">
        <v>1803</v>
      </c>
      <c r="D18" s="452">
        <v>0</v>
      </c>
      <c r="E18" s="307">
        <v>0</v>
      </c>
    </row>
    <row r="19" spans="2:5" ht="15.75">
      <c r="B19" s="308" t="s">
        <v>1113</v>
      </c>
      <c r="C19" s="452"/>
      <c r="D19" s="452">
        <v>81543</v>
      </c>
      <c r="E19" s="307"/>
    </row>
    <row r="20" spans="2:5" ht="15.75">
      <c r="B20" s="309"/>
      <c r="C20" s="452"/>
      <c r="D20" s="452"/>
      <c r="E20" s="307"/>
    </row>
    <row r="21" spans="2:5" ht="15.75">
      <c r="B21" s="309"/>
      <c r="C21" s="452"/>
      <c r="D21" s="452"/>
      <c r="E21" s="307"/>
    </row>
    <row r="22" spans="2:5" ht="15.75">
      <c r="B22" s="308"/>
      <c r="C22" s="452"/>
      <c r="D22" s="452"/>
      <c r="E22" s="307"/>
    </row>
    <row r="23" spans="2:5" ht="15.75">
      <c r="B23" s="308"/>
      <c r="C23" s="452"/>
      <c r="D23" s="452"/>
      <c r="E23" s="307"/>
    </row>
    <row r="24" spans="2:5" ht="15.75">
      <c r="B24" s="308"/>
      <c r="C24" s="452"/>
      <c r="D24" s="452"/>
      <c r="E24" s="307"/>
    </row>
    <row r="25" spans="2:5" ht="15.75">
      <c r="B25" s="308"/>
      <c r="C25" s="452"/>
      <c r="D25" s="452"/>
      <c r="E25" s="307"/>
    </row>
    <row r="26" spans="2:5" ht="15.75">
      <c r="B26" s="308"/>
      <c r="C26" s="452"/>
      <c r="D26" s="452"/>
      <c r="E26" s="307"/>
    </row>
    <row r="27" spans="2:5" ht="15.75">
      <c r="B27" s="308"/>
      <c r="C27" s="452"/>
      <c r="D27" s="452"/>
      <c r="E27" s="307"/>
    </row>
    <row r="28" spans="2:5" ht="15.75">
      <c r="B28" s="308"/>
      <c r="C28" s="452"/>
      <c r="D28" s="452"/>
      <c r="E28" s="307"/>
    </row>
    <row r="29" spans="2:5" ht="15.75">
      <c r="B29" s="308"/>
      <c r="C29" s="452"/>
      <c r="D29" s="452"/>
      <c r="E29" s="307"/>
    </row>
    <row r="30" spans="2:5" ht="15.75">
      <c r="B30" s="308"/>
      <c r="C30" s="452"/>
      <c r="D30" s="452"/>
      <c r="E30" s="307"/>
    </row>
    <row r="31" spans="2:5" ht="15.75">
      <c r="B31" s="308"/>
      <c r="C31" s="452"/>
      <c r="D31" s="452"/>
      <c r="E31" s="307"/>
    </row>
    <row r="32" spans="2:5" ht="15.75">
      <c r="B32" s="308"/>
      <c r="C32" s="452"/>
      <c r="D32" s="452"/>
      <c r="E32" s="307"/>
    </row>
    <row r="33" spans="2:5" ht="15.75">
      <c r="B33" s="308"/>
      <c r="C33" s="452"/>
      <c r="D33" s="452"/>
      <c r="E33" s="307"/>
    </row>
    <row r="34" spans="2:5" ht="15.75">
      <c r="B34" s="308"/>
      <c r="C34" s="452"/>
      <c r="D34" s="452"/>
      <c r="E34" s="307"/>
    </row>
    <row r="35" spans="2:5" ht="15.75">
      <c r="B35" s="308"/>
      <c r="C35" s="452"/>
      <c r="D35" s="452"/>
      <c r="E35" s="307"/>
    </row>
    <row r="36" spans="2:5" ht="15.75">
      <c r="B36" s="308"/>
      <c r="C36" s="452"/>
      <c r="D36" s="452"/>
      <c r="E36" s="307"/>
    </row>
    <row r="37" spans="2:5" ht="15.75">
      <c r="B37" s="308"/>
      <c r="C37" s="452"/>
      <c r="D37" s="452"/>
      <c r="E37" s="307"/>
    </row>
    <row r="38" spans="2:5" ht="15.75">
      <c r="B38" s="308"/>
      <c r="C38" s="452"/>
      <c r="D38" s="452"/>
      <c r="E38" s="307"/>
    </row>
    <row r="39" spans="2:5" ht="15.75">
      <c r="B39" s="308"/>
      <c r="C39" s="452"/>
      <c r="D39" s="452"/>
      <c r="E39" s="307"/>
    </row>
    <row r="40" spans="2:5" ht="15.75">
      <c r="B40" s="308"/>
      <c r="C40" s="452"/>
      <c r="D40" s="452"/>
      <c r="E40" s="307"/>
    </row>
    <row r="41" spans="2:5" ht="15.75">
      <c r="B41" s="308"/>
      <c r="C41" s="452"/>
      <c r="D41" s="452"/>
      <c r="E41" s="307"/>
    </row>
    <row r="42" spans="2:5" ht="15.75">
      <c r="B42" s="308"/>
      <c r="C42" s="452"/>
      <c r="D42" s="452"/>
      <c r="E42" s="307"/>
    </row>
    <row r="43" spans="2:5" ht="15.75">
      <c r="B43" s="308"/>
      <c r="C43" s="452"/>
      <c r="D43" s="452"/>
      <c r="E43" s="307"/>
    </row>
    <row r="44" spans="2:5" ht="15.75">
      <c r="B44" s="308"/>
      <c r="C44" s="452"/>
      <c r="D44" s="452"/>
      <c r="E44" s="307"/>
    </row>
    <row r="45" spans="2:5" ht="15.75">
      <c r="B45" s="308"/>
      <c r="C45" s="452"/>
      <c r="D45" s="452"/>
      <c r="E45" s="307"/>
    </row>
    <row r="46" spans="2:5" ht="15.75">
      <c r="B46" s="308"/>
      <c r="C46" s="452"/>
      <c r="D46" s="452"/>
      <c r="E46" s="307"/>
    </row>
    <row r="47" spans="2:5" ht="15.75">
      <c r="B47" s="308"/>
      <c r="C47" s="452"/>
      <c r="D47" s="452"/>
      <c r="E47" s="307"/>
    </row>
    <row r="48" spans="2:5" ht="15.75">
      <c r="B48" s="308"/>
      <c r="C48" s="452"/>
      <c r="D48" s="452"/>
      <c r="E48" s="307"/>
    </row>
    <row r="49" spans="2:5" ht="15.75">
      <c r="B49" s="308"/>
      <c r="C49" s="452"/>
      <c r="D49" s="452"/>
      <c r="E49" s="307"/>
    </row>
    <row r="50" spans="2:5" ht="15.75">
      <c r="B50" s="308"/>
      <c r="C50" s="452"/>
      <c r="D50" s="452"/>
      <c r="E50" s="307"/>
    </row>
    <row r="51" spans="2:5" ht="15.75">
      <c r="B51" s="309" t="s">
        <v>165</v>
      </c>
      <c r="C51" s="452"/>
      <c r="D51" s="452"/>
      <c r="E51" s="307"/>
    </row>
    <row r="52" spans="2:5" ht="15.75">
      <c r="B52" s="310" t="s">
        <v>75</v>
      </c>
      <c r="C52" s="452"/>
      <c r="D52" s="452"/>
      <c r="E52" s="307"/>
    </row>
    <row r="53" spans="2:5" ht="15.75">
      <c r="B53" s="310" t="s">
        <v>684</v>
      </c>
      <c r="C53" s="453">
        <f>IF(C54*0.1&lt;C52,"Exceed 10% Rule","")</f>
      </c>
      <c r="D53" s="453">
        <f>IF(D54*0.1&lt;D52,"Exceed 10% Rule","")</f>
      </c>
      <c r="E53" s="345">
        <f>IF(E54*0.1+E118&lt;E52,"Exceed 10% Rule","")</f>
      </c>
    </row>
    <row r="54" spans="2:5" ht="15.75">
      <c r="B54" s="312" t="s">
        <v>166</v>
      </c>
      <c r="C54" s="454">
        <f>SUM(C8:C52)</f>
        <v>1603448</v>
      </c>
      <c r="D54" s="454">
        <f>SUM(D8:D52)</f>
        <v>1083354</v>
      </c>
      <c r="E54" s="353">
        <f>SUM(E9:E52)</f>
        <v>844598</v>
      </c>
    </row>
    <row r="55" spans="2:5" ht="15.75">
      <c r="B55" s="312" t="s">
        <v>167</v>
      </c>
      <c r="C55" s="454">
        <f>C6+C54</f>
        <v>2606131</v>
      </c>
      <c r="D55" s="454">
        <f>D6+D54</f>
        <v>1996128</v>
      </c>
      <c r="E55" s="353">
        <f>E6+E54</f>
        <v>1315064</v>
      </c>
    </row>
    <row r="56" spans="2:5" ht="15.75">
      <c r="B56" s="85"/>
      <c r="C56" s="228"/>
      <c r="D56" s="228"/>
      <c r="E56" s="228"/>
    </row>
    <row r="57" spans="2:5" ht="15.75">
      <c r="B57" s="288" t="s">
        <v>194</v>
      </c>
      <c r="C57" s="350">
        <v>9</v>
      </c>
      <c r="D57" s="97"/>
      <c r="E57" s="97"/>
    </row>
    <row r="58" spans="2:5" ht="15.75">
      <c r="B58" s="97"/>
      <c r="C58" s="97"/>
      <c r="D58" s="97"/>
      <c r="E58" s="97"/>
    </row>
    <row r="59" spans="2:5" ht="15.75">
      <c r="B59" s="228" t="str">
        <f>inputPrYr!C2</f>
        <v>Rice County</v>
      </c>
      <c r="C59" s="228"/>
      <c r="D59" s="228"/>
      <c r="E59" s="287">
        <f>inputPrYr!C4</f>
        <v>2013</v>
      </c>
    </row>
    <row r="60" spans="2:5" ht="15.75">
      <c r="B60" s="85"/>
      <c r="C60" s="228"/>
      <c r="D60" s="228"/>
      <c r="E60" s="240"/>
    </row>
    <row r="61" spans="2:5" ht="15.75">
      <c r="B61" s="314" t="s">
        <v>240</v>
      </c>
      <c r="C61" s="315"/>
      <c r="D61" s="315"/>
      <c r="E61" s="315"/>
    </row>
    <row r="62" spans="2:5" ht="15.75">
      <c r="B62" s="85" t="s">
        <v>160</v>
      </c>
      <c r="C62" s="703" t="s">
        <v>844</v>
      </c>
      <c r="D62" s="704" t="s">
        <v>845</v>
      </c>
      <c r="E62" s="215" t="s">
        <v>846</v>
      </c>
    </row>
    <row r="63" spans="2:5" ht="15.75">
      <c r="B63" s="153" t="str">
        <f>B5</f>
        <v>Road &amp; Bridge</v>
      </c>
      <c r="C63" s="455" t="str">
        <f>CONCATENATE("Actual for ",E59-2,"")</f>
        <v>Actual for 2011</v>
      </c>
      <c r="D63" s="455" t="str">
        <f>CONCATENATE("Estimate for ",E59-1,"")</f>
        <v>Estimate for 2012</v>
      </c>
      <c r="E63" s="303" t="str">
        <f>CONCATENATE("Year for ",E59,"")</f>
        <v>Year for 2013</v>
      </c>
    </row>
    <row r="64" spans="2:5" ht="15.75">
      <c r="B64" s="312" t="s">
        <v>167</v>
      </c>
      <c r="C64" s="456">
        <f>C55</f>
        <v>2606131</v>
      </c>
      <c r="D64" s="456">
        <f>D55</f>
        <v>1996128</v>
      </c>
      <c r="E64" s="266">
        <f>E55</f>
        <v>1315064</v>
      </c>
    </row>
    <row r="65" spans="2:5" ht="15.75">
      <c r="B65" s="304" t="s">
        <v>9</v>
      </c>
      <c r="C65" s="306"/>
      <c r="D65" s="306"/>
      <c r="E65" s="127"/>
    </row>
    <row r="66" spans="2:5" ht="15.75">
      <c r="B66" s="306" t="str">
        <f>IF((RoadDetail!$A7&gt;" "),(RoadDetail!$A7)," ")</f>
        <v> </v>
      </c>
      <c r="C66" s="456">
        <f>RoadDetail!$B12</f>
        <v>0</v>
      </c>
      <c r="D66" s="456">
        <f>RoadDetail!$C12</f>
        <v>0</v>
      </c>
      <c r="E66" s="266">
        <f>RoadDetail!$D12</f>
        <v>0</v>
      </c>
    </row>
    <row r="67" spans="2:5" ht="15.75">
      <c r="B67" s="306" t="str">
        <f>IF((RoadDetail!$A13&gt;" "),(RoadDetail!$A13)," ")</f>
        <v> </v>
      </c>
      <c r="C67" s="456">
        <f>RoadDetail!$B18</f>
        <v>0</v>
      </c>
      <c r="D67" s="456">
        <f>RoadDetail!$C18</f>
        <v>0</v>
      </c>
      <c r="E67" s="266">
        <f>RoadDetail!$D18</f>
        <v>0</v>
      </c>
    </row>
    <row r="68" spans="2:5" ht="15.75">
      <c r="B68" s="306" t="str">
        <f>IF((RoadDetail!$A19&gt;" "),(RoadDetail!$A19)," ")</f>
        <v> </v>
      </c>
      <c r="C68" s="456">
        <f>RoadDetail!$B24</f>
        <v>0</v>
      </c>
      <c r="D68" s="456">
        <f>RoadDetail!$C24</f>
        <v>0</v>
      </c>
      <c r="E68" s="266">
        <f>RoadDetail!$D24</f>
        <v>0</v>
      </c>
    </row>
    <row r="69" spans="2:5" ht="15.75">
      <c r="B69" s="306" t="str">
        <f>IF((RoadDetail!$A25&gt;" "),(RoadDetail!$A25)," ")</f>
        <v> </v>
      </c>
      <c r="C69" s="456">
        <f>RoadDetail!$B30</f>
        <v>0</v>
      </c>
      <c r="D69" s="456">
        <f>RoadDetail!$C30</f>
        <v>0</v>
      </c>
      <c r="E69" s="266">
        <f>RoadDetail!$D30</f>
        <v>0</v>
      </c>
    </row>
    <row r="70" spans="2:5" ht="15.75">
      <c r="B70" s="306" t="str">
        <f>IF((RoadDetail!$A31&gt;" "),(RoadDetail!$A31)," ")</f>
        <v> </v>
      </c>
      <c r="C70" s="456">
        <f>RoadDetail!$B36</f>
        <v>0</v>
      </c>
      <c r="D70" s="456">
        <f>RoadDetail!$C36</f>
        <v>0</v>
      </c>
      <c r="E70" s="266">
        <f>RoadDetail!$D36</f>
        <v>0</v>
      </c>
    </row>
    <row r="71" spans="2:5" ht="15.75">
      <c r="B71" s="306" t="str">
        <f>IF((RoadDetail!$A37&gt;" "),(RoadDetail!$A37)," ")</f>
        <v> </v>
      </c>
      <c r="C71" s="456">
        <f>RoadDetail!$B42</f>
        <v>0</v>
      </c>
      <c r="D71" s="456">
        <f>RoadDetail!$C42</f>
        <v>0</v>
      </c>
      <c r="E71" s="266">
        <f>RoadDetail!$D42</f>
        <v>0</v>
      </c>
    </row>
    <row r="72" spans="2:5" ht="15.75">
      <c r="B72" s="317" t="s">
        <v>30</v>
      </c>
      <c r="C72" s="485">
        <f>SUM(C66:C71)</f>
        <v>0</v>
      </c>
      <c r="D72" s="485">
        <f>SUM(D66:D71)</f>
        <v>0</v>
      </c>
      <c r="E72" s="349">
        <f>SUM(E66:E71)</f>
        <v>0</v>
      </c>
    </row>
    <row r="73" spans="2:5" ht="15.75">
      <c r="B73" s="355" t="s">
        <v>980</v>
      </c>
      <c r="C73" s="452">
        <v>505622</v>
      </c>
      <c r="D73" s="452">
        <v>495762</v>
      </c>
      <c r="E73" s="147">
        <v>581879</v>
      </c>
    </row>
    <row r="74" spans="2:5" ht="15.75">
      <c r="B74" s="355" t="s">
        <v>981</v>
      </c>
      <c r="C74" s="452">
        <v>1195</v>
      </c>
      <c r="D74" s="452">
        <v>2000</v>
      </c>
      <c r="E74" s="147">
        <v>2000</v>
      </c>
    </row>
    <row r="75" spans="2:5" ht="15.75">
      <c r="B75" s="355" t="s">
        <v>982</v>
      </c>
      <c r="C75" s="452">
        <v>235</v>
      </c>
      <c r="D75" s="452">
        <v>200</v>
      </c>
      <c r="E75" s="147">
        <v>200</v>
      </c>
    </row>
    <row r="76" spans="2:5" ht="15.75">
      <c r="B76" s="355" t="s">
        <v>983</v>
      </c>
      <c r="C76" s="452">
        <v>20405</v>
      </c>
      <c r="D76" s="452">
        <v>0</v>
      </c>
      <c r="E76" s="147">
        <v>0</v>
      </c>
    </row>
    <row r="77" spans="2:5" ht="15.75">
      <c r="B77" s="355" t="s">
        <v>984</v>
      </c>
      <c r="C77" s="452">
        <v>8403</v>
      </c>
      <c r="D77" s="452">
        <v>6000</v>
      </c>
      <c r="E77" s="147">
        <v>15000</v>
      </c>
    </row>
    <row r="78" spans="2:5" ht="15.75">
      <c r="B78" s="355" t="s">
        <v>985</v>
      </c>
      <c r="C78" s="452">
        <v>4705</v>
      </c>
      <c r="D78" s="452">
        <v>15000</v>
      </c>
      <c r="E78" s="147">
        <v>15000</v>
      </c>
    </row>
    <row r="79" spans="2:5" ht="15.75">
      <c r="B79" s="355" t="s">
        <v>986</v>
      </c>
      <c r="C79" s="452">
        <v>1456</v>
      </c>
      <c r="D79" s="452">
        <v>3000</v>
      </c>
      <c r="E79" s="147">
        <v>3000</v>
      </c>
    </row>
    <row r="80" spans="2:5" ht="15.75">
      <c r="B80" s="355" t="s">
        <v>987</v>
      </c>
      <c r="C80" s="452">
        <v>34749</v>
      </c>
      <c r="D80" s="452">
        <v>50000</v>
      </c>
      <c r="E80" s="147">
        <v>50000</v>
      </c>
    </row>
    <row r="81" spans="2:5" ht="15.75">
      <c r="B81" s="355" t="s">
        <v>988</v>
      </c>
      <c r="C81" s="452">
        <v>0</v>
      </c>
      <c r="D81" s="452">
        <v>56000</v>
      </c>
      <c r="E81" s="147">
        <v>100000</v>
      </c>
    </row>
    <row r="82" spans="2:5" ht="15.75">
      <c r="B82" s="355" t="s">
        <v>989</v>
      </c>
      <c r="C82" s="452">
        <v>21527</v>
      </c>
      <c r="D82" s="452">
        <v>25000</v>
      </c>
      <c r="E82" s="147">
        <v>75740</v>
      </c>
    </row>
    <row r="83" spans="2:5" ht="15.75">
      <c r="B83" s="355" t="s">
        <v>990</v>
      </c>
      <c r="C83" s="452">
        <v>1330</v>
      </c>
      <c r="D83" s="452">
        <v>4000</v>
      </c>
      <c r="E83" s="147">
        <v>4000</v>
      </c>
    </row>
    <row r="84" spans="2:5" ht="15.75">
      <c r="B84" s="355" t="s">
        <v>991</v>
      </c>
      <c r="C84" s="452">
        <v>5648</v>
      </c>
      <c r="D84" s="452">
        <v>29650</v>
      </c>
      <c r="E84" s="147">
        <v>10450</v>
      </c>
    </row>
    <row r="85" spans="2:5" ht="15.75">
      <c r="B85" s="355" t="s">
        <v>992</v>
      </c>
      <c r="C85" s="452">
        <v>15689</v>
      </c>
      <c r="D85" s="452">
        <v>0</v>
      </c>
      <c r="E85" s="147">
        <v>0</v>
      </c>
    </row>
    <row r="86" spans="2:5" ht="15.75">
      <c r="B86" s="355" t="s">
        <v>993</v>
      </c>
      <c r="C86" s="452">
        <v>0</v>
      </c>
      <c r="D86" s="452">
        <v>0</v>
      </c>
      <c r="E86" s="147">
        <v>0</v>
      </c>
    </row>
    <row r="87" spans="2:5" ht="15.75">
      <c r="B87" s="355" t="s">
        <v>994</v>
      </c>
      <c r="C87" s="452">
        <v>250000</v>
      </c>
      <c r="D87" s="452">
        <v>50000</v>
      </c>
      <c r="E87" s="147">
        <v>132663</v>
      </c>
    </row>
    <row r="88" spans="2:5" ht="15.75">
      <c r="B88" s="355" t="s">
        <v>995</v>
      </c>
      <c r="C88" s="452">
        <v>758337</v>
      </c>
      <c r="D88" s="452">
        <v>692410</v>
      </c>
      <c r="E88" s="147">
        <v>915450</v>
      </c>
    </row>
    <row r="89" spans="2:5" ht="15.75">
      <c r="B89" s="355" t="s">
        <v>996</v>
      </c>
      <c r="C89" s="452">
        <v>22255</v>
      </c>
      <c r="D89" s="452">
        <v>27962</v>
      </c>
      <c r="E89" s="147">
        <v>27962</v>
      </c>
    </row>
    <row r="90" spans="2:5" ht="15.75">
      <c r="B90" s="355" t="s">
        <v>997</v>
      </c>
      <c r="C90" s="452">
        <v>3861</v>
      </c>
      <c r="D90" s="452">
        <v>7500</v>
      </c>
      <c r="E90" s="147">
        <v>7500</v>
      </c>
    </row>
    <row r="91" spans="2:5" ht="15.75">
      <c r="B91" s="355" t="s">
        <v>998</v>
      </c>
      <c r="C91" s="452">
        <v>29638</v>
      </c>
      <c r="D91" s="452">
        <v>29638</v>
      </c>
      <c r="E91" s="147">
        <v>29638</v>
      </c>
    </row>
    <row r="92" spans="2:5" ht="15.75">
      <c r="B92" s="355"/>
      <c r="C92" s="452"/>
      <c r="D92" s="452"/>
      <c r="E92" s="147"/>
    </row>
    <row r="93" spans="2:5" ht="15.75">
      <c r="B93" s="355"/>
      <c r="C93" s="452"/>
      <c r="D93" s="452"/>
      <c r="E93" s="147"/>
    </row>
    <row r="94" spans="2:5" ht="15.75">
      <c r="B94" s="355"/>
      <c r="C94" s="452"/>
      <c r="D94" s="452"/>
      <c r="E94" s="147"/>
    </row>
    <row r="95" spans="2:5" ht="15.75">
      <c r="B95" s="355"/>
      <c r="C95" s="452"/>
      <c r="D95" s="452"/>
      <c r="E95" s="147"/>
    </row>
    <row r="96" spans="2:5" ht="15.75">
      <c r="B96" s="355"/>
      <c r="C96" s="452"/>
      <c r="D96" s="452"/>
      <c r="E96" s="147"/>
    </row>
    <row r="97" spans="2:5" ht="15.75">
      <c r="B97" s="355"/>
      <c r="C97" s="452"/>
      <c r="D97" s="452"/>
      <c r="E97" s="147"/>
    </row>
    <row r="98" spans="2:5" ht="15.75">
      <c r="B98" s="355"/>
      <c r="C98" s="452"/>
      <c r="D98" s="452"/>
      <c r="E98" s="147"/>
    </row>
    <row r="99" spans="2:5" ht="15.75">
      <c r="B99" s="355"/>
      <c r="C99" s="452"/>
      <c r="D99" s="452"/>
      <c r="E99" s="147"/>
    </row>
    <row r="100" spans="2:5" ht="15.75">
      <c r="B100" s="355"/>
      <c r="C100" s="452"/>
      <c r="D100" s="452"/>
      <c r="E100" s="147"/>
    </row>
    <row r="101" spans="2:5" ht="15.75">
      <c r="B101" s="355"/>
      <c r="C101" s="452"/>
      <c r="D101" s="452"/>
      <c r="E101" s="147"/>
    </row>
    <row r="102" spans="2:5" ht="15.75">
      <c r="B102" s="355"/>
      <c r="C102" s="452"/>
      <c r="D102" s="452"/>
      <c r="E102" s="147"/>
    </row>
    <row r="103" spans="2:10" ht="15.75">
      <c r="B103" s="355"/>
      <c r="C103" s="452"/>
      <c r="D103" s="452"/>
      <c r="E103" s="147"/>
      <c r="G103" s="782" t="str">
        <f>CONCATENATE("Desired Carryover Into ",E1+1,"")</f>
        <v>Desired Carryover Into 2014</v>
      </c>
      <c r="H103" s="783"/>
      <c r="I103" s="783"/>
      <c r="J103" s="784"/>
    </row>
    <row r="104" spans="2:10" ht="15.75">
      <c r="B104" s="355"/>
      <c r="C104" s="452"/>
      <c r="D104" s="452"/>
      <c r="E104" s="147"/>
      <c r="G104" s="650"/>
      <c r="H104" s="651"/>
      <c r="I104" s="652"/>
      <c r="J104" s="653"/>
    </row>
    <row r="105" spans="2:10" ht="15.75">
      <c r="B105" s="355"/>
      <c r="C105" s="452"/>
      <c r="D105" s="452"/>
      <c r="E105" s="147"/>
      <c r="G105" s="654" t="s">
        <v>690</v>
      </c>
      <c r="H105" s="652"/>
      <c r="I105" s="652"/>
      <c r="J105" s="655">
        <v>0</v>
      </c>
    </row>
    <row r="106" spans="2:10" ht="15.75">
      <c r="B106" s="355"/>
      <c r="C106" s="452"/>
      <c r="D106" s="452"/>
      <c r="E106" s="147"/>
      <c r="G106" s="650" t="s">
        <v>691</v>
      </c>
      <c r="H106" s="651"/>
      <c r="I106" s="651"/>
      <c r="J106" s="656">
        <f>IF(J105=0,"",ROUND((J105+E118-G118)/inputOth!E6*1000,3)-G123)</f>
      </c>
    </row>
    <row r="107" spans="2:10" ht="15.75">
      <c r="B107" s="319"/>
      <c r="C107" s="452"/>
      <c r="D107" s="452"/>
      <c r="E107" s="307"/>
      <c r="G107" s="657" t="str">
        <f>CONCATENATE("",E1," Tot Exp/Non-Appr Must Be:")</f>
        <v>2013 Tot Exp/Non-Appr Must Be:</v>
      </c>
      <c r="H107" s="658"/>
      <c r="I107" s="659"/>
      <c r="J107" s="660">
        <f>IF(J105&gt;0,IF(E115&lt;E55,IF(J105=G118,E115,((J105-G118)*(1-D117))+E55),E115+(J105-G118)),0)</f>
        <v>0</v>
      </c>
    </row>
    <row r="108" spans="2:10" ht="15.75">
      <c r="B108" s="310" t="s">
        <v>77</v>
      </c>
      <c r="C108" s="452">
        <v>8302</v>
      </c>
      <c r="D108" s="452">
        <v>31540</v>
      </c>
      <c r="E108" s="320">
        <f>Nhood!E8</f>
        <v>15355</v>
      </c>
      <c r="G108" s="661" t="s">
        <v>842</v>
      </c>
      <c r="H108" s="662"/>
      <c r="I108" s="662"/>
      <c r="J108" s="663">
        <f>IF(J105&gt;0,J107-E115,0)</f>
        <v>0</v>
      </c>
    </row>
    <row r="109" spans="2:5" ht="15.75">
      <c r="B109" s="310" t="s">
        <v>75</v>
      </c>
      <c r="C109" s="452"/>
      <c r="D109" s="452"/>
      <c r="E109" s="307"/>
    </row>
    <row r="110" spans="2:10" ht="15.75">
      <c r="B110" s="310" t="s">
        <v>683</v>
      </c>
      <c r="C110" s="453">
        <f>IF(C111*0.1&lt;C109,"Exceed 10% Rule","")</f>
      </c>
      <c r="D110" s="453">
        <f>IF(D111*0.1&lt;D109,"Exceed 10% Rule","")</f>
      </c>
      <c r="E110" s="345">
        <f>IF(E111*0.1&lt;E109,"Exceed 10% Rule","")</f>
      </c>
      <c r="G110" s="776" t="str">
        <f>CONCATENATE("Projected Carryover Into ",E1+1,"")</f>
        <v>Projected Carryover Into 2014</v>
      </c>
      <c r="H110" s="777"/>
      <c r="I110" s="777"/>
      <c r="J110" s="778"/>
    </row>
    <row r="111" spans="2:10" ht="15.75">
      <c r="B111" s="312" t="s">
        <v>171</v>
      </c>
      <c r="C111" s="454">
        <f>SUM(C72:C109)</f>
        <v>1693357</v>
      </c>
      <c r="D111" s="454">
        <f>SUM(D72:D109)</f>
        <v>1525662</v>
      </c>
      <c r="E111" s="353">
        <f>SUM(E72:E109)</f>
        <v>1985837</v>
      </c>
      <c r="G111" s="517"/>
      <c r="H111" s="516"/>
      <c r="I111" s="516"/>
      <c r="J111" s="518"/>
    </row>
    <row r="112" spans="2:10" ht="15.75">
      <c r="B112" s="148" t="s">
        <v>285</v>
      </c>
      <c r="C112" s="457">
        <f>C55-C111</f>
        <v>912774</v>
      </c>
      <c r="D112" s="457">
        <f>D55-D111</f>
        <v>470466</v>
      </c>
      <c r="E112" s="221" t="s">
        <v>148</v>
      </c>
      <c r="G112" s="503">
        <f>D112</f>
        <v>470466</v>
      </c>
      <c r="H112" s="501" t="str">
        <f>CONCATENATE("",E1-1," Ending Cash Balance (est.)")</f>
        <v>2012 Ending Cash Balance (est.)</v>
      </c>
      <c r="I112" s="500"/>
      <c r="J112" s="518"/>
    </row>
    <row r="113" spans="2:10" ht="15.75">
      <c r="B113" s="288" t="str">
        <f>CONCATENATE("",E$1-2,"/",E$1-1," Budget Authority Amount:")</f>
        <v>2011/2012 Budget Authority Amount:</v>
      </c>
      <c r="C113" s="280">
        <f>inputOth!$B32</f>
        <v>1796700</v>
      </c>
      <c r="D113" s="280">
        <f>inputPrYr!D18</f>
        <v>1525662</v>
      </c>
      <c r="E113" s="221" t="s">
        <v>148</v>
      </c>
      <c r="F113" s="321"/>
      <c r="G113" s="503">
        <f>E54</f>
        <v>844598</v>
      </c>
      <c r="H113" s="499" t="str">
        <f>CONCATENATE("",E1," Non-AV Receipts (est.)")</f>
        <v>2013 Non-AV Receipts (est.)</v>
      </c>
      <c r="I113" s="500"/>
      <c r="J113" s="518"/>
    </row>
    <row r="114" spans="2:11" ht="15.75">
      <c r="B114" s="288"/>
      <c r="C114" s="772" t="s">
        <v>687</v>
      </c>
      <c r="D114" s="773"/>
      <c r="E114" s="112"/>
      <c r="F114" s="502">
        <f>IF(E111/0.95-E111&lt;E114,"Exceeds 5%","")</f>
      </c>
      <c r="G114" s="498">
        <f>IF(E117&gt;0,E116,E118)</f>
        <v>670773</v>
      </c>
      <c r="H114" s="499" t="str">
        <f>CONCATENATE("",E1," Ad Valorem Tax (est.)")</f>
        <v>2013 Ad Valorem Tax (est.)</v>
      </c>
      <c r="I114" s="500"/>
      <c r="J114" s="518"/>
      <c r="K114" s="666" t="str">
        <f>IF(G114=E118,"","Note: Does not include Delinquent Taxes")</f>
        <v>Note: Does not include Delinquent Taxes</v>
      </c>
    </row>
    <row r="115" spans="2:10" ht="15.75">
      <c r="B115" s="506" t="str">
        <f>CONCATENATE(C129,"     ",D129)</f>
        <v>     </v>
      </c>
      <c r="C115" s="774" t="s">
        <v>688</v>
      </c>
      <c r="D115" s="775"/>
      <c r="E115" s="266">
        <f>E111+E114</f>
        <v>1985837</v>
      </c>
      <c r="G115" s="503">
        <f>SUM(G112:G114)</f>
        <v>1985837</v>
      </c>
      <c r="H115" s="499" t="str">
        <f>CONCATENATE("Total ",E1," Resources Available")</f>
        <v>Total 2013 Resources Available</v>
      </c>
      <c r="I115" s="500"/>
      <c r="J115" s="518"/>
    </row>
    <row r="116" spans="2:10" ht="15.75">
      <c r="B116" s="506" t="str">
        <f>CONCATENATE(C130,"     ",D130)</f>
        <v>     </v>
      </c>
      <c r="C116" s="322"/>
      <c r="D116" s="240" t="s">
        <v>172</v>
      </c>
      <c r="E116" s="120">
        <f>IF(E115-E55&gt;0,E115-E55,0)</f>
        <v>670773</v>
      </c>
      <c r="G116" s="497"/>
      <c r="H116" s="499"/>
      <c r="I116" s="499"/>
      <c r="J116" s="518"/>
    </row>
    <row r="117" spans="2:10" ht="15.75">
      <c r="B117" s="288"/>
      <c r="C117" s="504" t="s">
        <v>689</v>
      </c>
      <c r="D117" s="649">
        <f>inputOth!$E$23</f>
        <v>0.03</v>
      </c>
      <c r="E117" s="266">
        <f>IF(D117&gt;0,(E116*D117),0)</f>
        <v>20123.19</v>
      </c>
      <c r="G117" s="498">
        <f>C111*0.05+C111</f>
        <v>1778024.85</v>
      </c>
      <c r="H117" s="499" t="str">
        <f>CONCATENATE("Less ",E1-2," Expenditures + 5%")</f>
        <v>Less 2011 Expenditures + 5%</v>
      </c>
      <c r="I117" s="500"/>
      <c r="J117" s="518"/>
    </row>
    <row r="118" spans="2:10" ht="15.75">
      <c r="B118" s="85"/>
      <c r="C118" s="780" t="str">
        <f>CONCATENATE("Amount of  ",$E$1-1," Ad Valorem Tax")</f>
        <v>Amount of  2012 Ad Valorem Tax</v>
      </c>
      <c r="D118" s="781"/>
      <c r="E118" s="349">
        <f>E116+E117</f>
        <v>690896.19</v>
      </c>
      <c r="G118" s="496">
        <f>G115-G117</f>
        <v>207812.1499999999</v>
      </c>
      <c r="H118" s="495" t="str">
        <f>CONCATENATE("Projected ",E1," Carryover (est.)")</f>
        <v>Projected 2013 Carryover (est.)</v>
      </c>
      <c r="I118" s="474"/>
      <c r="J118" s="473"/>
    </row>
    <row r="119" spans="2:5" ht="15.75">
      <c r="B119" s="85"/>
      <c r="C119" s="85"/>
      <c r="D119" s="85"/>
      <c r="E119" s="85"/>
    </row>
    <row r="120" spans="2:10" ht="15.75">
      <c r="B120" s="97"/>
      <c r="C120" s="97" t="str">
        <f>CONCATENATE("Page No. ",C57,"a")</f>
        <v>Page No. 9a</v>
      </c>
      <c r="D120" s="354"/>
      <c r="E120" s="354"/>
      <c r="G120" s="785" t="s">
        <v>843</v>
      </c>
      <c r="H120" s="786"/>
      <c r="I120" s="786"/>
      <c r="J120" s="787"/>
    </row>
    <row r="121" spans="7:10" ht="15.75">
      <c r="G121" s="668"/>
      <c r="H121" s="669"/>
      <c r="I121" s="670"/>
      <c r="J121" s="671"/>
    </row>
    <row r="122" spans="7:10" ht="15.75">
      <c r="G122" s="672">
        <f>summ!H18</f>
        <v>5.534</v>
      </c>
      <c r="H122" s="669" t="str">
        <f>CONCATENATE("",E1," Fund Mill Rate")</f>
        <v>2013 Fund Mill Rate</v>
      </c>
      <c r="I122" s="670"/>
      <c r="J122" s="671"/>
    </row>
    <row r="123" spans="7:10" ht="15.75">
      <c r="G123" s="673">
        <f>summ!E18</f>
        <v>1.988</v>
      </c>
      <c r="H123" s="669" t="str">
        <f>CONCATENATE("",E1-1," Fund Mill Rate")</f>
        <v>2012 Fund Mill Rate</v>
      </c>
      <c r="I123" s="670"/>
      <c r="J123" s="671"/>
    </row>
    <row r="124" spans="7:10" ht="15.75">
      <c r="G124" s="674">
        <f>summ!H61</f>
        <v>42.760999999999996</v>
      </c>
      <c r="H124" s="669" t="str">
        <f>CONCATENATE("Total ",E1," Mill Rate")</f>
        <v>Total 2013 Mill Rate</v>
      </c>
      <c r="I124" s="670"/>
      <c r="J124" s="671"/>
    </row>
    <row r="125" spans="7:10" ht="15.75">
      <c r="G125" s="673">
        <f>summ!E61</f>
        <v>43.934999999999995</v>
      </c>
      <c r="H125" s="675" t="str">
        <f>CONCATENATE("Total ",E1-1," Mill Rate")</f>
        <v>Total 2012 Mill Rate</v>
      </c>
      <c r="I125" s="676"/>
      <c r="J125" s="677"/>
    </row>
    <row r="129" spans="3:4" ht="15.75" hidden="1">
      <c r="C129" s="72">
        <f>IF(C111&gt;C113,"See Tab A","")</f>
      </c>
      <c r="D129" s="72">
        <f>IF(D111&gt;D113,"See Tab C","")</f>
      </c>
    </row>
    <row r="130" spans="3:4" ht="15.75" hidden="1">
      <c r="C130" s="72">
        <f>IF(C112&lt;0,"See Tab B","")</f>
      </c>
      <c r="D130" s="72">
        <f>IF(D112&lt;0,"See Tab D","")</f>
      </c>
    </row>
  </sheetData>
  <sheetProtection/>
  <mergeCells count="6">
    <mergeCell ref="C114:D114"/>
    <mergeCell ref="C115:D115"/>
    <mergeCell ref="C118:D118"/>
    <mergeCell ref="G103:J103"/>
    <mergeCell ref="G110:J110"/>
    <mergeCell ref="G120:J120"/>
  </mergeCells>
  <conditionalFormatting sqref="E109">
    <cfRule type="cellIs" priority="2" dxfId="408" operator="greaterThan" stopIfTrue="1">
      <formula>$E$111*0.1</formula>
    </cfRule>
  </conditionalFormatting>
  <conditionalFormatting sqref="E114">
    <cfRule type="cellIs" priority="3" dxfId="408" operator="greaterThan" stopIfTrue="1">
      <formula>$E$111/0.95-$E$111</formula>
    </cfRule>
  </conditionalFormatting>
  <conditionalFormatting sqref="C52">
    <cfRule type="cellIs" priority="4" dxfId="2" operator="greaterThan" stopIfTrue="1">
      <formula>$C$54*0.1</formula>
    </cfRule>
  </conditionalFormatting>
  <conditionalFormatting sqref="D52">
    <cfRule type="cellIs" priority="5" dxfId="2" operator="greaterThan" stopIfTrue="1">
      <formula>$D$54*0.1</formula>
    </cfRule>
  </conditionalFormatting>
  <conditionalFormatting sqref="E52">
    <cfRule type="cellIs" priority="6" dxfId="408" operator="greaterThan" stopIfTrue="1">
      <formula>$E$54*0.1+E118</formula>
    </cfRule>
  </conditionalFormatting>
  <conditionalFormatting sqref="C109">
    <cfRule type="cellIs" priority="7" dxfId="2" operator="greaterThan" stopIfTrue="1">
      <formula>$C$111*0.1</formula>
    </cfRule>
  </conditionalFormatting>
  <conditionalFormatting sqref="D109">
    <cfRule type="cellIs" priority="8" dxfId="2" operator="greaterThan" stopIfTrue="1">
      <formula>$D$111*0.1</formula>
    </cfRule>
  </conditionalFormatting>
  <conditionalFormatting sqref="C111">
    <cfRule type="cellIs" priority="9" dxfId="2" operator="greaterThan" stopIfTrue="1">
      <formula>$C$113</formula>
    </cfRule>
  </conditionalFormatting>
  <conditionalFormatting sqref="C112">
    <cfRule type="cellIs" priority="10" dxfId="2" operator="lessThan" stopIfTrue="1">
      <formula>0</formula>
    </cfRule>
  </conditionalFormatting>
  <conditionalFormatting sqref="D111">
    <cfRule type="cellIs" priority="11" dxfId="2" operator="greaterThan" stopIfTrue="1">
      <formula>$D$113</formula>
    </cfRule>
  </conditionalFormatting>
  <conditionalFormatting sqref="D112">
    <cfRule type="cellIs" priority="1" dxfId="0" operator="lessThan" stopIfTrue="1">
      <formula>0</formula>
    </cfRule>
  </conditionalFormatting>
  <printOptions/>
  <pageMargins left="0.75" right="0.75" top="1" bottom="0.5" header="0.5" footer="0.5"/>
  <pageSetup blackAndWhite="1" fitToHeight="2" horizontalDpi="600" verticalDpi="600" orientation="portrait" scale="73" r:id="rId1"/>
  <headerFooter alignWithMargins="0">
    <oddHeader>&amp;RState of Kansas
County</oddHeader>
  </headerFooter>
  <rowBreaks count="1" manualBreakCount="1">
    <brk id="58" min="1" max="4" man="1"/>
  </rowBreaks>
</worksheet>
</file>

<file path=xl/worksheets/sheet17.xml><?xml version="1.0" encoding="utf-8"?>
<worksheet xmlns="http://schemas.openxmlformats.org/spreadsheetml/2006/main" xmlns:r="http://schemas.openxmlformats.org/officeDocument/2006/relationships">
  <dimension ref="A1:D47"/>
  <sheetViews>
    <sheetView zoomScalePageLayoutView="0" workbookViewId="0" topLeftCell="A10">
      <selection activeCell="D4" sqref="D4"/>
    </sheetView>
  </sheetViews>
  <sheetFormatPr defaultColWidth="8.796875" defaultRowHeight="15"/>
  <cols>
    <col min="1" max="1" width="28.296875" style="72" customWidth="1"/>
    <col min="2" max="3" width="15.796875" style="72" customWidth="1"/>
    <col min="4" max="4" width="16.19921875" style="72" customWidth="1"/>
    <col min="5" max="16384" width="8.8984375" style="72" customWidth="1"/>
  </cols>
  <sheetData>
    <row r="1" spans="1:4" ht="15.75">
      <c r="A1" s="228" t="str">
        <f>inputPrYr!C2</f>
        <v>Rice County</v>
      </c>
      <c r="B1" s="85"/>
      <c r="C1" s="302"/>
      <c r="D1" s="85">
        <f>inputPrYr!C4</f>
        <v>2013</v>
      </c>
    </row>
    <row r="2" spans="1:4" ht="15.75">
      <c r="A2" s="85"/>
      <c r="B2" s="85"/>
      <c r="C2" s="85"/>
      <c r="D2" s="302"/>
    </row>
    <row r="3" spans="1:4" ht="15.75">
      <c r="A3" s="152" t="s">
        <v>241</v>
      </c>
      <c r="B3" s="315"/>
      <c r="C3" s="315"/>
      <c r="D3" s="315"/>
    </row>
    <row r="4" spans="1:4" ht="15.75">
      <c r="A4" s="302" t="s">
        <v>160</v>
      </c>
      <c r="B4" s="703" t="s">
        <v>844</v>
      </c>
      <c r="C4" s="704" t="s">
        <v>845</v>
      </c>
      <c r="D4" s="215" t="s">
        <v>846</v>
      </c>
    </row>
    <row r="5" spans="1:4" ht="18.75" customHeight="1">
      <c r="A5" s="482" t="s">
        <v>685</v>
      </c>
      <c r="B5" s="455" t="str">
        <f>CONCATENATE("Actual for ",D1-2,"")</f>
        <v>Actual for 2011</v>
      </c>
      <c r="C5" s="455" t="str">
        <f>CONCATENATE("Estimate for ",D1-1,"")</f>
        <v>Estimate for 2012</v>
      </c>
      <c r="D5" s="303" t="str">
        <f>CONCATENATE("Year for ",D1,"")</f>
        <v>Year for 2013</v>
      </c>
    </row>
    <row r="6" spans="1:4" ht="15.75">
      <c r="A6" s="263" t="s">
        <v>170</v>
      </c>
      <c r="B6" s="316"/>
      <c r="C6" s="316"/>
      <c r="D6" s="303"/>
    </row>
    <row r="7" spans="1:4" ht="15.75">
      <c r="A7" s="325"/>
      <c r="B7" s="127"/>
      <c r="C7" s="127"/>
      <c r="D7" s="127"/>
    </row>
    <row r="8" spans="1:4" ht="15.75">
      <c r="A8" s="110" t="s">
        <v>176</v>
      </c>
      <c r="B8" s="307"/>
      <c r="C8" s="307"/>
      <c r="D8" s="307"/>
    </row>
    <row r="9" spans="1:4" ht="15.75">
      <c r="A9" s="110" t="s">
        <v>177</v>
      </c>
      <c r="B9" s="307"/>
      <c r="C9" s="307"/>
      <c r="D9" s="307"/>
    </row>
    <row r="10" spans="1:4" ht="15.75">
      <c r="A10" s="110" t="s">
        <v>178</v>
      </c>
      <c r="B10" s="307"/>
      <c r="C10" s="307"/>
      <c r="D10" s="307"/>
    </row>
    <row r="11" spans="1:4" ht="15.75">
      <c r="A11" s="110" t="s">
        <v>179</v>
      </c>
      <c r="B11" s="307"/>
      <c r="C11" s="307"/>
      <c r="D11" s="307"/>
    </row>
    <row r="12" spans="1:4" ht="15.75">
      <c r="A12" s="263" t="s">
        <v>132</v>
      </c>
      <c r="B12" s="320">
        <f>SUM(B8:B11)</f>
        <v>0</v>
      </c>
      <c r="C12" s="320">
        <f>SUM(C8:C11)</f>
        <v>0</v>
      </c>
      <c r="D12" s="320">
        <f>SUM(D8:D11)</f>
        <v>0</v>
      </c>
    </row>
    <row r="13" spans="1:4" ht="15.75">
      <c r="A13" s="325"/>
      <c r="B13" s="127"/>
      <c r="C13" s="127"/>
      <c r="D13" s="127"/>
    </row>
    <row r="14" spans="1:4" ht="15.75">
      <c r="A14" s="110" t="s">
        <v>176</v>
      </c>
      <c r="B14" s="307"/>
      <c r="C14" s="307"/>
      <c r="D14" s="307"/>
    </row>
    <row r="15" spans="1:4" ht="15.75">
      <c r="A15" s="110" t="s">
        <v>177</v>
      </c>
      <c r="B15" s="307"/>
      <c r="C15" s="307"/>
      <c r="D15" s="307"/>
    </row>
    <row r="16" spans="1:4" ht="15.75">
      <c r="A16" s="110" t="s">
        <v>178</v>
      </c>
      <c r="B16" s="307"/>
      <c r="C16" s="307"/>
      <c r="D16" s="307"/>
    </row>
    <row r="17" spans="1:4" ht="15.75">
      <c r="A17" s="110" t="s">
        <v>179</v>
      </c>
      <c r="B17" s="307"/>
      <c r="C17" s="307"/>
      <c r="D17" s="307"/>
    </row>
    <row r="18" spans="1:4" ht="15.75">
      <c r="A18" s="263" t="s">
        <v>132</v>
      </c>
      <c r="B18" s="320">
        <f>SUM(B14:B17)</f>
        <v>0</v>
      </c>
      <c r="C18" s="320">
        <f>SUM(C14:C17)</f>
        <v>0</v>
      </c>
      <c r="D18" s="320">
        <f>SUM(D14:D17)</f>
        <v>0</v>
      </c>
    </row>
    <row r="19" spans="1:4" ht="15.75">
      <c r="A19" s="325"/>
      <c r="B19" s="127"/>
      <c r="C19" s="127"/>
      <c r="D19" s="127"/>
    </row>
    <row r="20" spans="1:4" ht="15.75">
      <c r="A20" s="110" t="s">
        <v>176</v>
      </c>
      <c r="B20" s="307"/>
      <c r="C20" s="307"/>
      <c r="D20" s="307"/>
    </row>
    <row r="21" spans="1:4" ht="15.75">
      <c r="A21" s="110" t="s">
        <v>177</v>
      </c>
      <c r="B21" s="307"/>
      <c r="C21" s="307"/>
      <c r="D21" s="307"/>
    </row>
    <row r="22" spans="1:4" ht="15.75">
      <c r="A22" s="110" t="s">
        <v>178</v>
      </c>
      <c r="B22" s="307"/>
      <c r="C22" s="307"/>
      <c r="D22" s="307"/>
    </row>
    <row r="23" spans="1:4" ht="15.75">
      <c r="A23" s="110" t="s">
        <v>179</v>
      </c>
      <c r="B23" s="147"/>
      <c r="C23" s="147"/>
      <c r="D23" s="147"/>
    </row>
    <row r="24" spans="1:4" ht="15.75">
      <c r="A24" s="263" t="s">
        <v>132</v>
      </c>
      <c r="B24" s="320">
        <f>SUM(B20:B23)</f>
        <v>0</v>
      </c>
      <c r="C24" s="320">
        <f>SUM(C20:C23)</f>
        <v>0</v>
      </c>
      <c r="D24" s="320">
        <f>SUM(D20:D23)</f>
        <v>0</v>
      </c>
    </row>
    <row r="25" spans="1:4" ht="15.75">
      <c r="A25" s="325"/>
      <c r="B25" s="127"/>
      <c r="C25" s="127"/>
      <c r="D25" s="127"/>
    </row>
    <row r="26" spans="1:4" ht="15.75">
      <c r="A26" s="110" t="s">
        <v>176</v>
      </c>
      <c r="B26" s="307"/>
      <c r="C26" s="307"/>
      <c r="D26" s="307"/>
    </row>
    <row r="27" spans="1:4" ht="15.75">
      <c r="A27" s="110" t="s">
        <v>177</v>
      </c>
      <c r="B27" s="307"/>
      <c r="C27" s="307"/>
      <c r="D27" s="307"/>
    </row>
    <row r="28" spans="1:4" ht="15.75">
      <c r="A28" s="110" t="s">
        <v>178</v>
      </c>
      <c r="B28" s="307"/>
      <c r="C28" s="307"/>
      <c r="D28" s="307"/>
    </row>
    <row r="29" spans="1:4" ht="15.75">
      <c r="A29" s="110" t="s">
        <v>179</v>
      </c>
      <c r="B29" s="307"/>
      <c r="C29" s="307"/>
      <c r="D29" s="307"/>
    </row>
    <row r="30" spans="1:4" ht="15.75">
      <c r="A30" s="263" t="s">
        <v>132</v>
      </c>
      <c r="B30" s="320">
        <f>SUM(B26:B29)</f>
        <v>0</v>
      </c>
      <c r="C30" s="320">
        <f>SUM(C26:C29)</f>
        <v>0</v>
      </c>
      <c r="D30" s="320">
        <f>SUM(D26:D29)</f>
        <v>0</v>
      </c>
    </row>
    <row r="31" spans="1:4" ht="15.75">
      <c r="A31" s="325"/>
      <c r="B31" s="127"/>
      <c r="C31" s="127"/>
      <c r="D31" s="127"/>
    </row>
    <row r="32" spans="1:4" ht="15.75">
      <c r="A32" s="110" t="s">
        <v>176</v>
      </c>
      <c r="B32" s="307"/>
      <c r="C32" s="307"/>
      <c r="D32" s="307"/>
    </row>
    <row r="33" spans="1:4" ht="15.75">
      <c r="A33" s="110" t="s">
        <v>177</v>
      </c>
      <c r="B33" s="307"/>
      <c r="C33" s="307"/>
      <c r="D33" s="307"/>
    </row>
    <row r="34" spans="1:4" ht="15.75">
      <c r="A34" s="110" t="s">
        <v>178</v>
      </c>
      <c r="B34" s="307"/>
      <c r="C34" s="307"/>
      <c r="D34" s="307"/>
    </row>
    <row r="35" spans="1:4" ht="15.75">
      <c r="A35" s="110" t="s">
        <v>179</v>
      </c>
      <c r="B35" s="307"/>
      <c r="C35" s="307"/>
      <c r="D35" s="307"/>
    </row>
    <row r="36" spans="1:4" ht="15.75">
      <c r="A36" s="263" t="s">
        <v>132</v>
      </c>
      <c r="B36" s="320">
        <f>SUM(B32:B35)</f>
        <v>0</v>
      </c>
      <c r="C36" s="320">
        <f>SUM(C32:C35)</f>
        <v>0</v>
      </c>
      <c r="D36" s="320">
        <f>SUM(D32:D35)</f>
        <v>0</v>
      </c>
    </row>
    <row r="37" spans="1:4" ht="15.75">
      <c r="A37" s="325"/>
      <c r="B37" s="127"/>
      <c r="C37" s="127"/>
      <c r="D37" s="127"/>
    </row>
    <row r="38" spans="1:4" ht="15.75">
      <c r="A38" s="110" t="s">
        <v>176</v>
      </c>
      <c r="B38" s="307"/>
      <c r="C38" s="307"/>
      <c r="D38" s="307"/>
    </row>
    <row r="39" spans="1:4" ht="15.75">
      <c r="A39" s="110" t="s">
        <v>177</v>
      </c>
      <c r="B39" s="307"/>
      <c r="C39" s="307"/>
      <c r="D39" s="307"/>
    </row>
    <row r="40" spans="1:4" ht="15.75">
      <c r="A40" s="110" t="s">
        <v>178</v>
      </c>
      <c r="B40" s="307"/>
      <c r="C40" s="307"/>
      <c r="D40" s="307"/>
    </row>
    <row r="41" spans="1:4" ht="15.75">
      <c r="A41" s="110" t="s">
        <v>179</v>
      </c>
      <c r="B41" s="307"/>
      <c r="C41" s="307"/>
      <c r="D41" s="307"/>
    </row>
    <row r="42" spans="1:4" ht="15.75">
      <c r="A42" s="263" t="s">
        <v>132</v>
      </c>
      <c r="B42" s="320">
        <f>SUM(B38:B41)</f>
        <v>0</v>
      </c>
      <c r="C42" s="320">
        <f>SUM(C38:C41)</f>
        <v>0</v>
      </c>
      <c r="D42" s="320">
        <f>SUM(D38:D41)</f>
        <v>0</v>
      </c>
    </row>
    <row r="43" spans="1:4" ht="15.75">
      <c r="A43" s="108" t="s">
        <v>34</v>
      </c>
      <c r="B43" s="318">
        <f>SUM(B12+B18+B24+B30+B36+B42)</f>
        <v>0</v>
      </c>
      <c r="C43" s="318">
        <f>SUM(C12+C18+C24+C30+C36+C42)</f>
        <v>0</v>
      </c>
      <c r="D43" s="318">
        <f>SUM(D12+D18+D24+D30+D36+D42)</f>
        <v>0</v>
      </c>
    </row>
    <row r="44" spans="1:4" ht="15.75">
      <c r="A44" s="356" t="s">
        <v>33</v>
      </c>
      <c r="B44" s="300"/>
      <c r="C44" s="357"/>
      <c r="D44" s="228"/>
    </row>
    <row r="45" spans="1:4" ht="15.75">
      <c r="A45" s="85"/>
      <c r="B45" s="85"/>
      <c r="C45" s="85"/>
      <c r="D45" s="85"/>
    </row>
    <row r="46" spans="1:4" ht="15.75">
      <c r="A46" s="85"/>
      <c r="B46" s="85"/>
      <c r="C46" s="85"/>
      <c r="D46" s="85"/>
    </row>
    <row r="47" spans="1:4" ht="15.75">
      <c r="A47" s="85"/>
      <c r="B47" s="101" t="str">
        <f>CONCATENATE("Page No.",road!C57,"b")</f>
        <v>Page No.9b</v>
      </c>
      <c r="C47" s="85"/>
      <c r="D47" s="85"/>
    </row>
  </sheetData>
  <sheetProtection sheet="1"/>
  <printOptions/>
  <pageMargins left="1.12" right="0.5" top="0.74" bottom="0.34" header="0.5" footer="0"/>
  <pageSetup blackAndWhite="1" horizontalDpi="300" verticalDpi="300" orientation="portrait" scale="75"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B1" sqref="B1"/>
    </sheetView>
  </sheetViews>
  <sheetFormatPr defaultColWidth="8.796875" defaultRowHeight="15"/>
  <cols>
    <col min="1" max="1" width="2.3984375" style="72" customWidth="1"/>
    <col min="2" max="2" width="31.09765625" style="72" customWidth="1"/>
    <col min="3" max="4" width="15.796875" style="72" customWidth="1"/>
    <col min="5" max="5" width="16.09765625" style="72" customWidth="1"/>
    <col min="6" max="6" width="7.3984375" style="72" customWidth="1"/>
    <col min="7" max="7" width="10.19921875" style="72" customWidth="1"/>
    <col min="8" max="8" width="8.8984375" style="72" customWidth="1"/>
    <col min="9" max="9" width="5" style="72" customWidth="1"/>
    <col min="10" max="10" width="10" style="72" customWidth="1"/>
    <col min="11"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242</v>
      </c>
      <c r="C3" s="334"/>
      <c r="D3" s="334"/>
      <c r="E3" s="335"/>
    </row>
    <row r="4" spans="2:5" ht="15.75">
      <c r="B4" s="84" t="s">
        <v>160</v>
      </c>
      <c r="C4" s="703" t="s">
        <v>844</v>
      </c>
      <c r="D4" s="704" t="s">
        <v>845</v>
      </c>
      <c r="E4" s="215" t="s">
        <v>846</v>
      </c>
    </row>
    <row r="5" spans="2:5" ht="15.75">
      <c r="B5" s="484" t="str">
        <f>inputPrYr!B19</f>
        <v>Employee Benefits</v>
      </c>
      <c r="C5" s="455" t="str">
        <f>CONCATENATE("Actual for ",E1-2,"")</f>
        <v>Actual for 2011</v>
      </c>
      <c r="D5" s="455" t="str">
        <f>CONCATENATE("Estimate for ",E1-1,"")</f>
        <v>Estimate for 2012</v>
      </c>
      <c r="E5" s="303" t="str">
        <f>CONCATENATE("Year for ",E1,"")</f>
        <v>Year for 2013</v>
      </c>
    </row>
    <row r="6" spans="2:5" ht="15.75">
      <c r="B6" s="148" t="s">
        <v>284</v>
      </c>
      <c r="C6" s="452">
        <v>205087</v>
      </c>
      <c r="D6" s="456">
        <f>C34</f>
        <v>148421</v>
      </c>
      <c r="E6" s="266">
        <f>D34</f>
        <v>0</v>
      </c>
    </row>
    <row r="7" spans="2:5" ht="15.75">
      <c r="B7" s="291" t="s">
        <v>286</v>
      </c>
      <c r="C7" s="306"/>
      <c r="D7" s="306"/>
      <c r="E7" s="127"/>
    </row>
    <row r="8" spans="2:5" ht="15.75">
      <c r="B8" s="148" t="s">
        <v>161</v>
      </c>
      <c r="C8" s="452">
        <v>1031398</v>
      </c>
      <c r="D8" s="456">
        <f>IF(inputPrYr!H19&gt;0,inputPrYr!H19,inputPrYr!E19)</f>
        <v>1070867</v>
      </c>
      <c r="E8" s="338" t="s">
        <v>148</v>
      </c>
    </row>
    <row r="9" spans="2:5" ht="15.75">
      <c r="B9" s="148" t="s">
        <v>162</v>
      </c>
      <c r="C9" s="452">
        <v>22155</v>
      </c>
      <c r="D9" s="452"/>
      <c r="E9" s="112"/>
    </row>
    <row r="10" spans="2:5" ht="15.75">
      <c r="B10" s="148" t="s">
        <v>163</v>
      </c>
      <c r="C10" s="452">
        <v>74408</v>
      </c>
      <c r="D10" s="452">
        <v>83621</v>
      </c>
      <c r="E10" s="266">
        <f>mvalloc!E10</f>
        <v>82462</v>
      </c>
    </row>
    <row r="11" spans="2:5" ht="15.75">
      <c r="B11" s="148" t="s">
        <v>164</v>
      </c>
      <c r="C11" s="452">
        <v>1505</v>
      </c>
      <c r="D11" s="452">
        <v>1754</v>
      </c>
      <c r="E11" s="266">
        <f>mvalloc!F10</f>
        <v>1668</v>
      </c>
    </row>
    <row r="12" spans="2:5" ht="15.75">
      <c r="B12" s="306" t="s">
        <v>233</v>
      </c>
      <c r="C12" s="452">
        <v>3596</v>
      </c>
      <c r="D12" s="452">
        <v>2838</v>
      </c>
      <c r="E12" s="266">
        <f>mvalloc!G10</f>
        <v>5218</v>
      </c>
    </row>
    <row r="13" spans="2:5" ht="15.75">
      <c r="B13" s="319" t="s">
        <v>999</v>
      </c>
      <c r="C13" s="452">
        <v>152488</v>
      </c>
      <c r="D13" s="452">
        <v>0</v>
      </c>
      <c r="E13" s="112">
        <v>0</v>
      </c>
    </row>
    <row r="14" spans="2:5" ht="15.75">
      <c r="B14" s="319" t="s">
        <v>1000</v>
      </c>
      <c r="C14" s="452">
        <v>1187</v>
      </c>
      <c r="D14" s="452">
        <v>1000</v>
      </c>
      <c r="E14" s="112"/>
    </row>
    <row r="15" spans="2:5" ht="15.75">
      <c r="B15" s="319" t="s">
        <v>1046</v>
      </c>
      <c r="C15" s="452">
        <v>-19334</v>
      </c>
      <c r="D15" s="452"/>
      <c r="E15" s="112"/>
    </row>
    <row r="16" spans="2:5" ht="15.75">
      <c r="B16" s="319"/>
      <c r="C16" s="452"/>
      <c r="D16" s="452"/>
      <c r="E16" s="112"/>
    </row>
    <row r="17" spans="2:5" ht="15.75">
      <c r="B17" s="309" t="s">
        <v>165</v>
      </c>
      <c r="C17" s="452"/>
      <c r="D17" s="452"/>
      <c r="E17" s="112"/>
    </row>
    <row r="18" spans="2:5" ht="15.75">
      <c r="B18" s="310" t="s">
        <v>75</v>
      </c>
      <c r="C18" s="452">
        <v>1436</v>
      </c>
      <c r="D18" s="452"/>
      <c r="E18" s="112"/>
    </row>
    <row r="19" spans="2:5" ht="15.75">
      <c r="B19" s="310" t="s">
        <v>684</v>
      </c>
      <c r="C19" s="453">
        <f>IF(C20*0.1&lt;C18,"Exceed 10% Rule","")</f>
      </c>
      <c r="D19" s="453">
        <f>IF(D20*0.1&lt;D18,"Exceed 10% Rule","")</f>
      </c>
      <c r="E19" s="345">
        <f>IF(E20*0.1+E40&lt;E18,"Exceed 10% Rule","")</f>
      </c>
    </row>
    <row r="20" spans="2:5" ht="15.75">
      <c r="B20" s="312" t="s">
        <v>166</v>
      </c>
      <c r="C20" s="454">
        <f>SUM(C8:C18)</f>
        <v>1268839</v>
      </c>
      <c r="D20" s="454">
        <f>SUM(D8:D18)</f>
        <v>1160080</v>
      </c>
      <c r="E20" s="353">
        <f>SUM(E8:E18)</f>
        <v>89348</v>
      </c>
    </row>
    <row r="21" spans="2:5" ht="15.75">
      <c r="B21" s="312" t="s">
        <v>167</v>
      </c>
      <c r="C21" s="454">
        <f>C6+C20</f>
        <v>1473926</v>
      </c>
      <c r="D21" s="454">
        <f>D6+D20</f>
        <v>1308501</v>
      </c>
      <c r="E21" s="353">
        <f>E6+E20</f>
        <v>89348</v>
      </c>
    </row>
    <row r="22" spans="2:5" ht="15.75">
      <c r="B22" s="148" t="s">
        <v>170</v>
      </c>
      <c r="C22" s="310"/>
      <c r="D22" s="310"/>
      <c r="E22" s="108"/>
    </row>
    <row r="23" spans="2:5" ht="15.75">
      <c r="B23" s="319" t="s">
        <v>1001</v>
      </c>
      <c r="C23" s="452">
        <v>201224</v>
      </c>
      <c r="D23" s="452">
        <v>210000</v>
      </c>
      <c r="E23" s="112">
        <v>225000</v>
      </c>
    </row>
    <row r="24" spans="2:10" ht="15.75">
      <c r="B24" s="319" t="s">
        <v>1002</v>
      </c>
      <c r="C24" s="452">
        <v>1658</v>
      </c>
      <c r="D24" s="452">
        <v>10000</v>
      </c>
      <c r="E24" s="112">
        <v>12000</v>
      </c>
      <c r="G24" s="782" t="str">
        <f>CONCATENATE("Desired Carryover Into ",E1+1,"")</f>
        <v>Desired Carryover Into 2014</v>
      </c>
      <c r="H24" s="783"/>
      <c r="I24" s="783"/>
      <c r="J24" s="784"/>
    </row>
    <row r="25" spans="2:10" ht="15.75">
      <c r="B25" s="319" t="s">
        <v>1003</v>
      </c>
      <c r="C25" s="452">
        <v>850294</v>
      </c>
      <c r="D25" s="452">
        <v>759364</v>
      </c>
      <c r="E25" s="112">
        <v>875000</v>
      </c>
      <c r="G25" s="650"/>
      <c r="H25" s="651"/>
      <c r="I25" s="652"/>
      <c r="J25" s="653"/>
    </row>
    <row r="26" spans="2:10" ht="15.75">
      <c r="B26" s="319" t="s">
        <v>1004</v>
      </c>
      <c r="C26" s="452">
        <v>202998</v>
      </c>
      <c r="D26" s="452">
        <v>215000</v>
      </c>
      <c r="E26" s="112">
        <v>220000</v>
      </c>
      <c r="G26" s="654" t="s">
        <v>690</v>
      </c>
      <c r="H26" s="652"/>
      <c r="I26" s="652"/>
      <c r="J26" s="655">
        <v>0</v>
      </c>
    </row>
    <row r="27" spans="2:10" ht="15.75">
      <c r="B27" s="319" t="s">
        <v>983</v>
      </c>
      <c r="C27" s="452">
        <v>49997</v>
      </c>
      <c r="D27" s="452">
        <v>90000</v>
      </c>
      <c r="E27" s="112">
        <v>90000</v>
      </c>
      <c r="G27" s="650" t="s">
        <v>691</v>
      </c>
      <c r="H27" s="651"/>
      <c r="I27" s="651"/>
      <c r="J27" s="656">
        <f>IF(J26=0,"",ROUND((J26+E40-G39)/inputOth!E6*1000,3)-G44)</f>
      </c>
    </row>
    <row r="28" spans="2:10" ht="15.75">
      <c r="B28" s="319"/>
      <c r="C28" s="452"/>
      <c r="D28" s="452"/>
      <c r="E28" s="112"/>
      <c r="G28" s="657" t="str">
        <f>CONCATENATE("",E1," Tot Exp/Non-Appr Must Be:")</f>
        <v>2013 Tot Exp/Non-Appr Must Be:</v>
      </c>
      <c r="H28" s="658"/>
      <c r="I28" s="659"/>
      <c r="J28" s="660">
        <f>IF(J26&gt;0,IF(E37&lt;E21,IF(J26=G39,E37,((J26-G39)*(1-D39))+E21),E37+(J26-G39)),0)</f>
        <v>0</v>
      </c>
    </row>
    <row r="29" spans="2:10" ht="15.75">
      <c r="B29" s="319"/>
      <c r="C29" s="452"/>
      <c r="D29" s="452"/>
      <c r="E29" s="112"/>
      <c r="G29" s="661" t="s">
        <v>842</v>
      </c>
      <c r="H29" s="662"/>
      <c r="I29" s="662"/>
      <c r="J29" s="663">
        <f>IF(J26&gt;0,J28-E37,0)</f>
        <v>0</v>
      </c>
    </row>
    <row r="30" spans="2:10" ht="15.75">
      <c r="B30" s="310" t="s">
        <v>77</v>
      </c>
      <c r="C30" s="452">
        <v>19334</v>
      </c>
      <c r="D30" s="452">
        <v>24137</v>
      </c>
      <c r="E30" s="120">
        <f>Nhood!E9</f>
        <v>27697</v>
      </c>
      <c r="G30" s="1"/>
      <c r="H30" s="1"/>
      <c r="I30" s="1"/>
      <c r="J30" s="1"/>
    </row>
    <row r="31" spans="2:10" ht="15.75">
      <c r="B31" s="310" t="s">
        <v>75</v>
      </c>
      <c r="C31" s="452"/>
      <c r="D31" s="452"/>
      <c r="E31" s="112"/>
      <c r="G31" s="782" t="str">
        <f>CONCATENATE("Projected Carryover Into ",E1+1,"")</f>
        <v>Projected Carryover Into 2014</v>
      </c>
      <c r="H31" s="789"/>
      <c r="I31" s="789"/>
      <c r="J31" s="790"/>
    </row>
    <row r="32" spans="2:10" ht="15.75">
      <c r="B32" s="310" t="s">
        <v>683</v>
      </c>
      <c r="C32" s="453">
        <f>IF(C33*0.1&lt;C31,"Exceed 10% Rule","")</f>
      </c>
      <c r="D32" s="453">
        <f>IF(D33*0.1&lt;D31,"Exceed 10% Rule","")</f>
      </c>
      <c r="E32" s="345">
        <f>IF(E33*0.1&lt;E31,"Exceed 10% Rule","")</f>
      </c>
      <c r="G32" s="650"/>
      <c r="H32" s="652"/>
      <c r="I32" s="652"/>
      <c r="J32" s="678"/>
    </row>
    <row r="33" spans="2:10" ht="15.75">
      <c r="B33" s="312" t="s">
        <v>171</v>
      </c>
      <c r="C33" s="454">
        <f>SUM(C23:C31)</f>
        <v>1325505</v>
      </c>
      <c r="D33" s="454">
        <f>SUM(D23:D31)</f>
        <v>1308501</v>
      </c>
      <c r="E33" s="353">
        <f>SUM(E23:E31)</f>
        <v>1449697</v>
      </c>
      <c r="G33" s="679">
        <f>D34</f>
        <v>0</v>
      </c>
      <c r="H33" s="669" t="str">
        <f>CONCATENATE("",E1-1," Ending Cash Balance (est.)")</f>
        <v>2012 Ending Cash Balance (est.)</v>
      </c>
      <c r="I33" s="680"/>
      <c r="J33" s="678"/>
    </row>
    <row r="34" spans="2:10" ht="15.75">
      <c r="B34" s="148" t="s">
        <v>285</v>
      </c>
      <c r="C34" s="457">
        <f>C21-C33</f>
        <v>148421</v>
      </c>
      <c r="D34" s="457">
        <f>D21-D33</f>
        <v>0</v>
      </c>
      <c r="E34" s="338" t="s">
        <v>148</v>
      </c>
      <c r="G34" s="679">
        <f>E20</f>
        <v>89348</v>
      </c>
      <c r="H34" s="652" t="str">
        <f>CONCATENATE("",E1," Non-AV Receipts (est.)")</f>
        <v>2013 Non-AV Receipts (est.)</v>
      </c>
      <c r="I34" s="680"/>
      <c r="J34" s="678"/>
    </row>
    <row r="35" spans="2:11" ht="15.75">
      <c r="B35" s="288" t="str">
        <f>CONCATENATE("",E$1-2,"/",E$1-1," Budget Authority Amount:")</f>
        <v>2011/2012 Budget Authority Amount:</v>
      </c>
      <c r="C35" s="280">
        <f>inputOth!B33</f>
        <v>1400000</v>
      </c>
      <c r="D35" s="280">
        <f>inputPrYr!D19</f>
        <v>1325000</v>
      </c>
      <c r="E35" s="338" t="s">
        <v>148</v>
      </c>
      <c r="F35" s="321"/>
      <c r="G35" s="681">
        <f>IF(E39&gt;0,E38,E40)</f>
        <v>1360349</v>
      </c>
      <c r="H35" s="652" t="str">
        <f>CONCATENATE("",E1," Ad Valorem Tax (est.)")</f>
        <v>2013 Ad Valorem Tax (est.)</v>
      </c>
      <c r="I35" s="680"/>
      <c r="J35" s="678"/>
      <c r="K35" s="666" t="str">
        <f>IF(G35=E40,"","Note: Does not include Delinquent Taxes")</f>
        <v>Note: Does not include Delinquent Taxes</v>
      </c>
    </row>
    <row r="36" spans="2:10" ht="15.75">
      <c r="B36" s="288"/>
      <c r="C36" s="772" t="s">
        <v>687</v>
      </c>
      <c r="D36" s="773"/>
      <c r="E36" s="112"/>
      <c r="F36" s="502">
        <f>IF(E33/0.95-E33&lt;E36,"Exceeds 5%","")</f>
      </c>
      <c r="G36" s="679">
        <f>SUM(G33:G35)</f>
        <v>1449697</v>
      </c>
      <c r="H36" s="652" t="str">
        <f>CONCATENATE("Total ",E1," Resources Available")</f>
        <v>Total 2013 Resources Available</v>
      </c>
      <c r="I36" s="680"/>
      <c r="J36" s="678"/>
    </row>
    <row r="37" spans="2:10" ht="15.75">
      <c r="B37" s="506" t="str">
        <f>CONCATENATE(C91,"     ",D91)</f>
        <v>     </v>
      </c>
      <c r="C37" s="774" t="s">
        <v>688</v>
      </c>
      <c r="D37" s="775"/>
      <c r="E37" s="266">
        <f>E33+E36</f>
        <v>1449697</v>
      </c>
      <c r="G37" s="682"/>
      <c r="H37" s="652"/>
      <c r="I37" s="652"/>
      <c r="J37" s="678"/>
    </row>
    <row r="38" spans="2:10" ht="15.75">
      <c r="B38" s="506" t="str">
        <f>CONCATENATE(C92,"     ",D92)</f>
        <v>     </v>
      </c>
      <c r="C38" s="322"/>
      <c r="D38" s="240" t="s">
        <v>172</v>
      </c>
      <c r="E38" s="120">
        <f>IF(E37-E21&gt;0,E37-E21,0)</f>
        <v>1360349</v>
      </c>
      <c r="G38" s="681">
        <f>ROUND(C33*0.05+C33,0)</f>
        <v>1391780</v>
      </c>
      <c r="H38" s="652" t="str">
        <f>CONCATENATE("Less ",E1-2," Expenditures + 5%")</f>
        <v>Less 2011 Expenditures + 5%</v>
      </c>
      <c r="I38" s="680"/>
      <c r="J38" s="683"/>
    </row>
    <row r="39" spans="2:10" ht="15.75">
      <c r="B39" s="240"/>
      <c r="C39" s="504" t="s">
        <v>689</v>
      </c>
      <c r="D39" s="649">
        <f>inputOth!$E$23</f>
        <v>0.03</v>
      </c>
      <c r="E39" s="266">
        <f>ROUND(IF(D39&gt;0,($E$38*D39),0),0)</f>
        <v>40810</v>
      </c>
      <c r="G39" s="684">
        <f>G36-G38</f>
        <v>57917</v>
      </c>
      <c r="H39" s="685" t="str">
        <f>CONCATENATE("Projected ",E1+1," carryover (est.)")</f>
        <v>Projected 2014 carryover (est.)</v>
      </c>
      <c r="I39" s="686"/>
      <c r="J39" s="687"/>
    </row>
    <row r="40" spans="2:10" ht="15.75">
      <c r="B40" s="85"/>
      <c r="C40" s="780" t="str">
        <f>CONCATENATE("Amount of  ",$E$1-1," Ad Valorem Tax")</f>
        <v>Amount of  2012 Ad Valorem Tax</v>
      </c>
      <c r="D40" s="781"/>
      <c r="E40" s="349">
        <f>E38+E39</f>
        <v>1401159</v>
      </c>
      <c r="G40" s="1"/>
      <c r="H40" s="1"/>
      <c r="I40" s="1"/>
      <c r="J40" s="1"/>
    </row>
    <row r="41" spans="2:10" ht="15.75">
      <c r="B41" s="85"/>
      <c r="C41" s="328"/>
      <c r="D41" s="328"/>
      <c r="E41" s="328"/>
      <c r="G41" s="785" t="s">
        <v>843</v>
      </c>
      <c r="H41" s="786"/>
      <c r="I41" s="786"/>
      <c r="J41" s="787"/>
    </row>
    <row r="42" spans="2:10" ht="15.75">
      <c r="B42" s="84" t="s">
        <v>160</v>
      </c>
      <c r="C42" s="703" t="str">
        <f aca="true" t="shared" si="0" ref="C42:E43">C4</f>
        <v>Prior Year </v>
      </c>
      <c r="D42" s="704" t="str">
        <f t="shared" si="0"/>
        <v>Current Year </v>
      </c>
      <c r="E42" s="215" t="str">
        <f t="shared" si="0"/>
        <v>Proposed Budget </v>
      </c>
      <c r="G42" s="668"/>
      <c r="H42" s="669"/>
      <c r="I42" s="670"/>
      <c r="J42" s="671"/>
    </row>
    <row r="43" spans="2:10" ht="15.75">
      <c r="B43" s="483" t="str">
        <f>(inputPrYr!B20)</f>
        <v>Emergency Medical Services</v>
      </c>
      <c r="C43" s="455" t="str">
        <f t="shared" si="0"/>
        <v>Actual for 2011</v>
      </c>
      <c r="D43" s="455" t="str">
        <f t="shared" si="0"/>
        <v>Estimate for 2012</v>
      </c>
      <c r="E43" s="303" t="str">
        <f t="shared" si="0"/>
        <v>Year for 2013</v>
      </c>
      <c r="G43" s="672">
        <f>summ!H19</f>
        <v>11.222</v>
      </c>
      <c r="H43" s="669" t="str">
        <f>CONCATENATE("",E1," Fund Mill Rate")</f>
        <v>2013 Fund Mill Rate</v>
      </c>
      <c r="I43" s="670"/>
      <c r="J43" s="671"/>
    </row>
    <row r="44" spans="2:10" ht="15.75">
      <c r="B44" s="148" t="s">
        <v>284</v>
      </c>
      <c r="C44" s="452">
        <v>130545</v>
      </c>
      <c r="D44" s="456">
        <f>C74</f>
        <v>167164</v>
      </c>
      <c r="E44" s="266">
        <f>D74</f>
        <v>131742</v>
      </c>
      <c r="G44" s="673">
        <f>summ!E19</f>
        <v>8.94</v>
      </c>
      <c r="H44" s="669" t="str">
        <f>CONCATENATE("",E1-1," Fund Mill Rate")</f>
        <v>2012 Fund Mill Rate</v>
      </c>
      <c r="I44" s="670"/>
      <c r="J44" s="671"/>
    </row>
    <row r="45" spans="2:10" ht="15.75">
      <c r="B45" s="304" t="s">
        <v>286</v>
      </c>
      <c r="C45" s="306"/>
      <c r="D45" s="306"/>
      <c r="E45" s="127"/>
      <c r="G45" s="674">
        <f>summ!H61</f>
        <v>42.760999999999996</v>
      </c>
      <c r="H45" s="669" t="str">
        <f>CONCATENATE("Total ",E1," Mill Rate")</f>
        <v>Total 2013 Mill Rate</v>
      </c>
      <c r="I45" s="670"/>
      <c r="J45" s="671"/>
    </row>
    <row r="46" spans="2:10" ht="15.75">
      <c r="B46" s="148" t="s">
        <v>161</v>
      </c>
      <c r="C46" s="452">
        <v>160655</v>
      </c>
      <c r="D46" s="456">
        <f>IF(inputPrYr!H20&gt;0,inputPrYr!H20,inputPrYr!E20)</f>
        <v>181783</v>
      </c>
      <c r="E46" s="338" t="s">
        <v>148</v>
      </c>
      <c r="G46" s="673">
        <f>summ!E61</f>
        <v>43.934999999999995</v>
      </c>
      <c r="H46" s="675" t="str">
        <f>CONCATENATE("Total ",E1-1," Mill Rate")</f>
        <v>Total 2012 Mill Rate</v>
      </c>
      <c r="I46" s="676"/>
      <c r="J46" s="677"/>
    </row>
    <row r="47" spans="2:10" ht="15.75">
      <c r="B47" s="148" t="s">
        <v>162</v>
      </c>
      <c r="C47" s="452">
        <v>4074</v>
      </c>
      <c r="D47" s="452"/>
      <c r="E47" s="112"/>
      <c r="G47" s="1"/>
      <c r="H47" s="1"/>
      <c r="I47" s="1"/>
      <c r="J47" s="1"/>
    </row>
    <row r="48" spans="2:10" ht="15.75">
      <c r="B48" s="148" t="s">
        <v>163</v>
      </c>
      <c r="C48" s="452">
        <v>13970</v>
      </c>
      <c r="D48" s="452">
        <v>13019</v>
      </c>
      <c r="E48" s="266">
        <f>mvalloc!E11</f>
        <v>13998</v>
      </c>
      <c r="G48" s="1"/>
      <c r="H48" s="1"/>
      <c r="I48" s="1"/>
      <c r="J48" s="1"/>
    </row>
    <row r="49" spans="2:10" ht="15.75">
      <c r="B49" s="148" t="s">
        <v>164</v>
      </c>
      <c r="C49" s="452">
        <v>282</v>
      </c>
      <c r="D49" s="452">
        <v>273</v>
      </c>
      <c r="E49" s="266">
        <f>mvalloc!F11</f>
        <v>283</v>
      </c>
      <c r="G49" s="1"/>
      <c r="H49" s="1"/>
      <c r="I49" s="1"/>
      <c r="J49" s="1"/>
    </row>
    <row r="50" spans="2:10" ht="15.75">
      <c r="B50" s="306" t="s">
        <v>233</v>
      </c>
      <c r="C50" s="452">
        <v>580</v>
      </c>
      <c r="D50" s="452">
        <v>442</v>
      </c>
      <c r="E50" s="266">
        <f>mvalloc!G11</f>
        <v>886</v>
      </c>
      <c r="G50" s="1"/>
      <c r="H50" s="1"/>
      <c r="I50" s="1"/>
      <c r="J50" s="1"/>
    </row>
    <row r="51" spans="2:10" ht="15.75">
      <c r="B51" s="319" t="s">
        <v>933</v>
      </c>
      <c r="C51" s="452">
        <v>185</v>
      </c>
      <c r="D51" s="452">
        <v>0</v>
      </c>
      <c r="E51" s="112"/>
      <c r="G51" s="1"/>
      <c r="H51" s="1"/>
      <c r="I51" s="1"/>
      <c r="J51" s="1"/>
    </row>
    <row r="52" spans="2:10" ht="15.75">
      <c r="B52" s="319" t="s">
        <v>1005</v>
      </c>
      <c r="C52" s="452">
        <v>239039</v>
      </c>
      <c r="D52" s="452">
        <v>160000</v>
      </c>
      <c r="E52" s="112">
        <v>200000</v>
      </c>
      <c r="G52" s="1"/>
      <c r="H52" s="1"/>
      <c r="I52" s="1"/>
      <c r="J52" s="1"/>
    </row>
    <row r="53" spans="2:10" ht="15.75">
      <c r="B53" s="319" t="s">
        <v>1006</v>
      </c>
      <c r="C53" s="452">
        <v>56225</v>
      </c>
      <c r="D53" s="452">
        <v>30000</v>
      </c>
      <c r="E53" s="112">
        <v>30000</v>
      </c>
      <c r="G53" s="1"/>
      <c r="H53" s="1"/>
      <c r="I53" s="1"/>
      <c r="J53" s="1"/>
    </row>
    <row r="54" spans="2:10" ht="15.75">
      <c r="B54" s="319"/>
      <c r="C54" s="452"/>
      <c r="D54" s="452"/>
      <c r="E54" s="112"/>
      <c r="G54" s="1"/>
      <c r="H54" s="1"/>
      <c r="I54" s="1"/>
      <c r="J54" s="1"/>
    </row>
    <row r="55" spans="2:10" ht="15.75">
      <c r="B55" s="319"/>
      <c r="C55" s="452"/>
      <c r="D55" s="452"/>
      <c r="E55" s="112"/>
      <c r="G55" s="1"/>
      <c r="H55" s="1"/>
      <c r="I55" s="1"/>
      <c r="J55" s="1"/>
    </row>
    <row r="56" spans="2:10" ht="15.75">
      <c r="B56" s="319"/>
      <c r="C56" s="452"/>
      <c r="D56" s="452"/>
      <c r="E56" s="112"/>
      <c r="G56" s="1"/>
      <c r="H56" s="1"/>
      <c r="I56" s="1"/>
      <c r="J56" s="1"/>
    </row>
    <row r="57" spans="2:10" ht="15.75">
      <c r="B57" s="309" t="s">
        <v>165</v>
      </c>
      <c r="C57" s="452"/>
      <c r="D57" s="452"/>
      <c r="E57" s="112"/>
      <c r="G57" s="1"/>
      <c r="H57" s="1"/>
      <c r="I57" s="1"/>
      <c r="J57" s="1"/>
    </row>
    <row r="58" spans="2:10" ht="15.75">
      <c r="B58" s="310" t="s">
        <v>75</v>
      </c>
      <c r="C58" s="452"/>
      <c r="D58" s="452"/>
      <c r="E58" s="112"/>
      <c r="G58" s="1"/>
      <c r="H58" s="1"/>
      <c r="I58" s="1"/>
      <c r="J58" s="1"/>
    </row>
    <row r="59" spans="2:10" ht="15.75">
      <c r="B59" s="310" t="s">
        <v>684</v>
      </c>
      <c r="C59" s="453">
        <f>IF(C60*0.1&lt;C58,"Exceed 10% Rule","")</f>
      </c>
      <c r="D59" s="453">
        <f>IF(D60*0.1&lt;D58,"Exceed 10% Rule","")</f>
      </c>
      <c r="E59" s="345">
        <f>IF(E60*0.1+E80&lt;E58,"Exceed 10% Rule","")</f>
      </c>
      <c r="G59" s="1"/>
      <c r="H59" s="1"/>
      <c r="I59" s="1"/>
      <c r="J59" s="1"/>
    </row>
    <row r="60" spans="2:10" ht="15.75">
      <c r="B60" s="312" t="s">
        <v>166</v>
      </c>
      <c r="C60" s="454">
        <f>SUM(C46:C58)</f>
        <v>475010</v>
      </c>
      <c r="D60" s="454">
        <f>SUM(D46:D58)</f>
        <v>385517</v>
      </c>
      <c r="E60" s="353">
        <f>SUM(E46:E58)</f>
        <v>245167</v>
      </c>
      <c r="G60" s="1"/>
      <c r="H60" s="1"/>
      <c r="I60" s="1"/>
      <c r="J60" s="1"/>
    </row>
    <row r="61" spans="2:10" ht="15.75">
      <c r="B61" s="312" t="s">
        <v>167</v>
      </c>
      <c r="C61" s="454">
        <f>C44+C60</f>
        <v>605555</v>
      </c>
      <c r="D61" s="454">
        <f>D44+D60</f>
        <v>552681</v>
      </c>
      <c r="E61" s="353">
        <f>E44+E60</f>
        <v>376909</v>
      </c>
      <c r="G61" s="1"/>
      <c r="H61" s="1"/>
      <c r="I61" s="1"/>
      <c r="J61" s="1"/>
    </row>
    <row r="62" spans="2:10" ht="15.75">
      <c r="B62" s="148" t="s">
        <v>170</v>
      </c>
      <c r="C62" s="310"/>
      <c r="D62" s="310"/>
      <c r="E62" s="108"/>
      <c r="G62" s="1"/>
      <c r="H62" s="1"/>
      <c r="I62" s="1"/>
      <c r="J62" s="1"/>
    </row>
    <row r="63" spans="2:10" ht="15.75">
      <c r="B63" s="319" t="s">
        <v>980</v>
      </c>
      <c r="C63" s="452">
        <v>325121</v>
      </c>
      <c r="D63" s="452">
        <v>306989</v>
      </c>
      <c r="E63" s="112">
        <v>345244</v>
      </c>
      <c r="G63" s="1"/>
      <c r="H63" s="1"/>
      <c r="I63" s="1"/>
      <c r="J63" s="1"/>
    </row>
    <row r="64" spans="2:10" ht="15.75">
      <c r="B64" s="319" t="s">
        <v>1007</v>
      </c>
      <c r="C64" s="452">
        <v>68416</v>
      </c>
      <c r="D64" s="452">
        <v>54950</v>
      </c>
      <c r="E64" s="112">
        <v>70600</v>
      </c>
      <c r="G64" s="782" t="str">
        <f>CONCATENATE("Desired Carryover Into ",E1+1,"")</f>
        <v>Desired Carryover Into 2014</v>
      </c>
      <c r="H64" s="783"/>
      <c r="I64" s="783"/>
      <c r="J64" s="784"/>
    </row>
    <row r="65" spans="2:10" ht="15.75">
      <c r="B65" s="319" t="s">
        <v>995</v>
      </c>
      <c r="C65" s="452">
        <v>32485</v>
      </c>
      <c r="D65" s="452">
        <v>36000</v>
      </c>
      <c r="E65" s="112">
        <v>46000</v>
      </c>
      <c r="G65" s="650"/>
      <c r="H65" s="651"/>
      <c r="I65" s="652"/>
      <c r="J65" s="653"/>
    </row>
    <row r="66" spans="2:10" ht="15.75">
      <c r="B66" s="319" t="s">
        <v>996</v>
      </c>
      <c r="C66" s="452">
        <v>9358</v>
      </c>
      <c r="D66" s="452">
        <v>14781</v>
      </c>
      <c r="E66" s="112">
        <v>26000</v>
      </c>
      <c r="G66" s="654" t="s">
        <v>690</v>
      </c>
      <c r="H66" s="652"/>
      <c r="I66" s="652"/>
      <c r="J66" s="655">
        <v>0</v>
      </c>
    </row>
    <row r="67" spans="2:10" ht="15.75">
      <c r="B67" s="319" t="s">
        <v>1008</v>
      </c>
      <c r="C67" s="452">
        <v>0</v>
      </c>
      <c r="D67" s="452">
        <v>0</v>
      </c>
      <c r="E67" s="112">
        <v>50000</v>
      </c>
      <c r="G67" s="650" t="s">
        <v>691</v>
      </c>
      <c r="H67" s="651"/>
      <c r="I67" s="651"/>
      <c r="J67" s="656">
        <f>IF(J66=0,"",ROUND((J66+E80-G79)/inputOth!E6*1000,3)-G84)</f>
      </c>
    </row>
    <row r="68" spans="2:10" ht="15.75">
      <c r="B68" s="319"/>
      <c r="C68" s="452"/>
      <c r="D68" s="452"/>
      <c r="E68" s="112"/>
      <c r="G68" s="657" t="str">
        <f>CONCATENATE("",E1," Tot Exp/Non-Appr Must Be:")</f>
        <v>2013 Tot Exp/Non-Appr Must Be:</v>
      </c>
      <c r="H68" s="658"/>
      <c r="I68" s="659"/>
      <c r="J68" s="660">
        <f>IF(J66&gt;0,IF(E77&lt;E61,IF(J66=G79,E77,((J66-G79)*(1-D79))+E61),E77+(J66-G79)),0)</f>
        <v>0</v>
      </c>
    </row>
    <row r="69" spans="2:10" ht="15.75">
      <c r="B69" s="319"/>
      <c r="C69" s="452"/>
      <c r="D69" s="452"/>
      <c r="E69" s="112"/>
      <c r="G69" s="661" t="s">
        <v>842</v>
      </c>
      <c r="H69" s="662"/>
      <c r="I69" s="662"/>
      <c r="J69" s="663">
        <f>IF(J66&gt;0,J68-E77,0)</f>
        <v>0</v>
      </c>
    </row>
    <row r="70" spans="2:10" ht="15.75">
      <c r="B70" s="310" t="s">
        <v>77</v>
      </c>
      <c r="C70" s="452">
        <v>3011</v>
      </c>
      <c r="D70" s="452">
        <v>8219</v>
      </c>
      <c r="E70" s="120">
        <f>Nhood!E10</f>
        <v>2179</v>
      </c>
      <c r="G70" s="1"/>
      <c r="H70" s="1"/>
      <c r="I70" s="1"/>
      <c r="J70" s="1"/>
    </row>
    <row r="71" spans="2:10" ht="15.75">
      <c r="B71" s="310" t="s">
        <v>75</v>
      </c>
      <c r="C71" s="452"/>
      <c r="D71" s="452"/>
      <c r="E71" s="112"/>
      <c r="G71" s="782" t="str">
        <f>CONCATENATE("Projected Carryover Into ",E1+1,"")</f>
        <v>Projected Carryover Into 2014</v>
      </c>
      <c r="H71" s="791"/>
      <c r="I71" s="791"/>
      <c r="J71" s="790"/>
    </row>
    <row r="72" spans="2:10" ht="15.75">
      <c r="B72" s="310" t="s">
        <v>683</v>
      </c>
      <c r="C72" s="453">
        <f>IF(C73*0.1&lt;C71,"Exceed 10% Rule","")</f>
      </c>
      <c r="D72" s="453">
        <f>IF(D73*0.1&lt;D71,"Exceed 10% Rule","")</f>
      </c>
      <c r="E72" s="345">
        <f>IF(E73*0.1&lt;E71,"Exceed 10% Rule","")</f>
      </c>
      <c r="G72" s="688"/>
      <c r="H72" s="651"/>
      <c r="I72" s="651"/>
      <c r="J72" s="683"/>
    </row>
    <row r="73" spans="2:10" ht="15.75">
      <c r="B73" s="312" t="s">
        <v>171</v>
      </c>
      <c r="C73" s="454">
        <f>SUM(C63:C71)</f>
        <v>438391</v>
      </c>
      <c r="D73" s="454">
        <f>SUM(D63:D71)</f>
        <v>420939</v>
      </c>
      <c r="E73" s="353">
        <f>SUM(E63:E71)</f>
        <v>540023</v>
      </c>
      <c r="G73" s="679">
        <f>D74</f>
        <v>131742</v>
      </c>
      <c r="H73" s="669" t="str">
        <f>CONCATENATE("",E1-1," Ending Cash Balance (est.)")</f>
        <v>2012 Ending Cash Balance (est.)</v>
      </c>
      <c r="I73" s="680"/>
      <c r="J73" s="683"/>
    </row>
    <row r="74" spans="2:10" ht="15.75">
      <c r="B74" s="148" t="s">
        <v>285</v>
      </c>
      <c r="C74" s="457">
        <f>C61-C73</f>
        <v>167164</v>
      </c>
      <c r="D74" s="457">
        <f>D61-D73</f>
        <v>131742</v>
      </c>
      <c r="E74" s="338" t="s">
        <v>148</v>
      </c>
      <c r="G74" s="679">
        <f>E60</f>
        <v>245167</v>
      </c>
      <c r="H74" s="652" t="str">
        <f>CONCATENATE("",E1," Non-AV Receipts (est.)")</f>
        <v>2013 Non-AV Receipts (est.)</v>
      </c>
      <c r="I74" s="680"/>
      <c r="J74" s="683"/>
    </row>
    <row r="75" spans="2:11" ht="15.75">
      <c r="B75" s="288" t="str">
        <f>CONCATENATE("",E$1-2,"/",E$1-1," Budget Authority Amount:")</f>
        <v>2011/2012 Budget Authority Amount:</v>
      </c>
      <c r="C75" s="280">
        <f>inputOth!B34</f>
        <v>429121</v>
      </c>
      <c r="D75" s="280">
        <f>inputPrYr!D20</f>
        <v>420939</v>
      </c>
      <c r="E75" s="338" t="s">
        <v>148</v>
      </c>
      <c r="F75" s="321"/>
      <c r="G75" s="681">
        <f>IF(E79&gt;0,E78,E80)</f>
        <v>163114</v>
      </c>
      <c r="H75" s="652" t="str">
        <f>CONCATENATE("",E1," Ad Valorem Tax (est.)")</f>
        <v>2013 Ad Valorem Tax (est.)</v>
      </c>
      <c r="I75" s="680"/>
      <c r="J75" s="683"/>
      <c r="K75" s="666" t="str">
        <f>IF(G75=E80,"","Note: Does not include Delinquent Taxes")</f>
        <v>Note: Does not include Delinquent Taxes</v>
      </c>
    </row>
    <row r="76" spans="2:10" ht="15.75">
      <c r="B76" s="288"/>
      <c r="C76" s="772" t="s">
        <v>687</v>
      </c>
      <c r="D76" s="773"/>
      <c r="E76" s="112"/>
      <c r="F76" s="502">
        <f>IF(E73/0.95-E73&lt;E76,"Exceeds 5%","")</f>
      </c>
      <c r="G76" s="689">
        <f>SUM(G73:G75)</f>
        <v>540023</v>
      </c>
      <c r="H76" s="652" t="str">
        <f>CONCATENATE("Total ",E1," Resources Available")</f>
        <v>Total 2013 Resources Available</v>
      </c>
      <c r="I76" s="690"/>
      <c r="J76" s="683"/>
    </row>
    <row r="77" spans="2:10" ht="15.75">
      <c r="B77" s="505" t="str">
        <f>CONCATENATE(C93,"     ",D93)</f>
        <v>See Tab A     </v>
      </c>
      <c r="C77" s="774" t="s">
        <v>688</v>
      </c>
      <c r="D77" s="775"/>
      <c r="E77" s="266">
        <f>E73+E76</f>
        <v>540023</v>
      </c>
      <c r="G77" s="691"/>
      <c r="H77" s="692"/>
      <c r="I77" s="651"/>
      <c r="J77" s="683"/>
    </row>
    <row r="78" spans="2:10" ht="15.75">
      <c r="B78" s="505" t="str">
        <f>CONCATENATE(C94,"     ",D94)</f>
        <v>     </v>
      </c>
      <c r="C78" s="322"/>
      <c r="D78" s="240" t="s">
        <v>172</v>
      </c>
      <c r="E78" s="120">
        <f>IF(E77-E61&gt;0,E77-E61,0)</f>
        <v>163114</v>
      </c>
      <c r="G78" s="693">
        <f>ROUND(C73*0.05+C73,0)</f>
        <v>460311</v>
      </c>
      <c r="H78" s="652" t="str">
        <f>CONCATENATE("Less ",E1-2," Expenditures + 5%")</f>
        <v>Less 2011 Expenditures + 5%</v>
      </c>
      <c r="I78" s="690"/>
      <c r="J78" s="683"/>
    </row>
    <row r="79" spans="2:10" ht="15.75">
      <c r="B79" s="240"/>
      <c r="C79" s="504" t="s">
        <v>689</v>
      </c>
      <c r="D79" s="649">
        <f>inputOth!$E$23</f>
        <v>0.03</v>
      </c>
      <c r="E79" s="266">
        <f>ROUND(IF(D79&gt;0,($E$78*D79),0),0)</f>
        <v>4893</v>
      </c>
      <c r="G79" s="694">
        <f>G76-G78</f>
        <v>79712</v>
      </c>
      <c r="H79" s="685" t="str">
        <f>CONCATENATE("Projected ",E1+1," carryover (est.)")</f>
        <v>Projected 2014 carryover (est.)</v>
      </c>
      <c r="I79" s="695"/>
      <c r="J79" s="696"/>
    </row>
    <row r="80" spans="2:10" ht="15.75">
      <c r="B80" s="85"/>
      <c r="C80" s="780" t="str">
        <f>CONCATENATE("Amount of  ",$E$1-1," Ad Valorem Tax")</f>
        <v>Amount of  2012 Ad Valorem Tax</v>
      </c>
      <c r="D80" s="781"/>
      <c r="E80" s="349">
        <f>E78+E79</f>
        <v>168007</v>
      </c>
      <c r="G80" s="1"/>
      <c r="H80" s="1"/>
      <c r="I80" s="1"/>
      <c r="J80" s="1"/>
    </row>
    <row r="81" spans="2:10" ht="15.75">
      <c r="B81" s="288" t="s">
        <v>194</v>
      </c>
      <c r="C81" s="350">
        <v>10</v>
      </c>
      <c r="D81" s="85"/>
      <c r="E81" s="85"/>
      <c r="G81" s="785" t="s">
        <v>843</v>
      </c>
      <c r="H81" s="786"/>
      <c r="I81" s="786"/>
      <c r="J81" s="787"/>
    </row>
    <row r="82" spans="7:10" ht="15.75">
      <c r="G82" s="668"/>
      <c r="H82" s="669"/>
      <c r="I82" s="670"/>
      <c r="J82" s="671"/>
    </row>
    <row r="83" spans="7:10" ht="15.75">
      <c r="G83" s="672">
        <f>summ!H20</f>
        <v>1.346</v>
      </c>
      <c r="H83" s="669" t="str">
        <f>CONCATENATE("",E1," Fund Mill Rate")</f>
        <v>2013 Fund Mill Rate</v>
      </c>
      <c r="I83" s="670"/>
      <c r="J83" s="671"/>
    </row>
    <row r="84" spans="7:10" ht="15.75">
      <c r="G84" s="673">
        <f>summ!E20</f>
        <v>1.518</v>
      </c>
      <c r="H84" s="669" t="str">
        <f>CONCATENATE("",E1-1," Fund Mill Rate")</f>
        <v>2012 Fund Mill Rate</v>
      </c>
      <c r="I84" s="670"/>
      <c r="J84" s="671"/>
    </row>
    <row r="85" spans="7:10" ht="15.75">
      <c r="G85" s="674">
        <f>summ!H61</f>
        <v>42.760999999999996</v>
      </c>
      <c r="H85" s="669" t="str">
        <f>CONCATENATE("Total ",E1," Mill Rate")</f>
        <v>Total 2013 Mill Rate</v>
      </c>
      <c r="I85" s="670"/>
      <c r="J85" s="671"/>
    </row>
    <row r="86" spans="7:10" ht="15.75">
      <c r="G86" s="673">
        <f>summ!E61</f>
        <v>43.934999999999995</v>
      </c>
      <c r="H86" s="675" t="str">
        <f>CONCATENATE("Total ",E1-1," Mill Rate")</f>
        <v>Total 2012 Mill Rate</v>
      </c>
      <c r="I86" s="676"/>
      <c r="J86" s="677"/>
    </row>
    <row r="91" spans="3:4" ht="15.75" hidden="1">
      <c r="C91" s="72">
        <f>IF(C33&gt;C35,"See Tab A","")</f>
      </c>
      <c r="D91" s="72">
        <f>IF(D33&gt;D35,"See Tab C","")</f>
      </c>
    </row>
    <row r="92" spans="3:4" ht="15.75" hidden="1">
      <c r="C92" s="72">
        <f>IF(C34&lt;0,"See Tab B","")</f>
      </c>
      <c r="D92" s="72">
        <f>IF(D34&lt;0,"See Tab D","")</f>
      </c>
    </row>
    <row r="93" spans="3:4" ht="15.75" hidden="1">
      <c r="C93" s="72" t="str">
        <f>IF(C73&gt;C75,"See Tab A","")</f>
        <v>See Tab A</v>
      </c>
      <c r="D93" s="72">
        <f>IF(D73&gt;D75,"See Tab C","")</f>
      </c>
    </row>
    <row r="94" spans="3:4" ht="15.75" hidden="1">
      <c r="C94" s="72">
        <f>IF(C74&lt;0,"See Tab B","")</f>
      </c>
      <c r="D94" s="72">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1">
    <cfRule type="cellIs" priority="4" dxfId="408" operator="greaterThan" stopIfTrue="1">
      <formula>$E$73*0.1</formula>
    </cfRule>
  </conditionalFormatting>
  <conditionalFormatting sqref="E76">
    <cfRule type="cellIs" priority="5" dxfId="408" operator="greaterThan" stopIfTrue="1">
      <formula>$E$73/0.95-$E$73</formula>
    </cfRule>
  </conditionalFormatting>
  <conditionalFormatting sqref="E36">
    <cfRule type="cellIs" priority="6" dxfId="408" operator="greaterThan" stopIfTrue="1">
      <formula>$E$33/0.95-$E$33</formula>
    </cfRule>
  </conditionalFormatting>
  <conditionalFormatting sqref="E31">
    <cfRule type="cellIs" priority="7" dxfId="408" operator="greaterThan" stopIfTrue="1">
      <formula>$E$33*0.1</formula>
    </cfRule>
  </conditionalFormatting>
  <conditionalFormatting sqref="C33">
    <cfRule type="cellIs" priority="8" dxfId="2" operator="greaterThan" stopIfTrue="1">
      <formula>$C$35</formula>
    </cfRule>
  </conditionalFormatting>
  <conditionalFormatting sqref="C74 C34">
    <cfRule type="cellIs" priority="9" dxfId="2" operator="lessThan" stopIfTrue="1">
      <formula>0</formula>
    </cfRule>
  </conditionalFormatting>
  <conditionalFormatting sqref="D33">
    <cfRule type="cellIs" priority="10" dxfId="2" operator="greaterThan" stopIfTrue="1">
      <formula>$D$35</formula>
    </cfRule>
  </conditionalFormatting>
  <conditionalFormatting sqref="C73">
    <cfRule type="cellIs" priority="11" dxfId="2" operator="greaterThan" stopIfTrue="1">
      <formula>$C$75</formula>
    </cfRule>
  </conditionalFormatting>
  <conditionalFormatting sqref="D73">
    <cfRule type="cellIs" priority="12" dxfId="2" operator="greaterThan" stopIfTrue="1">
      <formula>$D$75</formula>
    </cfRule>
  </conditionalFormatting>
  <conditionalFormatting sqref="C71">
    <cfRule type="cellIs" priority="13" dxfId="2" operator="greaterThan" stopIfTrue="1">
      <formula>$C$73*0.1</formula>
    </cfRule>
  </conditionalFormatting>
  <conditionalFormatting sqref="D71">
    <cfRule type="cellIs" priority="14" dxfId="2" operator="greaterThan" stopIfTrue="1">
      <formula>$D$73*0.1</formula>
    </cfRule>
  </conditionalFormatting>
  <conditionalFormatting sqref="E58">
    <cfRule type="cellIs" priority="15" dxfId="408" operator="greaterThan" stopIfTrue="1">
      <formula>$E$60*0.1+E80</formula>
    </cfRule>
  </conditionalFormatting>
  <conditionalFormatting sqref="C58">
    <cfRule type="cellIs" priority="16" dxfId="2" operator="greaterThan" stopIfTrue="1">
      <formula>$C$60*0.1</formula>
    </cfRule>
  </conditionalFormatting>
  <conditionalFormatting sqref="D58">
    <cfRule type="cellIs" priority="17" dxfId="2" operator="greaterThan" stopIfTrue="1">
      <formula>$D$60*0.1</formula>
    </cfRule>
  </conditionalFormatting>
  <conditionalFormatting sqref="C31">
    <cfRule type="cellIs" priority="18" dxfId="2" operator="greaterThan" stopIfTrue="1">
      <formula>$C$33*0.1</formula>
    </cfRule>
  </conditionalFormatting>
  <conditionalFormatting sqref="D31">
    <cfRule type="cellIs" priority="19" dxfId="2" operator="greaterThan" stopIfTrue="1">
      <formula>$D$33*0.1</formula>
    </cfRule>
  </conditionalFormatting>
  <conditionalFormatting sqref="E18">
    <cfRule type="cellIs" priority="20" dxfId="408" operator="greaterThan" stopIfTrue="1">
      <formula>$E$20*0.1+E40</formula>
    </cfRule>
  </conditionalFormatting>
  <conditionalFormatting sqref="C18">
    <cfRule type="cellIs" priority="21" dxfId="2" operator="greaterThan" stopIfTrue="1">
      <formula>$C$20*0.1</formula>
    </cfRule>
  </conditionalFormatting>
  <conditionalFormatting sqref="D18">
    <cfRule type="cellIs" priority="22" dxfId="2" operator="greaterThan" stopIfTrue="1">
      <formula>$D$20*0.1</formula>
    </cfRule>
  </conditionalFormatting>
  <conditionalFormatting sqref="D34">
    <cfRule type="cellIs" priority="2" dxfId="0" operator="lessThan" stopIfTrue="1">
      <formula>0</formula>
    </cfRule>
    <cfRule type="cellIs" priority="3" dxfId="0" operator="lessThan" stopIfTrue="1">
      <formula>0</formula>
    </cfRule>
  </conditionalFormatting>
  <conditionalFormatting sqref="D74">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B1" sqref="B1"/>
    </sheetView>
  </sheetViews>
  <sheetFormatPr defaultColWidth="8.796875" defaultRowHeight="15"/>
  <cols>
    <col min="1" max="1" width="2.3984375" style="72" customWidth="1"/>
    <col min="2" max="2" width="31.09765625" style="72" customWidth="1"/>
    <col min="3" max="4" width="15.796875" style="72" customWidth="1"/>
    <col min="5" max="5" width="16.09765625" style="72" customWidth="1"/>
    <col min="6" max="6" width="7.3984375" style="72" customWidth="1"/>
    <col min="7" max="7" width="10.19921875" style="72" customWidth="1"/>
    <col min="8" max="8" width="8.8984375" style="72" customWidth="1"/>
    <col min="9" max="9" width="5" style="72" customWidth="1"/>
    <col min="10" max="10" width="10" style="72" customWidth="1"/>
    <col min="11"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242</v>
      </c>
      <c r="C3" s="334"/>
      <c r="D3" s="334"/>
      <c r="E3" s="335"/>
    </row>
    <row r="4" spans="2:5" ht="15.75">
      <c r="B4" s="84" t="s">
        <v>160</v>
      </c>
      <c r="C4" s="703" t="s">
        <v>844</v>
      </c>
      <c r="D4" s="704" t="s">
        <v>845</v>
      </c>
      <c r="E4" s="215" t="s">
        <v>846</v>
      </c>
    </row>
    <row r="5" spans="2:5" ht="15.75">
      <c r="B5" s="484" t="str">
        <f>inputPrYr!B21</f>
        <v>Noxious Weed</v>
      </c>
      <c r="C5" s="455" t="str">
        <f>CONCATENATE("Actual for ",E1-2,"")</f>
        <v>Actual for 2011</v>
      </c>
      <c r="D5" s="455" t="str">
        <f>CONCATENATE("Estimate for ",E1-1,"")</f>
        <v>Estimate for 2012</v>
      </c>
      <c r="E5" s="303" t="str">
        <f>CONCATENATE("Year for ",E1,"")</f>
        <v>Year for 2013</v>
      </c>
    </row>
    <row r="6" spans="2:5" ht="15.75">
      <c r="B6" s="148" t="s">
        <v>284</v>
      </c>
      <c r="C6" s="452">
        <v>61600</v>
      </c>
      <c r="D6" s="456">
        <f>C34</f>
        <v>11174</v>
      </c>
      <c r="E6" s="266">
        <f>D34</f>
        <v>8221</v>
      </c>
    </row>
    <row r="7" spans="2:5" ht="15.75">
      <c r="B7" s="291" t="s">
        <v>286</v>
      </c>
      <c r="C7" s="306"/>
      <c r="D7" s="306"/>
      <c r="E7" s="127"/>
    </row>
    <row r="8" spans="2:5" ht="15.75">
      <c r="B8" s="148" t="s">
        <v>161</v>
      </c>
      <c r="C8" s="452">
        <v>122064</v>
      </c>
      <c r="D8" s="456">
        <f>IF(inputPrYr!H21&gt;0,inputPrYr!H21,inputPrYr!E21)</f>
        <v>163013</v>
      </c>
      <c r="E8" s="338" t="s">
        <v>148</v>
      </c>
    </row>
    <row r="9" spans="2:5" ht="15.75">
      <c r="B9" s="148" t="s">
        <v>162</v>
      </c>
      <c r="C9" s="452">
        <v>3918</v>
      </c>
      <c r="D9" s="452"/>
      <c r="E9" s="112"/>
    </row>
    <row r="10" spans="2:5" ht="15.75">
      <c r="B10" s="148" t="s">
        <v>163</v>
      </c>
      <c r="C10" s="452">
        <v>15015</v>
      </c>
      <c r="D10" s="452">
        <v>9884</v>
      </c>
      <c r="E10" s="266">
        <f>mvalloc!E12</f>
        <v>12553</v>
      </c>
    </row>
    <row r="11" spans="2:5" ht="15.75">
      <c r="B11" s="148" t="s">
        <v>164</v>
      </c>
      <c r="C11" s="452">
        <v>304</v>
      </c>
      <c r="D11" s="452">
        <v>207</v>
      </c>
      <c r="E11" s="266">
        <f>mvalloc!F12</f>
        <v>254</v>
      </c>
    </row>
    <row r="12" spans="2:5" ht="15.75">
      <c r="B12" s="306" t="s">
        <v>233</v>
      </c>
      <c r="C12" s="452">
        <v>871</v>
      </c>
      <c r="D12" s="452">
        <v>335</v>
      </c>
      <c r="E12" s="266">
        <f>mvalloc!G12</f>
        <v>794</v>
      </c>
    </row>
    <row r="13" spans="2:5" ht="15.75">
      <c r="B13" s="319" t="s">
        <v>933</v>
      </c>
      <c r="C13" s="452">
        <v>140</v>
      </c>
      <c r="D13" s="452">
        <v>0</v>
      </c>
      <c r="E13" s="112">
        <v>0</v>
      </c>
    </row>
    <row r="14" spans="2:5" ht="15.75">
      <c r="B14" s="319" t="s">
        <v>1009</v>
      </c>
      <c r="C14" s="452">
        <v>71203</v>
      </c>
      <c r="D14" s="452">
        <v>92000</v>
      </c>
      <c r="E14" s="112">
        <v>91000</v>
      </c>
    </row>
    <row r="15" spans="2:5" ht="15.75">
      <c r="B15" s="319"/>
      <c r="C15" s="452"/>
      <c r="D15" s="452"/>
      <c r="E15" s="112"/>
    </row>
    <row r="16" spans="2:5" ht="15.75">
      <c r="B16" s="319"/>
      <c r="C16" s="452"/>
      <c r="D16" s="452"/>
      <c r="E16" s="112"/>
    </row>
    <row r="17" spans="2:5" ht="15.75">
      <c r="B17" s="309" t="s">
        <v>165</v>
      </c>
      <c r="C17" s="452"/>
      <c r="D17" s="452"/>
      <c r="E17" s="112"/>
    </row>
    <row r="18" spans="2:5" ht="15.75">
      <c r="B18" s="310" t="s">
        <v>75</v>
      </c>
      <c r="C18" s="452"/>
      <c r="D18" s="452"/>
      <c r="E18" s="112">
        <v>1000</v>
      </c>
    </row>
    <row r="19" spans="2:5" ht="15.75">
      <c r="B19" s="310" t="s">
        <v>684</v>
      </c>
      <c r="C19" s="453">
        <f>IF(C20*0.1&lt;C18,"Exceed 10% Rule","")</f>
      </c>
      <c r="D19" s="453">
        <f>IF(D20*0.1&lt;D18,"Exceed 10% Rule","")</f>
      </c>
      <c r="E19" s="345">
        <f>IF(E20*0.1+E40&lt;E18,"Exceed 10% Rule","")</f>
      </c>
    </row>
    <row r="20" spans="2:5" ht="15.75">
      <c r="B20" s="312" t="s">
        <v>166</v>
      </c>
      <c r="C20" s="454">
        <f>SUM(C8:C18)</f>
        <v>213515</v>
      </c>
      <c r="D20" s="454">
        <f>SUM(D8:D18)</f>
        <v>265439</v>
      </c>
      <c r="E20" s="353">
        <f>SUM(E8:E18)</f>
        <v>105601</v>
      </c>
    </row>
    <row r="21" spans="2:5" ht="15.75">
      <c r="B21" s="312" t="s">
        <v>167</v>
      </c>
      <c r="C21" s="454">
        <f>C6+C20</f>
        <v>275115</v>
      </c>
      <c r="D21" s="454">
        <f>D6+D20</f>
        <v>276613</v>
      </c>
      <c r="E21" s="353">
        <f>E6+E20</f>
        <v>113822</v>
      </c>
    </row>
    <row r="22" spans="2:5" ht="15.75">
      <c r="B22" s="148" t="s">
        <v>170</v>
      </c>
      <c r="C22" s="310"/>
      <c r="D22" s="310"/>
      <c r="E22" s="108"/>
    </row>
    <row r="23" spans="2:5" ht="15.75">
      <c r="B23" s="319" t="s">
        <v>980</v>
      </c>
      <c r="C23" s="452">
        <v>88879</v>
      </c>
      <c r="D23" s="452">
        <v>93952</v>
      </c>
      <c r="E23" s="112">
        <v>97477</v>
      </c>
    </row>
    <row r="24" spans="2:10" ht="15.75">
      <c r="B24" s="319" t="s">
        <v>1010</v>
      </c>
      <c r="C24" s="452">
        <v>19859</v>
      </c>
      <c r="D24" s="452">
        <v>10940</v>
      </c>
      <c r="E24" s="112">
        <v>16225</v>
      </c>
      <c r="G24" s="782" t="str">
        <f>CONCATENATE("Desired Carryover Into ",E1+1,"")</f>
        <v>Desired Carryover Into 2014</v>
      </c>
      <c r="H24" s="783"/>
      <c r="I24" s="783"/>
      <c r="J24" s="784"/>
    </row>
    <row r="25" spans="2:10" ht="15.75">
      <c r="B25" s="319" t="s">
        <v>995</v>
      </c>
      <c r="C25" s="452">
        <v>127918</v>
      </c>
      <c r="D25" s="452">
        <v>158012</v>
      </c>
      <c r="E25" s="112">
        <v>164900</v>
      </c>
      <c r="G25" s="650"/>
      <c r="H25" s="651"/>
      <c r="I25" s="652"/>
      <c r="J25" s="653"/>
    </row>
    <row r="26" spans="2:10" ht="15.75">
      <c r="B26" s="319" t="s">
        <v>996</v>
      </c>
      <c r="C26" s="452">
        <v>0</v>
      </c>
      <c r="D26" s="452">
        <v>0</v>
      </c>
      <c r="E26" s="112">
        <v>0</v>
      </c>
      <c r="G26" s="654" t="s">
        <v>690</v>
      </c>
      <c r="H26" s="652"/>
      <c r="I26" s="652"/>
      <c r="J26" s="655">
        <v>0</v>
      </c>
    </row>
    <row r="27" spans="2:10" ht="15.75">
      <c r="B27" s="319" t="s">
        <v>1011</v>
      </c>
      <c r="C27" s="452">
        <v>25000</v>
      </c>
      <c r="D27" s="452">
        <v>0</v>
      </c>
      <c r="E27" s="112">
        <v>0</v>
      </c>
      <c r="G27" s="650" t="s">
        <v>691</v>
      </c>
      <c r="H27" s="651"/>
      <c r="I27" s="651"/>
      <c r="J27" s="656">
        <f>IF(J26=0,"",ROUND((J26+E40-G39)/inputOth!E6*1000,3)-G44)</f>
      </c>
    </row>
    <row r="28" spans="2:10" ht="15.75">
      <c r="B28" s="319"/>
      <c r="C28" s="452"/>
      <c r="D28" s="452"/>
      <c r="E28" s="112"/>
      <c r="G28" s="657" t="str">
        <f>CONCATENATE("",E1," Tot Exp/Non-Appr Must Be:")</f>
        <v>2013 Tot Exp/Non-Appr Must Be:</v>
      </c>
      <c r="H28" s="658"/>
      <c r="I28" s="659"/>
      <c r="J28" s="660">
        <f>IF(J26&gt;0,IF(E37&lt;E21,IF(J26=G39,E37,((J26-G39)*(1-D39))+E21),E37+(J26-G39)),0)</f>
        <v>0</v>
      </c>
    </row>
    <row r="29" spans="2:10" ht="15.75">
      <c r="B29" s="319"/>
      <c r="C29" s="452"/>
      <c r="D29" s="452"/>
      <c r="E29" s="112"/>
      <c r="G29" s="661" t="s">
        <v>842</v>
      </c>
      <c r="H29" s="662"/>
      <c r="I29" s="662"/>
      <c r="J29" s="663">
        <f>IF(J26&gt;0,J28-E37,0)</f>
        <v>0</v>
      </c>
    </row>
    <row r="30" spans="2:10" ht="15.75">
      <c r="B30" s="310" t="s">
        <v>77</v>
      </c>
      <c r="C30" s="452">
        <v>2285</v>
      </c>
      <c r="D30" s="452">
        <v>5488</v>
      </c>
      <c r="E30" s="120">
        <f>Nhood!E11</f>
        <v>3379</v>
      </c>
      <c r="G30" s="1"/>
      <c r="H30" s="1"/>
      <c r="I30" s="1"/>
      <c r="J30" s="1"/>
    </row>
    <row r="31" spans="2:10" ht="15.75">
      <c r="B31" s="310" t="s">
        <v>75</v>
      </c>
      <c r="C31" s="452"/>
      <c r="D31" s="452"/>
      <c r="E31" s="112"/>
      <c r="G31" s="782" t="str">
        <f>CONCATENATE("Projected Carryover Into ",E1+1,"")</f>
        <v>Projected Carryover Into 2014</v>
      </c>
      <c r="H31" s="789"/>
      <c r="I31" s="789"/>
      <c r="J31" s="790"/>
    </row>
    <row r="32" spans="2:10" ht="15.75">
      <c r="B32" s="310" t="s">
        <v>683</v>
      </c>
      <c r="C32" s="453">
        <f>IF(C33*0.1&lt;C31,"Exceed 10% Rule","")</f>
      </c>
      <c r="D32" s="453">
        <f>IF(D33*0.1&lt;D31,"Exceed 10% Rule","")</f>
      </c>
      <c r="E32" s="345">
        <f>IF(E33*0.1&lt;E31,"Exceed 10% Rule","")</f>
      </c>
      <c r="G32" s="650"/>
      <c r="H32" s="652"/>
      <c r="I32" s="652"/>
      <c r="J32" s="678"/>
    </row>
    <row r="33" spans="2:10" ht="15.75">
      <c r="B33" s="312" t="s">
        <v>171</v>
      </c>
      <c r="C33" s="454">
        <f>SUM(C23:C31)</f>
        <v>263941</v>
      </c>
      <c r="D33" s="454">
        <f>SUM(D23:D31)</f>
        <v>268392</v>
      </c>
      <c r="E33" s="353">
        <f>SUM(E23:E31)</f>
        <v>281981</v>
      </c>
      <c r="G33" s="679">
        <f>D34</f>
        <v>8221</v>
      </c>
      <c r="H33" s="669" t="str">
        <f>CONCATENATE("",E1-1," Ending Cash Balance (est.)")</f>
        <v>2012 Ending Cash Balance (est.)</v>
      </c>
      <c r="I33" s="680"/>
      <c r="J33" s="678"/>
    </row>
    <row r="34" spans="2:10" ht="15.75">
      <c r="B34" s="148" t="s">
        <v>285</v>
      </c>
      <c r="C34" s="457">
        <f>C21-C33</f>
        <v>11174</v>
      </c>
      <c r="D34" s="457">
        <f>D21-D33</f>
        <v>8221</v>
      </c>
      <c r="E34" s="338" t="s">
        <v>148</v>
      </c>
      <c r="G34" s="679">
        <f>E20</f>
        <v>105601</v>
      </c>
      <c r="H34" s="652" t="str">
        <f>CONCATENATE("",E1," Non-AV Receipts (est.)")</f>
        <v>2013 Non-AV Receipts (est.)</v>
      </c>
      <c r="I34" s="680"/>
      <c r="J34" s="678"/>
    </row>
    <row r="35" spans="2:11" ht="15.75">
      <c r="B35" s="288" t="str">
        <f>CONCATENATE("",E$1-2,"/",E$1-1," Budget Authority Amount:")</f>
        <v>2011/2012 Budget Authority Amount:</v>
      </c>
      <c r="C35" s="280">
        <f>inputOth!B35</f>
        <v>286507</v>
      </c>
      <c r="D35" s="280">
        <f>inputPrYr!D21</f>
        <v>268392</v>
      </c>
      <c r="E35" s="338" t="s">
        <v>148</v>
      </c>
      <c r="F35" s="321"/>
      <c r="G35" s="681">
        <f>IF(E39&gt;0,E38,E40)</f>
        <v>168159</v>
      </c>
      <c r="H35" s="652" t="str">
        <f>CONCATENATE("",E1," Ad Valorem Tax (est.)")</f>
        <v>2013 Ad Valorem Tax (est.)</v>
      </c>
      <c r="I35" s="680"/>
      <c r="J35" s="678"/>
      <c r="K35" s="666" t="str">
        <f>IF(G35=E40,"","Note: Does not include Delinquent Taxes")</f>
        <v>Note: Does not include Delinquent Taxes</v>
      </c>
    </row>
    <row r="36" spans="2:10" ht="15.75">
      <c r="B36" s="288"/>
      <c r="C36" s="772" t="s">
        <v>687</v>
      </c>
      <c r="D36" s="773"/>
      <c r="E36" s="294"/>
      <c r="F36" s="502">
        <f>IF(E33/0.95-E33&lt;E36,"Exceeds 5%","")</f>
      </c>
      <c r="G36" s="679">
        <f>SUM(G33:G35)</f>
        <v>281981</v>
      </c>
      <c r="H36" s="652" t="str">
        <f>CONCATENATE("Total ",E1," Resources Available")</f>
        <v>Total 2013 Resources Available</v>
      </c>
      <c r="I36" s="680"/>
      <c r="J36" s="678"/>
    </row>
    <row r="37" spans="2:10" ht="15.75">
      <c r="B37" s="506" t="str">
        <f>CONCATENATE(C91,"     ",D91)</f>
        <v>     </v>
      </c>
      <c r="C37" s="774" t="s">
        <v>688</v>
      </c>
      <c r="D37" s="775"/>
      <c r="E37" s="266">
        <f>E33+E36</f>
        <v>281981</v>
      </c>
      <c r="G37" s="682"/>
      <c r="H37" s="652"/>
      <c r="I37" s="652"/>
      <c r="J37" s="678"/>
    </row>
    <row r="38" spans="2:10" ht="15.75">
      <c r="B38" s="506" t="str">
        <f>CONCATENATE(C92,"     ",D92)</f>
        <v>     </v>
      </c>
      <c r="C38" s="322"/>
      <c r="D38" s="240" t="s">
        <v>172</v>
      </c>
      <c r="E38" s="120">
        <f>IF(E37-E21&gt;0,E37-E21,0)</f>
        <v>168159</v>
      </c>
      <c r="G38" s="681">
        <f>ROUND(C33*0.05+C33,0)</f>
        <v>277138</v>
      </c>
      <c r="H38" s="652" t="str">
        <f>CONCATENATE("Less ",E1-2," Expenditures + 5%")</f>
        <v>Less 2011 Expenditures + 5%</v>
      </c>
      <c r="I38" s="680"/>
      <c r="J38" s="683"/>
    </row>
    <row r="39" spans="2:10" ht="15.75">
      <c r="B39" s="240"/>
      <c r="C39" s="504" t="s">
        <v>689</v>
      </c>
      <c r="D39" s="649">
        <f>inputOth!$E$23</f>
        <v>0.03</v>
      </c>
      <c r="E39" s="266">
        <f>ROUND(IF(D39&gt;0,($E$38*D39),0),0)</f>
        <v>5045</v>
      </c>
      <c r="G39" s="684">
        <f>G36-G38</f>
        <v>4843</v>
      </c>
      <c r="H39" s="685" t="str">
        <f>CONCATENATE("Projected ",E1+1," carryover (est.)")</f>
        <v>Projected 2014 carryover (est.)</v>
      </c>
      <c r="I39" s="686"/>
      <c r="J39" s="687"/>
    </row>
    <row r="40" spans="2:10" ht="15.75">
      <c r="B40" s="85"/>
      <c r="C40" s="780" t="str">
        <f>CONCATENATE("Amount of  ",$E$1-1," Ad Valorem Tax")</f>
        <v>Amount of  2012 Ad Valorem Tax</v>
      </c>
      <c r="D40" s="781"/>
      <c r="E40" s="349">
        <f>E38+E39</f>
        <v>173204</v>
      </c>
      <c r="G40" s="1"/>
      <c r="H40" s="1"/>
      <c r="I40" s="1"/>
      <c r="J40" s="1"/>
    </row>
    <row r="41" spans="2:10" ht="15.75">
      <c r="B41" s="84" t="s">
        <v>160</v>
      </c>
      <c r="C41" s="328"/>
      <c r="D41" s="328"/>
      <c r="E41" s="328"/>
      <c r="G41" s="785" t="s">
        <v>843</v>
      </c>
      <c r="H41" s="786"/>
      <c r="I41" s="786"/>
      <c r="J41" s="787"/>
    </row>
    <row r="42" spans="2:10" ht="15.75">
      <c r="B42" s="85"/>
      <c r="C42" s="703" t="str">
        <f aca="true" t="shared" si="0" ref="C42:E43">C4</f>
        <v>Prior Year </v>
      </c>
      <c r="D42" s="704" t="str">
        <f t="shared" si="0"/>
        <v>Current Year </v>
      </c>
      <c r="E42" s="215" t="str">
        <f t="shared" si="0"/>
        <v>Proposed Budget </v>
      </c>
      <c r="G42" s="668"/>
      <c r="H42" s="669"/>
      <c r="I42" s="670"/>
      <c r="J42" s="671"/>
    </row>
    <row r="43" spans="2:10" ht="15.75">
      <c r="B43" s="483" t="str">
        <f>inputPrYr!B22</f>
        <v>Health</v>
      </c>
      <c r="C43" s="455" t="str">
        <f t="shared" si="0"/>
        <v>Actual for 2011</v>
      </c>
      <c r="D43" s="455" t="str">
        <f t="shared" si="0"/>
        <v>Estimate for 2012</v>
      </c>
      <c r="E43" s="303" t="str">
        <f t="shared" si="0"/>
        <v>Year for 2013</v>
      </c>
      <c r="G43" s="672">
        <f>summ!H21</f>
        <v>1.387</v>
      </c>
      <c r="H43" s="669" t="str">
        <f>CONCATENATE("",E1," Fund Mill Rate")</f>
        <v>2013 Fund Mill Rate</v>
      </c>
      <c r="I43" s="670"/>
      <c r="J43" s="671"/>
    </row>
    <row r="44" spans="2:10" ht="15.75">
      <c r="B44" s="148" t="s">
        <v>284</v>
      </c>
      <c r="C44" s="452">
        <v>71974</v>
      </c>
      <c r="D44" s="456">
        <f>C74</f>
        <v>92184</v>
      </c>
      <c r="E44" s="266">
        <f>D74</f>
        <v>32441</v>
      </c>
      <c r="G44" s="673">
        <f>summ!E21</f>
        <v>1.361</v>
      </c>
      <c r="H44" s="669" t="str">
        <f>CONCATENATE("",E1-1," Fund Mill Rate")</f>
        <v>2012 Fund Mill Rate</v>
      </c>
      <c r="I44" s="670"/>
      <c r="J44" s="671"/>
    </row>
    <row r="45" spans="2:10" ht="15.75">
      <c r="B45" s="304" t="s">
        <v>286</v>
      </c>
      <c r="C45" s="306"/>
      <c r="D45" s="306"/>
      <c r="E45" s="127"/>
      <c r="G45" s="674">
        <f>summ!H61</f>
        <v>42.760999999999996</v>
      </c>
      <c r="H45" s="669" t="str">
        <f>CONCATENATE("Total ",E1," Mill Rate")</f>
        <v>Total 2013 Mill Rate</v>
      </c>
      <c r="I45" s="670"/>
      <c r="J45" s="671"/>
    </row>
    <row r="46" spans="2:10" ht="15.75">
      <c r="B46" s="148" t="s">
        <v>161</v>
      </c>
      <c r="C46" s="452">
        <v>84814</v>
      </c>
      <c r="D46" s="456">
        <f>IF(inputPrYr!H22&gt;0,inputPrYr!H22,inputPrYr!E22)</f>
        <v>36968</v>
      </c>
      <c r="E46" s="338" t="s">
        <v>148</v>
      </c>
      <c r="G46" s="673">
        <f>summ!E61</f>
        <v>43.934999999999995</v>
      </c>
      <c r="H46" s="675" t="str">
        <f>CONCATENATE("Total ",E1-1," Mill Rate")</f>
        <v>Total 2012 Mill Rate</v>
      </c>
      <c r="I46" s="676"/>
      <c r="J46" s="677"/>
    </row>
    <row r="47" spans="2:10" ht="15.75">
      <c r="B47" s="148" t="s">
        <v>162</v>
      </c>
      <c r="C47" s="452">
        <v>1444</v>
      </c>
      <c r="D47" s="452"/>
      <c r="E47" s="112"/>
      <c r="G47" s="1"/>
      <c r="H47" s="1"/>
      <c r="I47" s="1"/>
      <c r="J47" s="1"/>
    </row>
    <row r="48" spans="2:10" ht="15.75">
      <c r="B48" s="148" t="s">
        <v>163</v>
      </c>
      <c r="C48" s="452">
        <v>6364</v>
      </c>
      <c r="D48" s="452">
        <v>6876</v>
      </c>
      <c r="E48" s="266">
        <f>mvalloc!E13</f>
        <v>2847</v>
      </c>
      <c r="G48" s="1"/>
      <c r="H48" s="1"/>
      <c r="I48" s="1"/>
      <c r="J48" s="1"/>
    </row>
    <row r="49" spans="2:10" ht="15.75">
      <c r="B49" s="148" t="s">
        <v>164</v>
      </c>
      <c r="C49" s="452">
        <v>129</v>
      </c>
      <c r="D49" s="452">
        <v>144</v>
      </c>
      <c r="E49" s="266">
        <f>mvalloc!F13</f>
        <v>58</v>
      </c>
      <c r="G49" s="1"/>
      <c r="H49" s="1"/>
      <c r="I49" s="1"/>
      <c r="J49" s="1"/>
    </row>
    <row r="50" spans="2:10" ht="15.75">
      <c r="B50" s="306" t="s">
        <v>233</v>
      </c>
      <c r="C50" s="452">
        <v>368</v>
      </c>
      <c r="D50" s="452">
        <v>233</v>
      </c>
      <c r="E50" s="266">
        <f>mvalloc!G13</f>
        <v>180</v>
      </c>
      <c r="G50" s="1"/>
      <c r="H50" s="1"/>
      <c r="I50" s="1"/>
      <c r="J50" s="1"/>
    </row>
    <row r="51" spans="2:10" ht="15.75">
      <c r="B51" s="319" t="s">
        <v>1012</v>
      </c>
      <c r="C51" s="452">
        <v>27798</v>
      </c>
      <c r="D51" s="452">
        <v>10916</v>
      </c>
      <c r="E51" s="112">
        <v>30000</v>
      </c>
      <c r="G51" s="1"/>
      <c r="H51" s="1"/>
      <c r="I51" s="1"/>
      <c r="J51" s="1"/>
    </row>
    <row r="52" spans="2:10" ht="15.75">
      <c r="B52" s="319" t="s">
        <v>978</v>
      </c>
      <c r="C52" s="452">
        <v>67664</v>
      </c>
      <c r="D52" s="452">
        <v>50000</v>
      </c>
      <c r="E52" s="112">
        <v>50000</v>
      </c>
      <c r="G52" s="1"/>
      <c r="H52" s="1"/>
      <c r="I52" s="1"/>
      <c r="J52" s="1"/>
    </row>
    <row r="53" spans="2:10" ht="15.75">
      <c r="B53" s="319" t="s">
        <v>933</v>
      </c>
      <c r="C53" s="452">
        <v>98</v>
      </c>
      <c r="D53" s="452">
        <v>0</v>
      </c>
      <c r="E53" s="112">
        <v>0</v>
      </c>
      <c r="G53" s="1"/>
      <c r="H53" s="1"/>
      <c r="I53" s="1"/>
      <c r="J53" s="1"/>
    </row>
    <row r="54" spans="2:10" ht="15.75">
      <c r="B54" s="319" t="s">
        <v>1013</v>
      </c>
      <c r="C54" s="452">
        <v>40712</v>
      </c>
      <c r="D54" s="452">
        <v>41967</v>
      </c>
      <c r="E54" s="112">
        <v>35824</v>
      </c>
      <c r="G54" s="1"/>
      <c r="H54" s="1"/>
      <c r="I54" s="1"/>
      <c r="J54" s="1"/>
    </row>
    <row r="55" spans="2:10" ht="15.75">
      <c r="B55" s="319"/>
      <c r="C55" s="452"/>
      <c r="D55" s="452"/>
      <c r="E55" s="112"/>
      <c r="G55" s="1"/>
      <c r="H55" s="1"/>
      <c r="I55" s="1"/>
      <c r="J55" s="1"/>
    </row>
    <row r="56" spans="2:10" ht="15.75">
      <c r="B56" s="319"/>
      <c r="C56" s="452"/>
      <c r="D56" s="452"/>
      <c r="E56" s="112"/>
      <c r="G56" s="1"/>
      <c r="H56" s="1"/>
      <c r="I56" s="1"/>
      <c r="J56" s="1"/>
    </row>
    <row r="57" spans="2:10" ht="15.75">
      <c r="B57" s="309" t="s">
        <v>165</v>
      </c>
      <c r="C57" s="452"/>
      <c r="D57" s="452"/>
      <c r="E57" s="112"/>
      <c r="G57" s="1"/>
      <c r="H57" s="1"/>
      <c r="I57" s="1"/>
      <c r="J57" s="1"/>
    </row>
    <row r="58" spans="2:10" ht="15.75">
      <c r="B58" s="310" t="s">
        <v>75</v>
      </c>
      <c r="C58" s="452"/>
      <c r="D58" s="452"/>
      <c r="E58" s="112"/>
      <c r="G58" s="1"/>
      <c r="H58" s="1"/>
      <c r="I58" s="1"/>
      <c r="J58" s="1"/>
    </row>
    <row r="59" spans="2:10" ht="15.75">
      <c r="B59" s="310" t="s">
        <v>684</v>
      </c>
      <c r="C59" s="453">
        <f>IF(C60*0.1&lt;C58,"Exceed 10% Rule","")</f>
      </c>
      <c r="D59" s="453">
        <f>IF(D60*0.1&lt;D58,"Exceed 10% Rule","")</f>
      </c>
      <c r="E59" s="345">
        <f>IF(E60*0.1+E80&lt;E58,"Exceed 10% Rule","")</f>
      </c>
      <c r="G59" s="1"/>
      <c r="H59" s="1"/>
      <c r="I59" s="1"/>
      <c r="J59" s="1"/>
    </row>
    <row r="60" spans="2:10" ht="15.75">
      <c r="B60" s="312" t="s">
        <v>166</v>
      </c>
      <c r="C60" s="454">
        <f>SUM(C46:C58)</f>
        <v>229391</v>
      </c>
      <c r="D60" s="454">
        <f>SUM(D46:D58)</f>
        <v>147104</v>
      </c>
      <c r="E60" s="353">
        <f>SUM(E47:E58)</f>
        <v>118909</v>
      </c>
      <c r="G60" s="1"/>
      <c r="H60" s="1"/>
      <c r="I60" s="1"/>
      <c r="J60" s="1"/>
    </row>
    <row r="61" spans="2:10" ht="15.75">
      <c r="B61" s="312" t="s">
        <v>167</v>
      </c>
      <c r="C61" s="454">
        <f>C44+C60</f>
        <v>301365</v>
      </c>
      <c r="D61" s="454">
        <f>D44+D60</f>
        <v>239288</v>
      </c>
      <c r="E61" s="353">
        <f>E44+E60</f>
        <v>151350</v>
      </c>
      <c r="G61" s="1"/>
      <c r="H61" s="1"/>
      <c r="I61" s="1"/>
      <c r="J61" s="1"/>
    </row>
    <row r="62" spans="2:10" ht="15.75">
      <c r="B62" s="148" t="s">
        <v>170</v>
      </c>
      <c r="C62" s="310"/>
      <c r="D62" s="310"/>
      <c r="E62" s="108"/>
      <c r="G62" s="1"/>
      <c r="H62" s="1"/>
      <c r="I62" s="1"/>
      <c r="J62" s="1"/>
    </row>
    <row r="63" spans="2:10" ht="15.75">
      <c r="B63" s="319" t="s">
        <v>980</v>
      </c>
      <c r="C63" s="452">
        <v>154589</v>
      </c>
      <c r="D63" s="452">
        <v>159327</v>
      </c>
      <c r="E63" s="112">
        <v>173734</v>
      </c>
      <c r="G63" s="1"/>
      <c r="H63" s="1"/>
      <c r="I63" s="1"/>
      <c r="J63" s="1"/>
    </row>
    <row r="64" spans="2:10" ht="15.75">
      <c r="B64" s="319" t="s">
        <v>1010</v>
      </c>
      <c r="C64" s="452">
        <v>47947</v>
      </c>
      <c r="D64" s="452">
        <v>18820</v>
      </c>
      <c r="E64" s="112">
        <v>58444</v>
      </c>
      <c r="G64" s="782" t="str">
        <f>CONCATENATE("Desired Carryover Into ",E1+1,"")</f>
        <v>Desired Carryover Into 2014</v>
      </c>
      <c r="H64" s="783"/>
      <c r="I64" s="783"/>
      <c r="J64" s="784"/>
    </row>
    <row r="65" spans="2:10" ht="15.75">
      <c r="B65" s="319" t="s">
        <v>995</v>
      </c>
      <c r="C65" s="452">
        <v>5055</v>
      </c>
      <c r="D65" s="452">
        <v>15438</v>
      </c>
      <c r="E65" s="112">
        <v>19550</v>
      </c>
      <c r="G65" s="650"/>
      <c r="H65" s="651"/>
      <c r="I65" s="652"/>
      <c r="J65" s="653"/>
    </row>
    <row r="66" spans="2:10" ht="15.75">
      <c r="B66" s="319" t="s">
        <v>996</v>
      </c>
      <c r="C66" s="452">
        <v>0</v>
      </c>
      <c r="D66" s="452">
        <v>5700</v>
      </c>
      <c r="E66" s="112">
        <v>5700</v>
      </c>
      <c r="G66" s="654" t="s">
        <v>690</v>
      </c>
      <c r="H66" s="652"/>
      <c r="I66" s="652"/>
      <c r="J66" s="655">
        <v>0</v>
      </c>
    </row>
    <row r="67" spans="2:10" ht="15.75">
      <c r="B67" s="319" t="s">
        <v>1014</v>
      </c>
      <c r="C67" s="452">
        <v>0</v>
      </c>
      <c r="D67" s="452">
        <v>3000</v>
      </c>
      <c r="E67" s="112">
        <v>0</v>
      </c>
      <c r="G67" s="650" t="s">
        <v>691</v>
      </c>
      <c r="H67" s="651"/>
      <c r="I67" s="651"/>
      <c r="J67" s="656">
        <f>IF(J66=0,"",ROUND((J66+E80-G79)/inputOth!E6*1000,3)-G84)</f>
      </c>
    </row>
    <row r="68" spans="2:10" ht="15.75">
      <c r="B68" s="319"/>
      <c r="C68" s="452"/>
      <c r="D68" s="452"/>
      <c r="E68" s="112"/>
      <c r="G68" s="657" t="str">
        <f>CONCATENATE("",E1," Tot Exp/Non-Appr Must Be:")</f>
        <v>2013 Tot Exp/Non-Appr Must Be:</v>
      </c>
      <c r="H68" s="658"/>
      <c r="I68" s="659"/>
      <c r="J68" s="660">
        <f>IF(J66&gt;0,IF(E77&lt;E61,IF(J66=G79,E77,((J66-G79)*(1-D79))+E61),E77+(J66-G79)),0)</f>
        <v>0</v>
      </c>
    </row>
    <row r="69" spans="2:10" ht="15.75">
      <c r="B69" s="319"/>
      <c r="C69" s="452"/>
      <c r="D69" s="452"/>
      <c r="E69" s="112"/>
      <c r="G69" s="661" t="s">
        <v>842</v>
      </c>
      <c r="H69" s="662"/>
      <c r="I69" s="662"/>
      <c r="J69" s="663">
        <f>IF(J66&gt;0,J68-E77,0)</f>
        <v>0</v>
      </c>
    </row>
    <row r="70" spans="2:10" ht="15.75">
      <c r="B70" s="310" t="s">
        <v>77</v>
      </c>
      <c r="C70" s="452">
        <v>1590</v>
      </c>
      <c r="D70" s="452">
        <v>4562</v>
      </c>
      <c r="E70" s="120">
        <f>Nhood!E12</f>
        <v>2578</v>
      </c>
      <c r="G70" s="1"/>
      <c r="H70" s="1"/>
      <c r="I70" s="1"/>
      <c r="J70" s="1"/>
    </row>
    <row r="71" spans="2:10" ht="15.75">
      <c r="B71" s="310" t="s">
        <v>75</v>
      </c>
      <c r="C71" s="452"/>
      <c r="D71" s="452"/>
      <c r="E71" s="112"/>
      <c r="G71" s="782" t="str">
        <f>CONCATENATE("Projected Carryover Into ",E1+1,"")</f>
        <v>Projected Carryover Into 2014</v>
      </c>
      <c r="H71" s="791"/>
      <c r="I71" s="791"/>
      <c r="J71" s="790"/>
    </row>
    <row r="72" spans="2:10" ht="15.75">
      <c r="B72" s="310" t="s">
        <v>683</v>
      </c>
      <c r="C72" s="453">
        <f>IF(C73*0.1&lt;C71,"Exceed 10% Rule","")</f>
      </c>
      <c r="D72" s="453">
        <f>IF(D73*0.1&lt;D71,"Exceed 10% Rule","")</f>
      </c>
      <c r="E72" s="345">
        <f>IF(E73*0.1&lt;E71,"Exceed 10% Rule","")</f>
      </c>
      <c r="G72" s="688"/>
      <c r="H72" s="651"/>
      <c r="I72" s="651"/>
      <c r="J72" s="683"/>
    </row>
    <row r="73" spans="2:10" ht="15.75">
      <c r="B73" s="312" t="s">
        <v>171</v>
      </c>
      <c r="C73" s="454">
        <f>SUM(C63:C71)</f>
        <v>209181</v>
      </c>
      <c r="D73" s="454">
        <f>SUM(D63:D71)</f>
        <v>206847</v>
      </c>
      <c r="E73" s="353">
        <f>SUM(E63:E71)</f>
        <v>260006</v>
      </c>
      <c r="G73" s="679">
        <f>D74</f>
        <v>32441</v>
      </c>
      <c r="H73" s="669" t="str">
        <f>CONCATENATE("",E1-1," Ending Cash Balance (est.)")</f>
        <v>2012 Ending Cash Balance (est.)</v>
      </c>
      <c r="I73" s="680"/>
      <c r="J73" s="683"/>
    </row>
    <row r="74" spans="2:10" ht="15.75">
      <c r="B74" s="148" t="s">
        <v>285</v>
      </c>
      <c r="C74" s="457">
        <f>C61-C73</f>
        <v>92184</v>
      </c>
      <c r="D74" s="457">
        <f>D61-D73</f>
        <v>32441</v>
      </c>
      <c r="E74" s="338" t="s">
        <v>148</v>
      </c>
      <c r="G74" s="679">
        <f>E60</f>
        <v>118909</v>
      </c>
      <c r="H74" s="652" t="str">
        <f>CONCATENATE("",E1," Non-AV Receipts (est.)")</f>
        <v>2013 Non-AV Receipts (est.)</v>
      </c>
      <c r="I74" s="680"/>
      <c r="J74" s="683"/>
    </row>
    <row r="75" spans="2:11" ht="15.75">
      <c r="B75" s="288" t="str">
        <f>CONCATENATE("",E$1-2,"/",E$1-1," Budget Authority Amount:")</f>
        <v>2011/2012 Budget Authority Amount:</v>
      </c>
      <c r="C75" s="280">
        <f>inputOth!B36</f>
        <v>238202</v>
      </c>
      <c r="D75" s="280">
        <f>inputPrYr!D22</f>
        <v>206847</v>
      </c>
      <c r="E75" s="338" t="s">
        <v>148</v>
      </c>
      <c r="F75" s="321"/>
      <c r="G75" s="681">
        <f>IF(E79&gt;0,E78,E80)</f>
        <v>108656</v>
      </c>
      <c r="H75" s="652" t="str">
        <f>CONCATENATE("",E1," Ad Valorem Tax (est.)")</f>
        <v>2013 Ad Valorem Tax (est.)</v>
      </c>
      <c r="I75" s="680"/>
      <c r="J75" s="683"/>
      <c r="K75" s="666" t="str">
        <f>IF(G75=E80,"","Note: Does not include Delinquent Taxes")</f>
        <v>Note: Does not include Delinquent Taxes</v>
      </c>
    </row>
    <row r="76" spans="2:10" ht="15.75">
      <c r="B76" s="288"/>
      <c r="C76" s="772" t="s">
        <v>687</v>
      </c>
      <c r="D76" s="773"/>
      <c r="E76" s="112"/>
      <c r="F76" s="502">
        <f>IF(E73/0.95-E73&lt;E76,"Exceeds 5%","")</f>
      </c>
      <c r="G76" s="689">
        <f>SUM(G73:G75)</f>
        <v>260006</v>
      </c>
      <c r="H76" s="652" t="str">
        <f>CONCATENATE("Total ",E1," Resources Available")</f>
        <v>Total 2013 Resources Available</v>
      </c>
      <c r="I76" s="690"/>
      <c r="J76" s="683"/>
    </row>
    <row r="77" spans="2:10" ht="15.75">
      <c r="B77" s="505" t="str">
        <f>CONCATENATE(C93,"     ",D93)</f>
        <v>     </v>
      </c>
      <c r="C77" s="774" t="s">
        <v>688</v>
      </c>
      <c r="D77" s="775"/>
      <c r="E77" s="266">
        <f>E73+E76</f>
        <v>260006</v>
      </c>
      <c r="G77" s="691"/>
      <c r="H77" s="692"/>
      <c r="I77" s="651"/>
      <c r="J77" s="683"/>
    </row>
    <row r="78" spans="2:10" ht="15.75">
      <c r="B78" s="505" t="str">
        <f>CONCATENATE(C94,"     ",D94)</f>
        <v>     </v>
      </c>
      <c r="C78" s="322"/>
      <c r="D78" s="240" t="s">
        <v>172</v>
      </c>
      <c r="E78" s="120">
        <f>IF(E77-E61&gt;0,E77-E61,0)</f>
        <v>108656</v>
      </c>
      <c r="G78" s="693">
        <f>ROUND(C73*0.05+C73,0)</f>
        <v>219640</v>
      </c>
      <c r="H78" s="652" t="str">
        <f>CONCATENATE("Less ",E1-2," Expenditures + 5%")</f>
        <v>Less 2011 Expenditures + 5%</v>
      </c>
      <c r="I78" s="690"/>
      <c r="J78" s="683"/>
    </row>
    <row r="79" spans="2:10" ht="15.75">
      <c r="B79" s="240"/>
      <c r="C79" s="504" t="s">
        <v>689</v>
      </c>
      <c r="D79" s="649">
        <f>inputOth!$E$23</f>
        <v>0.03</v>
      </c>
      <c r="E79" s="266">
        <f>ROUND(IF(D79&gt;0,($E$78*D79),0),0)</f>
        <v>3260</v>
      </c>
      <c r="G79" s="694">
        <f>G76-G78</f>
        <v>40366</v>
      </c>
      <c r="H79" s="685" t="str">
        <f>CONCATENATE("Projected ",E1+1," carryover (est.)")</f>
        <v>Projected 2014 carryover (est.)</v>
      </c>
      <c r="I79" s="695"/>
      <c r="J79" s="696"/>
    </row>
    <row r="80" spans="2:10" ht="15.75">
      <c r="B80" s="85"/>
      <c r="C80" s="780" t="str">
        <f>CONCATENATE("Amount of  ",$E$1-1," Ad Valorem Tax")</f>
        <v>Amount of  2012 Ad Valorem Tax</v>
      </c>
      <c r="D80" s="781"/>
      <c r="E80" s="349">
        <f>E78+E79</f>
        <v>111916</v>
      </c>
      <c r="G80" s="1"/>
      <c r="H80" s="1"/>
      <c r="I80" s="1"/>
      <c r="J80" s="1"/>
    </row>
    <row r="81" spans="2:10" ht="15.75">
      <c r="B81" s="288" t="s">
        <v>194</v>
      </c>
      <c r="C81" s="350">
        <v>11</v>
      </c>
      <c r="D81" s="85"/>
      <c r="E81" s="85"/>
      <c r="G81" s="785" t="s">
        <v>843</v>
      </c>
      <c r="H81" s="786"/>
      <c r="I81" s="786"/>
      <c r="J81" s="787"/>
    </row>
    <row r="82" spans="7:10" ht="15.75">
      <c r="G82" s="668"/>
      <c r="H82" s="669"/>
      <c r="I82" s="670"/>
      <c r="J82" s="671"/>
    </row>
    <row r="83" spans="7:10" ht="15.75">
      <c r="G83" s="672">
        <f>summ!H22</f>
        <v>0.896</v>
      </c>
      <c r="H83" s="669" t="str">
        <f>CONCATENATE("",E1," Fund Mill Rate")</f>
        <v>2013 Fund Mill Rate</v>
      </c>
      <c r="I83" s="670"/>
      <c r="J83" s="671"/>
    </row>
    <row r="84" spans="7:10" ht="15.75">
      <c r="G84" s="673">
        <f>summ!E22</f>
        <v>0.309</v>
      </c>
      <c r="H84" s="669" t="str">
        <f>CONCATENATE("",E1-1," Fund Mill Rate")</f>
        <v>2012 Fund Mill Rate</v>
      </c>
      <c r="I84" s="670"/>
      <c r="J84" s="671"/>
    </row>
    <row r="85" spans="7:10" ht="15.75">
      <c r="G85" s="674">
        <f>summ!H61</f>
        <v>42.760999999999996</v>
      </c>
      <c r="H85" s="669" t="str">
        <f>CONCATENATE("Total ",E1," Mill Rate")</f>
        <v>Total 2013 Mill Rate</v>
      </c>
      <c r="I85" s="670"/>
      <c r="J85" s="671"/>
    </row>
    <row r="86" spans="7:10" ht="15.75">
      <c r="G86" s="673">
        <f>summ!E61</f>
        <v>43.934999999999995</v>
      </c>
      <c r="H86" s="675" t="str">
        <f>CONCATENATE("Total ",E1-1," Mill Rate")</f>
        <v>Total 2012 Mill Rate</v>
      </c>
      <c r="I86" s="676"/>
      <c r="J86" s="677"/>
    </row>
    <row r="91" spans="3:4" ht="15.75" hidden="1">
      <c r="C91" s="72">
        <f>IF(C33&gt;C35,"See Tab A","")</f>
      </c>
      <c r="D91" s="72">
        <f>IF(D33&gt;D35,"See Tab C","")</f>
      </c>
    </row>
    <row r="92" spans="3:4" ht="15.75" hidden="1">
      <c r="C92" s="72">
        <f>IF(C34&lt;0,"See Tab B","")</f>
      </c>
      <c r="D92" s="72">
        <f>IF(D34&lt;0,"See Tab D","")</f>
      </c>
    </row>
    <row r="93" spans="3:4" ht="15.75" hidden="1">
      <c r="C93" s="72">
        <f>IF(C73&gt;C75,"See Tab A","")</f>
      </c>
      <c r="D93" s="72">
        <f>IF(D73&gt;D75,"See Tab C","")</f>
      </c>
    </row>
    <row r="94" spans="3:4" ht="15.75" hidden="1">
      <c r="C94" s="72">
        <f>IF(C74&lt;0,"See Tab B","")</f>
      </c>
      <c r="D94" s="72">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33">
    <cfRule type="cellIs" priority="7" dxfId="2" operator="greaterThan" stopIfTrue="1">
      <formula>$C$35</formula>
    </cfRule>
  </conditionalFormatting>
  <conditionalFormatting sqref="C74 C34">
    <cfRule type="cellIs" priority="8" dxfId="2" operator="lessThan" stopIfTrue="1">
      <formula>0</formula>
    </cfRule>
  </conditionalFormatting>
  <conditionalFormatting sqref="D33">
    <cfRule type="cellIs" priority="9" dxfId="2" operator="greaterThan" stopIfTrue="1">
      <formula>$D$35</formula>
    </cfRule>
  </conditionalFormatting>
  <conditionalFormatting sqref="C73">
    <cfRule type="cellIs" priority="10" dxfId="2" operator="greaterThan" stopIfTrue="1">
      <formula>$C$75</formula>
    </cfRule>
  </conditionalFormatting>
  <conditionalFormatting sqref="D73">
    <cfRule type="cellIs" priority="11" dxfId="2" operator="greaterThan" stopIfTrue="1">
      <formula>$D$75</formula>
    </cfRule>
  </conditionalFormatting>
  <conditionalFormatting sqref="C71">
    <cfRule type="cellIs" priority="12" dxfId="2" operator="greaterThan" stopIfTrue="1">
      <formula>$C$73*0.1</formula>
    </cfRule>
  </conditionalFormatting>
  <conditionalFormatting sqref="D71">
    <cfRule type="cellIs" priority="13" dxfId="2" operator="greaterThan" stopIfTrue="1">
      <formula>$D$73*0.1</formula>
    </cfRule>
  </conditionalFormatting>
  <conditionalFormatting sqref="E58">
    <cfRule type="cellIs" priority="14" dxfId="408" operator="greaterThan" stopIfTrue="1">
      <formula>$E$60*0.1+E80</formula>
    </cfRule>
  </conditionalFormatting>
  <conditionalFormatting sqref="C58">
    <cfRule type="cellIs" priority="15" dxfId="2" operator="greaterThan" stopIfTrue="1">
      <formula>$C$60*0.1</formula>
    </cfRule>
  </conditionalFormatting>
  <conditionalFormatting sqref="D58">
    <cfRule type="cellIs" priority="16" dxfId="2" operator="greaterThan" stopIfTrue="1">
      <formula>$D$60*0.1</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25"/>
  <sheetViews>
    <sheetView zoomScalePageLayoutView="0" workbookViewId="0" topLeftCell="A10">
      <selection activeCell="F86" sqref="F86"/>
    </sheetView>
  </sheetViews>
  <sheetFormatPr defaultColWidth="8.796875" defaultRowHeight="15"/>
  <cols>
    <col min="1" max="1" width="15.796875" style="72" customWidth="1"/>
    <col min="2" max="2" width="20.796875" style="72" customWidth="1"/>
    <col min="3" max="3" width="8.796875" style="72" customWidth="1"/>
    <col min="4" max="5" width="13.296875" style="72" customWidth="1"/>
    <col min="6" max="6" width="10.796875" style="72" customWidth="1"/>
    <col min="7" max="7" width="1.796875" style="72" customWidth="1"/>
    <col min="8" max="8" width="18.69921875" style="72" customWidth="1"/>
    <col min="9" max="16384" width="8.8984375" style="72" customWidth="1"/>
  </cols>
  <sheetData>
    <row r="1" spans="1:9" ht="15.75">
      <c r="A1" s="732" t="s">
        <v>329</v>
      </c>
      <c r="B1" s="733"/>
      <c r="C1" s="733"/>
      <c r="D1" s="733"/>
      <c r="E1" s="733"/>
      <c r="F1" s="733"/>
      <c r="G1" s="85"/>
      <c r="H1" s="85"/>
      <c r="I1" s="85"/>
    </row>
    <row r="2" spans="1:9" ht="15.75">
      <c r="A2" s="84" t="s">
        <v>330</v>
      </c>
      <c r="B2" s="85"/>
      <c r="C2" s="448" t="s">
        <v>900</v>
      </c>
      <c r="D2" s="86"/>
      <c r="E2" s="87"/>
      <c r="F2" s="88"/>
      <c r="G2" s="85"/>
      <c r="H2" s="85"/>
      <c r="I2" s="85"/>
    </row>
    <row r="3" spans="1:9" ht="15.75">
      <c r="A3" s="84"/>
      <c r="B3" s="85"/>
      <c r="C3" s="85"/>
      <c r="D3" s="85"/>
      <c r="E3" s="89"/>
      <c r="F3" s="88"/>
      <c r="G3" s="85"/>
      <c r="H3" s="85"/>
      <c r="I3" s="85"/>
    </row>
    <row r="4" spans="1:9" ht="15.75">
      <c r="A4" s="84" t="s">
        <v>331</v>
      </c>
      <c r="B4" s="85"/>
      <c r="C4" s="90">
        <v>2013</v>
      </c>
      <c r="D4" s="91"/>
      <c r="E4" s="89"/>
      <c r="F4" s="88"/>
      <c r="G4" s="85"/>
      <c r="H4" s="85"/>
      <c r="I4" s="85"/>
    </row>
    <row r="5" spans="1:9" ht="15.75">
      <c r="A5" s="85"/>
      <c r="B5" s="85"/>
      <c r="C5" s="85"/>
      <c r="D5" s="85"/>
      <c r="E5" s="85"/>
      <c r="F5" s="85"/>
      <c r="G5" s="85"/>
      <c r="H5" s="85"/>
      <c r="I5" s="85"/>
    </row>
    <row r="6" spans="1:9" ht="18.75" customHeight="1">
      <c r="A6" s="92" t="s">
        <v>674</v>
      </c>
      <c r="B6" s="93"/>
      <c r="C6" s="93"/>
      <c r="D6" s="93"/>
      <c r="E6" s="93"/>
      <c r="F6" s="93"/>
      <c r="G6" s="85"/>
      <c r="H6" s="734" t="s">
        <v>837</v>
      </c>
      <c r="I6" s="734"/>
    </row>
    <row r="7" spans="1:9" ht="15.75">
      <c r="A7" s="92" t="s">
        <v>673</v>
      </c>
      <c r="B7" s="93"/>
      <c r="C7" s="93"/>
      <c r="D7" s="93"/>
      <c r="E7" s="93"/>
      <c r="F7" s="93"/>
      <c r="G7" s="85"/>
      <c r="H7" s="734"/>
      <c r="I7" s="734"/>
    </row>
    <row r="8" spans="1:9" ht="15.75">
      <c r="A8" s="92"/>
      <c r="B8" s="93"/>
      <c r="C8" s="93"/>
      <c r="D8" s="93"/>
      <c r="E8" s="93"/>
      <c r="F8" s="93"/>
      <c r="G8" s="85"/>
      <c r="H8" s="734"/>
      <c r="I8" s="734"/>
    </row>
    <row r="9" spans="1:9" ht="15.75">
      <c r="A9" s="730" t="s">
        <v>60</v>
      </c>
      <c r="B9" s="731"/>
      <c r="C9" s="731"/>
      <c r="D9" s="731"/>
      <c r="E9" s="731"/>
      <c r="F9" s="731"/>
      <c r="G9" s="85"/>
      <c r="H9" s="734"/>
      <c r="I9" s="734"/>
    </row>
    <row r="10" spans="1:9" ht="15.75">
      <c r="A10" s="85"/>
      <c r="B10" s="85"/>
      <c r="C10" s="85"/>
      <c r="D10" s="85"/>
      <c r="E10" s="85"/>
      <c r="F10" s="85"/>
      <c r="G10" s="85"/>
      <c r="H10" s="734"/>
      <c r="I10" s="734"/>
    </row>
    <row r="11" spans="1:9" ht="15.75">
      <c r="A11" s="94" t="str">
        <f>CONCATENATE("The input for the following comes directly from the ",C4-1," Budget:")</f>
        <v>The input for the following comes directly from the 2012 Budget:</v>
      </c>
      <c r="B11" s="95"/>
      <c r="C11" s="95"/>
      <c r="D11" s="95"/>
      <c r="E11" s="85"/>
      <c r="F11" s="85"/>
      <c r="G11" s="85"/>
      <c r="H11" s="734"/>
      <c r="I11" s="734"/>
    </row>
    <row r="12" spans="1:9" ht="15.75">
      <c r="A12" s="96" t="s">
        <v>332</v>
      </c>
      <c r="B12" s="95"/>
      <c r="C12" s="95"/>
      <c r="D12" s="95"/>
      <c r="E12" s="85"/>
      <c r="F12" s="85"/>
      <c r="G12" s="85"/>
      <c r="H12" s="88"/>
      <c r="I12" s="643"/>
    </row>
    <row r="13" spans="1:9" ht="15.75">
      <c r="A13" s="96" t="s">
        <v>356</v>
      </c>
      <c r="B13" s="95"/>
      <c r="C13" s="95"/>
      <c r="D13" s="95"/>
      <c r="E13" s="85"/>
      <c r="F13" s="85"/>
      <c r="G13" s="85"/>
      <c r="H13" s="85"/>
      <c r="I13" s="85"/>
    </row>
    <row r="14" spans="1:9" ht="15.75">
      <c r="A14" s="85"/>
      <c r="B14" s="85"/>
      <c r="C14" s="97"/>
      <c r="D14" s="98">
        <f>C4-1</f>
        <v>2012</v>
      </c>
      <c r="E14" s="99" t="str">
        <f>CONCATENATE("",C4-2,"")</f>
        <v>2011</v>
      </c>
      <c r="F14" s="100">
        <f>C4-2</f>
        <v>2011</v>
      </c>
      <c r="H14" s="258" t="s">
        <v>838</v>
      </c>
      <c r="I14" s="253" t="s">
        <v>173</v>
      </c>
    </row>
    <row r="15" spans="1:9" ht="15.75">
      <c r="A15" s="84" t="s">
        <v>333</v>
      </c>
      <c r="B15" s="85"/>
      <c r="C15" s="101" t="s">
        <v>130</v>
      </c>
      <c r="D15" s="102" t="s">
        <v>355</v>
      </c>
      <c r="E15" s="102" t="s">
        <v>99</v>
      </c>
      <c r="F15" s="102" t="s">
        <v>74</v>
      </c>
      <c r="H15" s="264" t="str">
        <f>CONCATENATE("",E14," Ad Valorem Tax")</f>
        <v>2011 Ad Valorem Tax</v>
      </c>
      <c r="I15" s="644">
        <v>0</v>
      </c>
    </row>
    <row r="16" spans="1:8" ht="15.75">
      <c r="A16" s="85"/>
      <c r="B16" s="103" t="s">
        <v>131</v>
      </c>
      <c r="C16" s="254" t="s">
        <v>288</v>
      </c>
      <c r="D16" s="105">
        <v>4617952</v>
      </c>
      <c r="E16" s="106">
        <v>3232697</v>
      </c>
      <c r="F16" s="107">
        <v>26.986</v>
      </c>
      <c r="H16" s="266">
        <f>IF($I$15&gt;0,ROUND(E16-(E16*$I$15),0),0)</f>
        <v>0</v>
      </c>
    </row>
    <row r="17" spans="1:8" ht="15.75">
      <c r="A17" s="85"/>
      <c r="B17" s="103" t="s">
        <v>185</v>
      </c>
      <c r="C17" s="254" t="s">
        <v>334</v>
      </c>
      <c r="D17" s="105">
        <v>81543</v>
      </c>
      <c r="E17" s="106">
        <v>0</v>
      </c>
      <c r="F17" s="107">
        <v>0</v>
      </c>
      <c r="H17" s="266">
        <f aca="true" t="shared" si="0" ref="H17:H40">IF($I$15&gt;0,ROUND(E17-(E17*$I$15),0),0)</f>
        <v>0</v>
      </c>
    </row>
    <row r="18" spans="1:8" ht="15.75">
      <c r="A18" s="84"/>
      <c r="B18" s="108" t="s">
        <v>191</v>
      </c>
      <c r="C18" s="253" t="s">
        <v>288</v>
      </c>
      <c r="D18" s="105">
        <v>1525662</v>
      </c>
      <c r="E18" s="105">
        <v>238078</v>
      </c>
      <c r="F18" s="109">
        <v>1.988</v>
      </c>
      <c r="H18" s="266">
        <f t="shared" si="0"/>
        <v>0</v>
      </c>
    </row>
    <row r="19" spans="1:8" ht="15.75">
      <c r="A19" s="85"/>
      <c r="B19" s="110" t="s">
        <v>188</v>
      </c>
      <c r="C19" s="465" t="s">
        <v>901</v>
      </c>
      <c r="D19" s="105">
        <v>1325000</v>
      </c>
      <c r="E19" s="112">
        <v>1070867</v>
      </c>
      <c r="F19" s="107">
        <v>8.94</v>
      </c>
      <c r="H19" s="266">
        <f t="shared" si="0"/>
        <v>0</v>
      </c>
    </row>
    <row r="20" spans="1:8" ht="15.75">
      <c r="A20" s="85"/>
      <c r="B20" s="110" t="s">
        <v>902</v>
      </c>
      <c r="C20" s="465" t="s">
        <v>903</v>
      </c>
      <c r="D20" s="105">
        <v>420939</v>
      </c>
      <c r="E20" s="112">
        <v>181783</v>
      </c>
      <c r="F20" s="107">
        <v>1.518</v>
      </c>
      <c r="H20" s="266">
        <f t="shared" si="0"/>
        <v>0</v>
      </c>
    </row>
    <row r="21" spans="1:8" ht="15.75">
      <c r="A21" s="85"/>
      <c r="B21" s="110" t="s">
        <v>904</v>
      </c>
      <c r="C21" s="465" t="s">
        <v>905</v>
      </c>
      <c r="D21" s="105">
        <v>268392</v>
      </c>
      <c r="E21" s="112">
        <v>163013</v>
      </c>
      <c r="F21" s="107">
        <v>1.361</v>
      </c>
      <c r="H21" s="266">
        <f t="shared" si="0"/>
        <v>0</v>
      </c>
    </row>
    <row r="22" spans="1:8" ht="15.75">
      <c r="A22" s="85"/>
      <c r="B22" s="110" t="s">
        <v>189</v>
      </c>
      <c r="C22" s="465" t="s">
        <v>908</v>
      </c>
      <c r="D22" s="105">
        <v>206847</v>
      </c>
      <c r="E22" s="112">
        <v>36968</v>
      </c>
      <c r="F22" s="107">
        <v>0.309</v>
      </c>
      <c r="H22" s="266">
        <f t="shared" si="0"/>
        <v>0</v>
      </c>
    </row>
    <row r="23" spans="1:8" ht="15.75">
      <c r="A23" s="85"/>
      <c r="B23" s="110" t="s">
        <v>906</v>
      </c>
      <c r="C23" s="465" t="s">
        <v>909</v>
      </c>
      <c r="D23" s="105">
        <v>115000</v>
      </c>
      <c r="E23" s="112">
        <v>109263</v>
      </c>
      <c r="F23" s="107">
        <v>0.913</v>
      </c>
      <c r="H23" s="266">
        <f t="shared" si="0"/>
        <v>0</v>
      </c>
    </row>
    <row r="24" spans="1:8" ht="15.75">
      <c r="A24" s="85"/>
      <c r="B24" s="110" t="s">
        <v>907</v>
      </c>
      <c r="C24" s="465" t="s">
        <v>910</v>
      </c>
      <c r="D24" s="105">
        <v>251117</v>
      </c>
      <c r="E24" s="112">
        <v>229911</v>
      </c>
      <c r="F24" s="107">
        <v>1.92</v>
      </c>
      <c r="H24" s="266">
        <f t="shared" si="0"/>
        <v>0</v>
      </c>
    </row>
    <row r="25" spans="1:8" ht="15.75">
      <c r="A25" s="85"/>
      <c r="B25" s="110"/>
      <c r="C25" s="465"/>
      <c r="D25" s="105"/>
      <c r="E25" s="112"/>
      <c r="F25" s="107"/>
      <c r="H25" s="266">
        <f t="shared" si="0"/>
        <v>0</v>
      </c>
    </row>
    <row r="26" spans="1:8" ht="15.75">
      <c r="A26" s="85"/>
      <c r="B26" s="110"/>
      <c r="C26" s="465"/>
      <c r="D26" s="105"/>
      <c r="E26" s="112"/>
      <c r="F26" s="107"/>
      <c r="H26" s="266">
        <f t="shared" si="0"/>
        <v>0</v>
      </c>
    </row>
    <row r="27" spans="1:8" ht="15.75">
      <c r="A27" s="85"/>
      <c r="B27" s="110"/>
      <c r="C27" s="465"/>
      <c r="D27" s="105"/>
      <c r="E27" s="112"/>
      <c r="F27" s="107"/>
      <c r="H27" s="266">
        <f t="shared" si="0"/>
        <v>0</v>
      </c>
    </row>
    <row r="28" spans="1:8" ht="15.75">
      <c r="A28" s="85"/>
      <c r="B28" s="110"/>
      <c r="C28" s="465"/>
      <c r="D28" s="105"/>
      <c r="E28" s="112"/>
      <c r="F28" s="107"/>
      <c r="H28" s="266">
        <f t="shared" si="0"/>
        <v>0</v>
      </c>
    </row>
    <row r="29" spans="1:8" ht="15.75">
      <c r="A29" s="85"/>
      <c r="B29" s="110"/>
      <c r="C29" s="465"/>
      <c r="D29" s="105"/>
      <c r="E29" s="112"/>
      <c r="F29" s="107"/>
      <c r="H29" s="266">
        <f t="shared" si="0"/>
        <v>0</v>
      </c>
    </row>
    <row r="30" spans="1:8" ht="15.75">
      <c r="A30" s="85"/>
      <c r="B30" s="110"/>
      <c r="C30" s="465"/>
      <c r="D30" s="105"/>
      <c r="E30" s="112"/>
      <c r="F30" s="107"/>
      <c r="H30" s="266">
        <f t="shared" si="0"/>
        <v>0</v>
      </c>
    </row>
    <row r="31" spans="1:8" ht="15.75">
      <c r="A31" s="85"/>
      <c r="B31" s="110"/>
      <c r="C31" s="465"/>
      <c r="D31" s="105"/>
      <c r="E31" s="112"/>
      <c r="F31" s="107"/>
      <c r="H31" s="266">
        <f t="shared" si="0"/>
        <v>0</v>
      </c>
    </row>
    <row r="32" spans="1:8" ht="15.75">
      <c r="A32" s="85"/>
      <c r="B32" s="110"/>
      <c r="C32" s="465"/>
      <c r="D32" s="105"/>
      <c r="E32" s="112"/>
      <c r="F32" s="107"/>
      <c r="H32" s="266">
        <f t="shared" si="0"/>
        <v>0</v>
      </c>
    </row>
    <row r="33" spans="1:8" ht="15.75">
      <c r="A33" s="85"/>
      <c r="B33" s="110"/>
      <c r="C33" s="465"/>
      <c r="D33" s="105"/>
      <c r="E33" s="112"/>
      <c r="F33" s="107"/>
      <c r="H33" s="266">
        <f t="shared" si="0"/>
        <v>0</v>
      </c>
    </row>
    <row r="34" spans="1:8" ht="15.75">
      <c r="A34" s="85"/>
      <c r="B34" s="110"/>
      <c r="C34" s="465"/>
      <c r="D34" s="105"/>
      <c r="E34" s="112"/>
      <c r="F34" s="107"/>
      <c r="H34" s="266">
        <f t="shared" si="0"/>
        <v>0</v>
      </c>
    </row>
    <row r="35" spans="1:8" ht="15.75">
      <c r="A35" s="85"/>
      <c r="B35" s="110"/>
      <c r="C35" s="465"/>
      <c r="D35" s="105"/>
      <c r="E35" s="112"/>
      <c r="F35" s="107"/>
      <c r="H35" s="266">
        <f t="shared" si="0"/>
        <v>0</v>
      </c>
    </row>
    <row r="36" spans="1:8" ht="15.75">
      <c r="A36" s="85"/>
      <c r="B36" s="110"/>
      <c r="C36" s="465"/>
      <c r="D36" s="105"/>
      <c r="E36" s="112"/>
      <c r="F36" s="107"/>
      <c r="H36" s="266">
        <f t="shared" si="0"/>
        <v>0</v>
      </c>
    </row>
    <row r="37" spans="1:8" ht="15.75">
      <c r="A37" s="85"/>
      <c r="B37" s="110"/>
      <c r="C37" s="465"/>
      <c r="D37" s="105"/>
      <c r="E37" s="112"/>
      <c r="F37" s="107"/>
      <c r="H37" s="266">
        <f t="shared" si="0"/>
        <v>0</v>
      </c>
    </row>
    <row r="38" spans="1:8" ht="15.75">
      <c r="A38" s="85"/>
      <c r="B38" s="110"/>
      <c r="C38" s="465"/>
      <c r="D38" s="105"/>
      <c r="E38" s="112"/>
      <c r="F38" s="107"/>
      <c r="H38" s="266">
        <f t="shared" si="0"/>
        <v>0</v>
      </c>
    </row>
    <row r="39" spans="1:8" ht="15.75">
      <c r="A39" s="85"/>
      <c r="B39" s="110"/>
      <c r="C39" s="465"/>
      <c r="D39" s="105"/>
      <c r="E39" s="112"/>
      <c r="F39" s="107"/>
      <c r="H39" s="266">
        <f t="shared" si="0"/>
        <v>0</v>
      </c>
    </row>
    <row r="40" spans="1:8" ht="15.75">
      <c r="A40" s="85"/>
      <c r="B40" s="110"/>
      <c r="C40" s="465"/>
      <c r="D40" s="105"/>
      <c r="E40" s="112"/>
      <c r="F40" s="107"/>
      <c r="H40" s="266">
        <f t="shared" si="0"/>
        <v>0</v>
      </c>
    </row>
    <row r="41" spans="1:6" ht="15.75">
      <c r="A41" s="113" t="str">
        <f>CONCATENATE("Total Tax Levy Funds Levy Amounts and Levy Rates for ",C4-1," Budget")</f>
        <v>Total Tax Levy Funds Levy Amounts and Levy Rates for 2012 Budget</v>
      </c>
      <c r="B41" s="114"/>
      <c r="C41" s="114"/>
      <c r="D41" s="115"/>
      <c r="E41" s="116">
        <f>SUM(E16:E40)</f>
        <v>5262580</v>
      </c>
      <c r="F41" s="117">
        <f>SUM(F16:F40)</f>
        <v>43.934999999999995</v>
      </c>
    </row>
    <row r="42" spans="1:6" ht="15.75">
      <c r="A42" s="84" t="s">
        <v>29</v>
      </c>
      <c r="B42" s="85"/>
      <c r="C42" s="85"/>
      <c r="D42" s="85"/>
      <c r="E42" s="85"/>
      <c r="F42" s="85"/>
    </row>
    <row r="43" spans="1:6" ht="15.75">
      <c r="A43" s="85"/>
      <c r="B43" s="107" t="s">
        <v>911</v>
      </c>
      <c r="C43" s="85"/>
      <c r="D43" s="105">
        <v>1141841</v>
      </c>
      <c r="E43" s="85"/>
      <c r="F43" s="85"/>
    </row>
    <row r="44" spans="1:6" ht="15.75">
      <c r="A44" s="85"/>
      <c r="B44" s="107" t="s">
        <v>912</v>
      </c>
      <c r="C44" s="85"/>
      <c r="D44" s="105">
        <v>4645</v>
      </c>
      <c r="E44" s="85"/>
      <c r="F44" s="85"/>
    </row>
    <row r="45" spans="1:6" ht="15.75">
      <c r="A45" s="85"/>
      <c r="B45" s="107" t="s">
        <v>913</v>
      </c>
      <c r="C45" s="85"/>
      <c r="D45" s="105">
        <v>21915</v>
      </c>
      <c r="E45" s="85"/>
      <c r="F45" s="85"/>
    </row>
    <row r="46" spans="1:6" ht="15.75">
      <c r="A46" s="85"/>
      <c r="B46" s="107" t="s">
        <v>914</v>
      </c>
      <c r="C46" s="85"/>
      <c r="D46" s="105">
        <v>518208</v>
      </c>
      <c r="E46" s="85"/>
      <c r="F46" s="85"/>
    </row>
    <row r="47" spans="1:6" ht="15.75">
      <c r="A47" s="85"/>
      <c r="B47" s="107" t="s">
        <v>915</v>
      </c>
      <c r="C47" s="85"/>
      <c r="D47" s="105">
        <v>626081</v>
      </c>
      <c r="E47" s="85"/>
      <c r="F47" s="85"/>
    </row>
    <row r="48" spans="1:6" ht="15.75">
      <c r="A48" s="85"/>
      <c r="B48" s="107" t="s">
        <v>916</v>
      </c>
      <c r="C48" s="85"/>
      <c r="D48" s="105">
        <v>240732</v>
      </c>
      <c r="E48" s="85"/>
      <c r="F48" s="85"/>
    </row>
    <row r="49" spans="1:6" ht="15.75">
      <c r="A49" s="85"/>
      <c r="B49" s="107" t="s">
        <v>917</v>
      </c>
      <c r="C49" s="85"/>
      <c r="D49" s="105">
        <v>221495</v>
      </c>
      <c r="E49" s="85"/>
      <c r="F49" s="85"/>
    </row>
    <row r="50" spans="1:6" ht="15.75">
      <c r="A50" s="85"/>
      <c r="B50" s="107" t="s">
        <v>918</v>
      </c>
      <c r="C50" s="85"/>
      <c r="D50" s="105">
        <v>25959</v>
      </c>
      <c r="E50" s="85"/>
      <c r="F50" s="85"/>
    </row>
    <row r="51" spans="1:6" ht="15.75">
      <c r="A51" s="85"/>
      <c r="B51" s="107" t="s">
        <v>919</v>
      </c>
      <c r="C51" s="85"/>
      <c r="D51" s="105">
        <v>0</v>
      </c>
      <c r="E51" s="85"/>
      <c r="F51" s="85"/>
    </row>
    <row r="52" spans="1:6" ht="15.75">
      <c r="A52" s="85"/>
      <c r="B52" s="107" t="s">
        <v>920</v>
      </c>
      <c r="C52" s="85"/>
      <c r="D52" s="105">
        <v>13267</v>
      </c>
      <c r="E52" s="85"/>
      <c r="F52" s="85"/>
    </row>
    <row r="53" spans="1:6" ht="15.75">
      <c r="A53" s="85"/>
      <c r="B53" s="107" t="s">
        <v>921</v>
      </c>
      <c r="C53" s="85"/>
      <c r="D53" s="105">
        <v>60000</v>
      </c>
      <c r="E53" s="85"/>
      <c r="F53" s="85"/>
    </row>
    <row r="54" spans="1:6" ht="15.75">
      <c r="A54" s="85"/>
      <c r="B54" s="107"/>
      <c r="C54" s="85"/>
      <c r="D54" s="105"/>
      <c r="E54" s="85"/>
      <c r="F54" s="85"/>
    </row>
    <row r="55" spans="1:6" ht="15.75">
      <c r="A55" s="85"/>
      <c r="B55" s="107"/>
      <c r="C55" s="85"/>
      <c r="D55" s="105"/>
      <c r="E55" s="85"/>
      <c r="F55" s="85"/>
    </row>
    <row r="56" spans="1:6" ht="15.75">
      <c r="A56" s="85"/>
      <c r="B56" s="107"/>
      <c r="C56" s="85"/>
      <c r="D56" s="105"/>
      <c r="E56" s="85"/>
      <c r="F56" s="85"/>
    </row>
    <row r="57" spans="1:6" ht="15.75">
      <c r="A57" s="85"/>
      <c r="B57" s="107"/>
      <c r="C57" s="85"/>
      <c r="D57" s="105"/>
      <c r="E57" s="85"/>
      <c r="F57" s="85"/>
    </row>
    <row r="58" spans="1:6" ht="15.75">
      <c r="A58" s="85"/>
      <c r="B58" s="107"/>
      <c r="C58" s="85"/>
      <c r="D58" s="105"/>
      <c r="E58" s="85"/>
      <c r="F58" s="85"/>
    </row>
    <row r="59" spans="1:6" ht="15.75">
      <c r="A59" s="113" t="str">
        <f>CONCATENATE("Total Expenditures for ",C4-1," Budgeted Year")</f>
        <v>Total Expenditures for 2012 Budgeted Year</v>
      </c>
      <c r="B59" s="118"/>
      <c r="C59" s="119"/>
      <c r="D59" s="120">
        <f>SUM(D16:D40,D43:D58)</f>
        <v>11686595</v>
      </c>
      <c r="E59" s="85"/>
      <c r="F59" s="85"/>
    </row>
    <row r="60" spans="1:6" ht="15.75">
      <c r="A60" s="121"/>
      <c r="B60" s="122"/>
      <c r="C60" s="85"/>
      <c r="D60" s="123"/>
      <c r="E60" s="85"/>
      <c r="F60" s="85"/>
    </row>
    <row r="61" spans="1:6" ht="15.75">
      <c r="A61" s="85" t="s">
        <v>15</v>
      </c>
      <c r="B61" s="122"/>
      <c r="C61" s="85"/>
      <c r="D61" s="85"/>
      <c r="E61" s="85"/>
      <c r="F61" s="85"/>
    </row>
    <row r="62" spans="1:6" ht="15.75">
      <c r="A62" s="85">
        <v>1</v>
      </c>
      <c r="B62" s="107" t="s">
        <v>922</v>
      </c>
      <c r="C62" s="85"/>
      <c r="D62" s="85"/>
      <c r="E62" s="85"/>
      <c r="F62" s="85"/>
    </row>
    <row r="63" spans="1:6" ht="15.75">
      <c r="A63" s="85">
        <v>2</v>
      </c>
      <c r="B63" s="107" t="s">
        <v>923</v>
      </c>
      <c r="C63" s="85"/>
      <c r="D63" s="85"/>
      <c r="E63" s="85"/>
      <c r="F63" s="85"/>
    </row>
    <row r="64" spans="1:6" ht="15.75">
      <c r="A64" s="85">
        <v>3</v>
      </c>
      <c r="B64" s="107" t="s">
        <v>924</v>
      </c>
      <c r="C64" s="85"/>
      <c r="D64" s="85"/>
      <c r="E64" s="85"/>
      <c r="F64" s="85"/>
    </row>
    <row r="65" spans="1:6" ht="15.75">
      <c r="A65" s="85">
        <v>4</v>
      </c>
      <c r="B65" s="107" t="s">
        <v>925</v>
      </c>
      <c r="C65" s="85"/>
      <c r="D65" s="85"/>
      <c r="E65" s="85"/>
      <c r="F65" s="85"/>
    </row>
    <row r="66" spans="1:6" ht="15.75">
      <c r="A66" s="85">
        <v>5</v>
      </c>
      <c r="B66" s="107" t="s">
        <v>1064</v>
      </c>
      <c r="C66" s="85"/>
      <c r="D66" s="85"/>
      <c r="E66" s="85"/>
      <c r="F66" s="85"/>
    </row>
    <row r="67" spans="1:6" ht="15.75">
      <c r="A67" s="85" t="s">
        <v>24</v>
      </c>
      <c r="B67" s="122"/>
      <c r="C67" s="85"/>
      <c r="D67" s="85"/>
      <c r="E67" s="85"/>
      <c r="F67" s="85"/>
    </row>
    <row r="68" spans="1:6" ht="15.75">
      <c r="A68" s="85">
        <v>1</v>
      </c>
      <c r="B68" s="107" t="s">
        <v>926</v>
      </c>
      <c r="C68" s="85"/>
      <c r="D68" s="85"/>
      <c r="E68" s="85"/>
      <c r="F68" s="85"/>
    </row>
    <row r="69" spans="1:6" ht="15.75">
      <c r="A69" s="85">
        <v>2</v>
      </c>
      <c r="B69" s="107" t="s">
        <v>927</v>
      </c>
      <c r="C69" s="85"/>
      <c r="D69" s="85"/>
      <c r="E69" s="85"/>
      <c r="F69" s="85"/>
    </row>
    <row r="70" spans="1:6" ht="15.75">
      <c r="A70" s="85">
        <v>3</v>
      </c>
      <c r="B70" s="107" t="s">
        <v>928</v>
      </c>
      <c r="C70" s="85"/>
      <c r="D70" s="85"/>
      <c r="E70" s="85"/>
      <c r="F70" s="85"/>
    </row>
    <row r="71" spans="1:6" ht="15.75">
      <c r="A71" s="85">
        <v>4</v>
      </c>
      <c r="B71" s="107" t="s">
        <v>929</v>
      </c>
      <c r="C71" s="85"/>
      <c r="D71" s="85"/>
      <c r="E71" s="85"/>
      <c r="F71" s="85"/>
    </row>
    <row r="72" spans="1:6" ht="15.75">
      <c r="A72" s="85">
        <v>5</v>
      </c>
      <c r="B72" s="107"/>
      <c r="C72" s="85"/>
      <c r="D72" s="85"/>
      <c r="E72" s="85"/>
      <c r="F72" s="85"/>
    </row>
    <row r="73" spans="1:6" ht="15.75">
      <c r="A73" s="85" t="s">
        <v>26</v>
      </c>
      <c r="B73" s="122"/>
      <c r="C73" s="85"/>
      <c r="D73" s="85"/>
      <c r="E73" s="85"/>
      <c r="F73" s="85"/>
    </row>
    <row r="74" spans="1:6" ht="15.75">
      <c r="A74" s="85">
        <v>1</v>
      </c>
      <c r="B74" s="107"/>
      <c r="C74" s="85"/>
      <c r="D74" s="85"/>
      <c r="E74" s="85"/>
      <c r="F74" s="85"/>
    </row>
    <row r="75" spans="1:6" ht="15.75">
      <c r="A75" s="85">
        <v>2</v>
      </c>
      <c r="B75" s="107"/>
      <c r="C75" s="85"/>
      <c r="D75" s="85"/>
      <c r="E75" s="85"/>
      <c r="F75" s="85"/>
    </row>
    <row r="76" spans="1:6" ht="15.75">
      <c r="A76" s="85">
        <v>3</v>
      </c>
      <c r="B76" s="107"/>
      <c r="C76" s="85"/>
      <c r="D76" s="85"/>
      <c r="E76" s="85"/>
      <c r="F76" s="85"/>
    </row>
    <row r="77" spans="1:6" ht="15.75">
      <c r="A77" s="85">
        <v>4</v>
      </c>
      <c r="B77" s="107"/>
      <c r="C77" s="85"/>
      <c r="D77" s="85"/>
      <c r="E77" s="85"/>
      <c r="F77" s="85"/>
    </row>
    <row r="78" spans="1:6" ht="15.75">
      <c r="A78" s="85">
        <v>5</v>
      </c>
      <c r="B78" s="107"/>
      <c r="C78" s="85"/>
      <c r="D78" s="85"/>
      <c r="E78" s="85"/>
      <c r="F78" s="85"/>
    </row>
    <row r="79" spans="1:6" ht="15.75">
      <c r="A79" s="85" t="s">
        <v>28</v>
      </c>
      <c r="B79" s="122"/>
      <c r="C79" s="85"/>
      <c r="D79" s="85"/>
      <c r="E79" s="85"/>
      <c r="F79" s="85"/>
    </row>
    <row r="80" spans="1:6" ht="15.75">
      <c r="A80" s="85">
        <v>1</v>
      </c>
      <c r="B80" s="107"/>
      <c r="C80" s="85"/>
      <c r="D80" s="85"/>
      <c r="E80" s="85"/>
      <c r="F80" s="85"/>
    </row>
    <row r="81" spans="1:6" ht="15.75">
      <c r="A81" s="85">
        <v>2</v>
      </c>
      <c r="B81" s="107"/>
      <c r="C81" s="85"/>
      <c r="D81" s="85"/>
      <c r="E81" s="85"/>
      <c r="F81" s="85"/>
    </row>
    <row r="82" spans="1:6" ht="15.75">
      <c r="A82" s="85">
        <v>3</v>
      </c>
      <c r="B82" s="107"/>
      <c r="C82" s="85"/>
      <c r="D82" s="85"/>
      <c r="E82" s="85"/>
      <c r="F82" s="85"/>
    </row>
    <row r="83" spans="1:6" ht="15.75">
      <c r="A83" s="85">
        <v>4</v>
      </c>
      <c r="B83" s="107"/>
      <c r="C83" s="85"/>
      <c r="D83" s="85"/>
      <c r="E83" s="85"/>
      <c r="F83" s="85"/>
    </row>
    <row r="84" spans="1:6" ht="15.75">
      <c r="A84" s="85">
        <v>5</v>
      </c>
      <c r="B84" s="107"/>
      <c r="C84" s="85"/>
      <c r="D84" s="85"/>
      <c r="E84" s="85"/>
      <c r="F84" s="85"/>
    </row>
    <row r="85" spans="1:6" ht="15.75">
      <c r="A85" s="113" t="str">
        <f>CONCATENATE("County's Final Assessed Valuation for ",C4-1," (November 1,",C4-2," Abstract):")</f>
        <v>County's Final Assessed Valuation for 2012 (November 1,2011 Abstract):</v>
      </c>
      <c r="B85" s="114"/>
      <c r="C85" s="114"/>
      <c r="D85" s="114"/>
      <c r="E85" s="119"/>
      <c r="F85" s="112">
        <v>119795170</v>
      </c>
    </row>
    <row r="86" spans="1:6" ht="15.75">
      <c r="A86" s="84"/>
      <c r="B86" s="85"/>
      <c r="C86" s="85"/>
      <c r="D86" s="85"/>
      <c r="E86" s="85"/>
      <c r="F86" s="85"/>
    </row>
    <row r="87" spans="1:6" ht="15.75">
      <c r="A87" s="85"/>
      <c r="B87" s="85"/>
      <c r="C87" s="85"/>
      <c r="D87" s="85"/>
      <c r="E87" s="85"/>
      <c r="F87" s="85"/>
    </row>
    <row r="88" spans="1:6" ht="15.75">
      <c r="A88" s="124" t="str">
        <f>CONCATENATE("From the ",C4-1," Budget:")</f>
        <v>From the 2012 Budget:</v>
      </c>
      <c r="B88" s="95"/>
      <c r="C88" s="85"/>
      <c r="D88" s="728" t="str">
        <f>CONCATENATE("",C4-3," Tax Rate (",C4-2," Column)")</f>
        <v>2010 Tax Rate (2011 Column)</v>
      </c>
      <c r="E88" s="125"/>
      <c r="F88" s="85"/>
    </row>
    <row r="89" spans="1:6" ht="15.75">
      <c r="A89" s="124" t="s">
        <v>122</v>
      </c>
      <c r="B89" s="126"/>
      <c r="C89" s="85"/>
      <c r="D89" s="729"/>
      <c r="E89" s="125"/>
      <c r="F89" s="85"/>
    </row>
    <row r="90" spans="1:6" ht="15.75">
      <c r="A90" s="85"/>
      <c r="B90" s="127" t="str">
        <f>B16</f>
        <v>General</v>
      </c>
      <c r="C90" s="85"/>
      <c r="D90" s="107">
        <v>22.864</v>
      </c>
      <c r="E90" s="125"/>
      <c r="F90" s="85"/>
    </row>
    <row r="91" spans="1:6" ht="15.75">
      <c r="A91" s="85"/>
      <c r="B91" s="127" t="str">
        <f>B17</f>
        <v>Debt Service</v>
      </c>
      <c r="C91" s="85"/>
      <c r="D91" s="107">
        <v>0</v>
      </c>
      <c r="E91" s="125"/>
      <c r="F91" s="85"/>
    </row>
    <row r="92" spans="1:6" ht="15.75">
      <c r="A92" s="85"/>
      <c r="B92" s="127" t="str">
        <f>B18</f>
        <v>Road &amp; Bridge</v>
      </c>
      <c r="C92" s="85"/>
      <c r="D92" s="107">
        <v>3.891</v>
      </c>
      <c r="E92" s="125"/>
      <c r="F92" s="85"/>
    </row>
    <row r="93" spans="1:6" ht="15.75">
      <c r="A93" s="85"/>
      <c r="B93" s="127" t="str">
        <f aca="true" t="shared" si="1" ref="B93:B114">B19</f>
        <v>Employee Benefits</v>
      </c>
      <c r="C93" s="85"/>
      <c r="D93" s="107">
        <v>9.061</v>
      </c>
      <c r="E93" s="125"/>
      <c r="F93" s="85"/>
    </row>
    <row r="94" spans="1:6" ht="15.75">
      <c r="A94" s="85"/>
      <c r="B94" s="127" t="str">
        <f t="shared" si="1"/>
        <v>Emergency Medical Services</v>
      </c>
      <c r="C94" s="85"/>
      <c r="D94" s="107">
        <v>1.411</v>
      </c>
      <c r="E94" s="125"/>
      <c r="F94" s="85"/>
    </row>
    <row r="95" spans="1:6" ht="15.75">
      <c r="A95" s="85"/>
      <c r="B95" s="127" t="str">
        <f t="shared" si="1"/>
        <v>Noxious Weed</v>
      </c>
      <c r="C95" s="85"/>
      <c r="D95" s="107">
        <v>1.071</v>
      </c>
      <c r="E95" s="125"/>
      <c r="F95" s="85"/>
    </row>
    <row r="96" spans="1:6" ht="15.75">
      <c r="A96" s="85"/>
      <c r="B96" s="127" t="str">
        <f t="shared" si="1"/>
        <v>Health</v>
      </c>
      <c r="C96" s="85"/>
      <c r="D96" s="107">
        <v>0.745</v>
      </c>
      <c r="E96" s="125"/>
      <c r="F96" s="85"/>
    </row>
    <row r="97" spans="1:6" ht="15.75">
      <c r="A97" s="85"/>
      <c r="B97" s="127" t="str">
        <f t="shared" si="1"/>
        <v>Historical Society</v>
      </c>
      <c r="C97" s="85"/>
      <c r="D97" s="107">
        <v>0.809</v>
      </c>
      <c r="E97" s="125"/>
      <c r="F97" s="85"/>
    </row>
    <row r="98" spans="1:6" ht="15.75">
      <c r="A98" s="85"/>
      <c r="B98" s="127" t="str">
        <f t="shared" si="1"/>
        <v>Senior Citizens</v>
      </c>
      <c r="C98" s="85"/>
      <c r="D98" s="107">
        <v>1.998</v>
      </c>
      <c r="E98" s="125"/>
      <c r="F98" s="85"/>
    </row>
    <row r="99" spans="1:6" ht="15.75">
      <c r="A99" s="85"/>
      <c r="B99" s="127">
        <f t="shared" si="1"/>
        <v>0</v>
      </c>
      <c r="C99" s="85"/>
      <c r="D99" s="107"/>
      <c r="E99" s="125"/>
      <c r="F99" s="85"/>
    </row>
    <row r="100" spans="1:6" ht="15.75">
      <c r="A100" s="85"/>
      <c r="B100" s="127">
        <f t="shared" si="1"/>
        <v>0</v>
      </c>
      <c r="C100" s="85"/>
      <c r="D100" s="107"/>
      <c r="E100" s="125"/>
      <c r="F100" s="85"/>
    </row>
    <row r="101" spans="1:6" ht="15.75">
      <c r="A101" s="85"/>
      <c r="B101" s="127">
        <f t="shared" si="1"/>
        <v>0</v>
      </c>
      <c r="C101" s="85"/>
      <c r="D101" s="107"/>
      <c r="E101" s="125"/>
      <c r="F101" s="85"/>
    </row>
    <row r="102" spans="1:6" ht="15.75">
      <c r="A102" s="85"/>
      <c r="B102" s="127">
        <f t="shared" si="1"/>
        <v>0</v>
      </c>
      <c r="C102" s="85"/>
      <c r="D102" s="107"/>
      <c r="E102" s="125"/>
      <c r="F102" s="85"/>
    </row>
    <row r="103" spans="1:6" ht="15.75">
      <c r="A103" s="85"/>
      <c r="B103" s="127">
        <f t="shared" si="1"/>
        <v>0</v>
      </c>
      <c r="C103" s="85"/>
      <c r="D103" s="107"/>
      <c r="E103" s="125"/>
      <c r="F103" s="85"/>
    </row>
    <row r="104" spans="1:6" ht="15.75">
      <c r="A104" s="85"/>
      <c r="B104" s="127">
        <f t="shared" si="1"/>
        <v>0</v>
      </c>
      <c r="C104" s="85"/>
      <c r="D104" s="107"/>
      <c r="E104" s="125"/>
      <c r="F104" s="85"/>
    </row>
    <row r="105" spans="1:6" ht="15.75">
      <c r="A105" s="85"/>
      <c r="B105" s="127">
        <f t="shared" si="1"/>
        <v>0</v>
      </c>
      <c r="C105" s="85"/>
      <c r="D105" s="107"/>
      <c r="E105" s="125"/>
      <c r="F105" s="85"/>
    </row>
    <row r="106" spans="1:6" ht="15.75">
      <c r="A106" s="85"/>
      <c r="B106" s="127">
        <f t="shared" si="1"/>
        <v>0</v>
      </c>
      <c r="C106" s="85"/>
      <c r="D106" s="107"/>
      <c r="E106" s="125"/>
      <c r="F106" s="85"/>
    </row>
    <row r="107" spans="1:6" ht="15.75">
      <c r="A107" s="85"/>
      <c r="B107" s="127">
        <f t="shared" si="1"/>
        <v>0</v>
      </c>
      <c r="C107" s="85"/>
      <c r="D107" s="107"/>
      <c r="E107" s="125"/>
      <c r="F107" s="85"/>
    </row>
    <row r="108" spans="1:6" ht="15.75">
      <c r="A108" s="85"/>
      <c r="B108" s="127">
        <f t="shared" si="1"/>
        <v>0</v>
      </c>
      <c r="C108" s="85"/>
      <c r="D108" s="107"/>
      <c r="E108" s="125"/>
      <c r="F108" s="85"/>
    </row>
    <row r="109" spans="1:6" ht="15.75">
      <c r="A109" s="85"/>
      <c r="B109" s="127">
        <f t="shared" si="1"/>
        <v>0</v>
      </c>
      <c r="C109" s="85"/>
      <c r="D109" s="107"/>
      <c r="E109" s="125"/>
      <c r="F109" s="85"/>
    </row>
    <row r="110" spans="1:6" ht="15.75">
      <c r="A110" s="85"/>
      <c r="B110" s="127">
        <f t="shared" si="1"/>
        <v>0</v>
      </c>
      <c r="C110" s="85"/>
      <c r="D110" s="107"/>
      <c r="E110" s="125"/>
      <c r="F110" s="85"/>
    </row>
    <row r="111" spans="1:6" ht="15.75">
      <c r="A111" s="85"/>
      <c r="B111" s="127">
        <f t="shared" si="1"/>
        <v>0</v>
      </c>
      <c r="C111" s="85"/>
      <c r="D111" s="107"/>
      <c r="E111" s="125"/>
      <c r="F111" s="85"/>
    </row>
    <row r="112" spans="1:6" ht="15.75">
      <c r="A112" s="85"/>
      <c r="B112" s="127">
        <f t="shared" si="1"/>
        <v>0</v>
      </c>
      <c r="C112" s="85"/>
      <c r="D112" s="107"/>
      <c r="E112" s="125"/>
      <c r="F112" s="85"/>
    </row>
    <row r="113" spans="1:6" ht="15.75">
      <c r="A113" s="85"/>
      <c r="B113" s="127">
        <f t="shared" si="1"/>
        <v>0</v>
      </c>
      <c r="C113" s="85"/>
      <c r="D113" s="107"/>
      <c r="E113" s="125"/>
      <c r="F113" s="85"/>
    </row>
    <row r="114" spans="1:6" ht="15.75">
      <c r="A114" s="85"/>
      <c r="B114" s="127">
        <f t="shared" si="1"/>
        <v>0</v>
      </c>
      <c r="C114" s="85"/>
      <c r="D114" s="107"/>
      <c r="E114" s="125"/>
      <c r="F114" s="85"/>
    </row>
    <row r="115" spans="1:6" ht="15.75">
      <c r="A115" s="114" t="s">
        <v>132</v>
      </c>
      <c r="B115" s="114"/>
      <c r="C115" s="119"/>
      <c r="D115" s="117">
        <f>SUM(D90:D114)</f>
        <v>41.849999999999994</v>
      </c>
      <c r="E115" s="125"/>
      <c r="F115" s="85"/>
    </row>
    <row r="116" spans="1:6" ht="15.75">
      <c r="A116" s="85"/>
      <c r="B116" s="85"/>
      <c r="C116" s="85"/>
      <c r="D116" s="85"/>
      <c r="E116" s="85"/>
      <c r="F116" s="85"/>
    </row>
    <row r="117" spans="1:6" ht="15.75">
      <c r="A117" s="128" t="str">
        <f>CONCATENATE("Total Tax Levied (",C4-2," budget column)")</f>
        <v>Total Tax Levied (2011 budget column)</v>
      </c>
      <c r="B117" s="129"/>
      <c r="C117" s="114"/>
      <c r="D117" s="114"/>
      <c r="E117" s="119"/>
      <c r="F117" s="112">
        <v>4880275</v>
      </c>
    </row>
    <row r="118" spans="1:6" ht="15.75">
      <c r="A118" s="130" t="str">
        <f>CONCATENATE("Assessed Valuation  (",C4-2," budget column)")</f>
        <v>Assessed Valuation  (2011 budget column)</v>
      </c>
      <c r="B118" s="131"/>
      <c r="C118" s="132"/>
      <c r="D118" s="132"/>
      <c r="E118" s="115"/>
      <c r="F118" s="112">
        <v>116612742</v>
      </c>
    </row>
    <row r="119" spans="1:6" ht="15.75">
      <c r="A119" s="121"/>
      <c r="B119" s="88"/>
      <c r="C119" s="88"/>
      <c r="D119" s="88"/>
      <c r="E119" s="88"/>
      <c r="F119" s="133"/>
    </row>
    <row r="120" spans="1:6" ht="15.75">
      <c r="A120" s="134" t="str">
        <f>CONCATENATE("From the ",C4-1," Budget, Budget Summary Page:")</f>
        <v>From the 2012 Budget, Budget Summary Page:</v>
      </c>
      <c r="B120" s="135"/>
      <c r="C120" s="125"/>
      <c r="D120" s="125"/>
      <c r="E120" s="125"/>
      <c r="F120" s="125"/>
    </row>
    <row r="121" spans="1:6" ht="15.75">
      <c r="A121" s="136" t="s">
        <v>0</v>
      </c>
      <c r="B121" s="136"/>
      <c r="C121" s="137"/>
      <c r="D121" s="138">
        <f>C4-3</f>
        <v>2010</v>
      </c>
      <c r="E121" s="139">
        <f>C4-2</f>
        <v>2011</v>
      </c>
      <c r="F121" s="125"/>
    </row>
    <row r="122" spans="1:6" ht="15.75">
      <c r="A122" s="140" t="s">
        <v>1</v>
      </c>
      <c r="B122" s="140"/>
      <c r="C122" s="141"/>
      <c r="D122" s="105">
        <v>0</v>
      </c>
      <c r="E122" s="105">
        <v>0</v>
      </c>
      <c r="F122" s="125"/>
    </row>
    <row r="123" spans="1:6" s="143" customFormat="1" ht="15.75">
      <c r="A123" s="142" t="s">
        <v>2</v>
      </c>
      <c r="B123" s="142"/>
      <c r="C123" s="141"/>
      <c r="D123" s="105">
        <v>0</v>
      </c>
      <c r="E123" s="105">
        <v>0</v>
      </c>
      <c r="F123" s="137"/>
    </row>
    <row r="124" spans="1:6" s="143" customFormat="1" ht="15.75">
      <c r="A124" s="142" t="s">
        <v>3</v>
      </c>
      <c r="B124" s="142"/>
      <c r="C124" s="141"/>
      <c r="D124" s="105">
        <v>0</v>
      </c>
      <c r="E124" s="105">
        <v>0</v>
      </c>
      <c r="F124" s="137"/>
    </row>
    <row r="125" spans="1:6" s="143" customFormat="1" ht="15.75">
      <c r="A125" s="142" t="s">
        <v>4</v>
      </c>
      <c r="B125" s="142"/>
      <c r="C125" s="141"/>
      <c r="D125" s="105">
        <v>3200671</v>
      </c>
      <c r="E125" s="105">
        <v>2861846</v>
      </c>
      <c r="F125" s="137"/>
    </row>
    <row r="126" s="143" customFormat="1" ht="15.75"/>
  </sheetData>
  <sheetProtection sheet="1"/>
  <mergeCells count="4">
    <mergeCell ref="D88:D89"/>
    <mergeCell ref="A9:F9"/>
    <mergeCell ref="A1:F1"/>
    <mergeCell ref="H6:I11"/>
  </mergeCells>
  <printOptions/>
  <pageMargins left="0.5" right="0.5" top="1" bottom="0.5" header="0.5" footer="0.25"/>
  <pageSetup blackAndWhite="1" fitToHeight="3" fitToWidth="1" horizontalDpi="120" verticalDpi="12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B1" sqref="B1"/>
    </sheetView>
  </sheetViews>
  <sheetFormatPr defaultColWidth="8.796875" defaultRowHeight="15"/>
  <cols>
    <col min="1" max="1" width="2.3984375" style="72" customWidth="1"/>
    <col min="2" max="2" width="31.09765625" style="72" customWidth="1"/>
    <col min="3" max="4" width="15.796875" style="72" customWidth="1"/>
    <col min="5" max="5" width="16.19921875" style="72" customWidth="1"/>
    <col min="6" max="6" width="7.3984375" style="72" customWidth="1"/>
    <col min="7" max="7" width="10.19921875" style="72" customWidth="1"/>
    <col min="8" max="8" width="8.8984375" style="72" customWidth="1"/>
    <col min="9" max="9" width="5" style="72" customWidth="1"/>
    <col min="10" max="10" width="10" style="72" customWidth="1"/>
    <col min="11"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242</v>
      </c>
      <c r="C3" s="334"/>
      <c r="D3" s="334"/>
      <c r="E3" s="335"/>
    </row>
    <row r="4" spans="2:5" ht="15.75">
      <c r="B4" s="84" t="s">
        <v>160</v>
      </c>
      <c r="C4" s="703" t="s">
        <v>844</v>
      </c>
      <c r="D4" s="704" t="s">
        <v>845</v>
      </c>
      <c r="E4" s="215" t="s">
        <v>846</v>
      </c>
    </row>
    <row r="5" spans="2:5" ht="15.75">
      <c r="B5" s="484" t="str">
        <f>inputPrYr!B23</f>
        <v>Historical Society</v>
      </c>
      <c r="C5" s="455" t="str">
        <f>CONCATENATE("Actual for ",E1-2,"")</f>
        <v>Actual for 2011</v>
      </c>
      <c r="D5" s="455" t="str">
        <f>CONCATENATE("Estimate for ",E1-1,"")</f>
        <v>Estimate for 2012</v>
      </c>
      <c r="E5" s="303" t="str">
        <f>CONCATENATE("Year for ",E1,"")</f>
        <v>Year for 2013</v>
      </c>
    </row>
    <row r="6" spans="2:5" ht="15.75">
      <c r="B6" s="148" t="s">
        <v>284</v>
      </c>
      <c r="C6" s="452">
        <v>1674</v>
      </c>
      <c r="D6" s="456">
        <f>C34</f>
        <v>127</v>
      </c>
      <c r="E6" s="266">
        <f>D34</f>
        <v>2269</v>
      </c>
    </row>
    <row r="7" spans="2:5" ht="15.75">
      <c r="B7" s="291" t="s">
        <v>286</v>
      </c>
      <c r="C7" s="306"/>
      <c r="D7" s="306"/>
      <c r="E7" s="127"/>
    </row>
    <row r="8" spans="2:5" ht="15.75">
      <c r="B8" s="148" t="s">
        <v>161</v>
      </c>
      <c r="C8" s="452">
        <v>92151</v>
      </c>
      <c r="D8" s="456">
        <f>IF(inputPrYr!H23&gt;0,inputPrYr!H23,inputPrYr!E23)</f>
        <v>109263</v>
      </c>
      <c r="E8" s="338" t="s">
        <v>148</v>
      </c>
    </row>
    <row r="9" spans="2:5" ht="15.75">
      <c r="B9" s="148" t="s">
        <v>162</v>
      </c>
      <c r="C9" s="452">
        <v>1894</v>
      </c>
      <c r="D9" s="452"/>
      <c r="E9" s="112"/>
    </row>
    <row r="10" spans="2:5" ht="15.75">
      <c r="B10" s="148" t="s">
        <v>163</v>
      </c>
      <c r="C10" s="452">
        <v>8986</v>
      </c>
      <c r="D10" s="452">
        <v>7469</v>
      </c>
      <c r="E10" s="266">
        <f>mvalloc!E14</f>
        <v>8414</v>
      </c>
    </row>
    <row r="11" spans="2:5" ht="15.75">
      <c r="B11" s="148" t="s">
        <v>164</v>
      </c>
      <c r="C11" s="452">
        <v>182</v>
      </c>
      <c r="D11" s="452">
        <v>157</v>
      </c>
      <c r="E11" s="266">
        <f>mvalloc!F14</f>
        <v>170</v>
      </c>
    </row>
    <row r="12" spans="2:5" ht="15.75">
      <c r="B12" s="306" t="s">
        <v>233</v>
      </c>
      <c r="C12" s="452">
        <v>545</v>
      </c>
      <c r="D12" s="452">
        <v>253</v>
      </c>
      <c r="E12" s="266">
        <f>mvalloc!G14</f>
        <v>532</v>
      </c>
    </row>
    <row r="13" spans="2:5" ht="15.75">
      <c r="B13" s="319" t="s">
        <v>1000</v>
      </c>
      <c r="C13" s="452">
        <v>106</v>
      </c>
      <c r="D13" s="452">
        <v>0</v>
      </c>
      <c r="E13" s="112">
        <v>0</v>
      </c>
    </row>
    <row r="14" spans="2:5" ht="15.75">
      <c r="B14" s="319"/>
      <c r="C14" s="452"/>
      <c r="D14" s="452"/>
      <c r="E14" s="112"/>
    </row>
    <row r="15" spans="2:5" ht="15.75">
      <c r="B15" s="319"/>
      <c r="C15" s="452"/>
      <c r="D15" s="452"/>
      <c r="E15" s="112"/>
    </row>
    <row r="16" spans="2:5" ht="15.75">
      <c r="B16" s="319" t="s">
        <v>1046</v>
      </c>
      <c r="C16" s="452">
        <v>-1726</v>
      </c>
      <c r="D16" s="452"/>
      <c r="E16" s="112"/>
    </row>
    <row r="17" spans="2:5" ht="15.75">
      <c r="B17" s="309" t="s">
        <v>165</v>
      </c>
      <c r="C17" s="452"/>
      <c r="D17" s="452"/>
      <c r="E17" s="112"/>
    </row>
    <row r="18" spans="2:5" ht="15.75">
      <c r="B18" s="310" t="s">
        <v>75</v>
      </c>
      <c r="C18" s="452"/>
      <c r="D18" s="452"/>
      <c r="E18" s="112"/>
    </row>
    <row r="19" spans="2:5" ht="15.75">
      <c r="B19" s="310" t="s">
        <v>684</v>
      </c>
      <c r="C19" s="453">
        <f>IF(C20*0.1&lt;C18,"Exceed 10% Rule","")</f>
      </c>
      <c r="D19" s="453">
        <f>IF(D20*0.1&lt;D18,"Exceed 10% Rule","")</f>
      </c>
      <c r="E19" s="345">
        <f>IF(E20*0.1+E40&lt;E18,"Exceed 10% Rule","")</f>
      </c>
    </row>
    <row r="20" spans="2:5" ht="15.75">
      <c r="B20" s="312" t="s">
        <v>166</v>
      </c>
      <c r="C20" s="454">
        <f>SUM(C8:C18)</f>
        <v>102138</v>
      </c>
      <c r="D20" s="454">
        <f>SUM(D8:D18)</f>
        <v>117142</v>
      </c>
      <c r="E20" s="353">
        <f>SUM(E8:E18)</f>
        <v>9116</v>
      </c>
    </row>
    <row r="21" spans="2:5" ht="15.75">
      <c r="B21" s="312" t="s">
        <v>167</v>
      </c>
      <c r="C21" s="454">
        <f>C6+C20</f>
        <v>103812</v>
      </c>
      <c r="D21" s="454">
        <f>D6+D20</f>
        <v>117269</v>
      </c>
      <c r="E21" s="353">
        <f>E6+E20</f>
        <v>11385</v>
      </c>
    </row>
    <row r="22" spans="2:5" ht="15.75">
      <c r="B22" s="148" t="s">
        <v>170</v>
      </c>
      <c r="C22" s="310"/>
      <c r="D22" s="310"/>
      <c r="E22" s="108"/>
    </row>
    <row r="23" spans="2:5" ht="15.75">
      <c r="B23" s="319" t="s">
        <v>950</v>
      </c>
      <c r="C23" s="452">
        <v>101959</v>
      </c>
      <c r="D23" s="452">
        <v>112967</v>
      </c>
      <c r="E23" s="112">
        <v>130000</v>
      </c>
    </row>
    <row r="24" spans="2:10" ht="15.75">
      <c r="B24" s="319"/>
      <c r="C24" s="452"/>
      <c r="D24" s="452"/>
      <c r="E24" s="112"/>
      <c r="G24" s="782" t="str">
        <f>CONCATENATE("Desired Carryover Into ",E1+1,"")</f>
        <v>Desired Carryover Into 2014</v>
      </c>
      <c r="H24" s="783"/>
      <c r="I24" s="783"/>
      <c r="J24" s="784"/>
    </row>
    <row r="25" spans="2:10" ht="15.75">
      <c r="B25" s="319"/>
      <c r="C25" s="452"/>
      <c r="D25" s="452"/>
      <c r="E25" s="112"/>
      <c r="G25" s="650"/>
      <c r="H25" s="651"/>
      <c r="I25" s="652"/>
      <c r="J25" s="653"/>
    </row>
    <row r="26" spans="2:10" ht="15.75">
      <c r="B26" s="319"/>
      <c r="C26" s="452"/>
      <c r="D26" s="452"/>
      <c r="E26" s="112"/>
      <c r="G26" s="654" t="s">
        <v>690</v>
      </c>
      <c r="H26" s="652"/>
      <c r="I26" s="652"/>
      <c r="J26" s="655">
        <v>0</v>
      </c>
    </row>
    <row r="27" spans="2:10" ht="15.75">
      <c r="B27" s="319"/>
      <c r="C27" s="452"/>
      <c r="D27" s="452"/>
      <c r="E27" s="112"/>
      <c r="G27" s="650" t="s">
        <v>691</v>
      </c>
      <c r="H27" s="651"/>
      <c r="I27" s="651"/>
      <c r="J27" s="656">
        <f>IF(J26=0,"",ROUND((J26+E40-G39)/inputOth!E6*1000,3)-G44)</f>
      </c>
    </row>
    <row r="28" spans="2:10" ht="15.75">
      <c r="B28" s="319"/>
      <c r="C28" s="452"/>
      <c r="D28" s="452"/>
      <c r="E28" s="112"/>
      <c r="G28" s="657" t="str">
        <f>CONCATENATE("",E1," Tot Exp/Non-Appr Must Be:")</f>
        <v>2013 Tot Exp/Non-Appr Must Be:</v>
      </c>
      <c r="H28" s="658"/>
      <c r="I28" s="659"/>
      <c r="J28" s="660">
        <f>IF(J26&gt;0,IF(E37&lt;E21,IF(J26=G39,E37,((J26-G39)*(1-D39))+E21),E37+(J26-G39)),0)</f>
        <v>0</v>
      </c>
    </row>
    <row r="29" spans="2:10" ht="15.75">
      <c r="B29" s="319"/>
      <c r="C29" s="452"/>
      <c r="D29" s="452"/>
      <c r="E29" s="112"/>
      <c r="G29" s="661" t="s">
        <v>842</v>
      </c>
      <c r="H29" s="662"/>
      <c r="I29" s="662"/>
      <c r="J29" s="663">
        <f>IF(J26&gt;0,J28-E37,0)</f>
        <v>0</v>
      </c>
    </row>
    <row r="30" spans="2:10" ht="15.75">
      <c r="B30" s="310" t="s">
        <v>77</v>
      </c>
      <c r="C30" s="452">
        <v>1726</v>
      </c>
      <c r="D30" s="452">
        <v>2033</v>
      </c>
      <c r="E30" s="120">
        <f>Nhood!E13</f>
        <v>2554</v>
      </c>
      <c r="G30" s="1"/>
      <c r="H30" s="1"/>
      <c r="I30" s="1"/>
      <c r="J30" s="1"/>
    </row>
    <row r="31" spans="2:10" ht="15.75">
      <c r="B31" s="310" t="s">
        <v>75</v>
      </c>
      <c r="C31" s="452"/>
      <c r="D31" s="452"/>
      <c r="E31" s="112"/>
      <c r="G31" s="782" t="str">
        <f>CONCATENATE("Projected Carryover Into ",E1+1,"")</f>
        <v>Projected Carryover Into 2014</v>
      </c>
      <c r="H31" s="789"/>
      <c r="I31" s="789"/>
      <c r="J31" s="790"/>
    </row>
    <row r="32" spans="2:10" ht="15.75">
      <c r="B32" s="310" t="s">
        <v>683</v>
      </c>
      <c r="C32" s="453">
        <f>IF(C33*0.1&lt;C31,"Exceed 10% Rule","")</f>
      </c>
      <c r="D32" s="453">
        <f>IF(D33*0.1&lt;D31,"Exceed 10% Rule","")</f>
      </c>
      <c r="E32" s="345">
        <f>IF(E33*0.1&lt;E31,"Exceed 10% Rule","")</f>
      </c>
      <c r="G32" s="650"/>
      <c r="H32" s="652"/>
      <c r="I32" s="652"/>
      <c r="J32" s="678"/>
    </row>
    <row r="33" spans="2:10" ht="15.75">
      <c r="B33" s="312" t="s">
        <v>171</v>
      </c>
      <c r="C33" s="454">
        <f>SUM(C23:C31)</f>
        <v>103685</v>
      </c>
      <c r="D33" s="454">
        <f>SUM(D23:D31)</f>
        <v>115000</v>
      </c>
      <c r="E33" s="353">
        <f>SUM(E23:E31)</f>
        <v>132554</v>
      </c>
      <c r="G33" s="679">
        <f>D34</f>
        <v>2269</v>
      </c>
      <c r="H33" s="669" t="str">
        <f>CONCATENATE("",E1-1," Ending Cash Balance (est.)")</f>
        <v>2012 Ending Cash Balance (est.)</v>
      </c>
      <c r="I33" s="680"/>
      <c r="J33" s="678"/>
    </row>
    <row r="34" spans="2:10" ht="15.75">
      <c r="B34" s="148" t="s">
        <v>285</v>
      </c>
      <c r="C34" s="457">
        <f>C21-C33</f>
        <v>127</v>
      </c>
      <c r="D34" s="457">
        <f>D21-D33</f>
        <v>2269</v>
      </c>
      <c r="E34" s="338" t="s">
        <v>148</v>
      </c>
      <c r="G34" s="679">
        <f>E20</f>
        <v>9116</v>
      </c>
      <c r="H34" s="652" t="str">
        <f>CONCATENATE("",E1," Non-AV Receipts (est.)")</f>
        <v>2013 Non-AV Receipts (est.)</v>
      </c>
      <c r="I34" s="680"/>
      <c r="J34" s="678"/>
    </row>
    <row r="35" spans="2:11" ht="15.75">
      <c r="B35" s="288" t="str">
        <f>CONCATENATE("",E$1-2,"/",E$1-1," Budget Authority Amount:")</f>
        <v>2011/2012 Budget Authority Amount:</v>
      </c>
      <c r="C35" s="280">
        <f>inputOth!B37</f>
        <v>115000</v>
      </c>
      <c r="D35" s="280">
        <f>inputPrYr!D23</f>
        <v>115000</v>
      </c>
      <c r="E35" s="338" t="s">
        <v>148</v>
      </c>
      <c r="F35" s="321"/>
      <c r="G35" s="681">
        <f>IF(E39&gt;0,E38,E40)</f>
        <v>121169</v>
      </c>
      <c r="H35" s="652" t="str">
        <f>CONCATENATE("",E1," Ad Valorem Tax (est.)")</f>
        <v>2013 Ad Valorem Tax (est.)</v>
      </c>
      <c r="I35" s="680"/>
      <c r="J35" s="678"/>
      <c r="K35" s="666" t="str">
        <f>IF(G35=E40,"","Note: Does not include Delinquent Taxes")</f>
        <v>Note: Does not include Delinquent Taxes</v>
      </c>
    </row>
    <row r="36" spans="2:10" ht="15.75">
      <c r="B36" s="288"/>
      <c r="C36" s="772" t="s">
        <v>687</v>
      </c>
      <c r="D36" s="773"/>
      <c r="E36" s="112"/>
      <c r="F36" s="502">
        <f>IF(E33/0.95-E33&lt;E36,"Exceeds 5%","")</f>
      </c>
      <c r="G36" s="679">
        <f>SUM(G33:G35)</f>
        <v>132554</v>
      </c>
      <c r="H36" s="652" t="str">
        <f>CONCATENATE("Total ",E1," Resources Available")</f>
        <v>Total 2013 Resources Available</v>
      </c>
      <c r="I36" s="680"/>
      <c r="J36" s="678"/>
    </row>
    <row r="37" spans="2:10" ht="15.75">
      <c r="B37" s="506" t="str">
        <f>CONCATENATE(C91,"     ",D91)</f>
        <v>     </v>
      </c>
      <c r="C37" s="774" t="s">
        <v>688</v>
      </c>
      <c r="D37" s="775"/>
      <c r="E37" s="266">
        <f>E33+E36</f>
        <v>132554</v>
      </c>
      <c r="G37" s="682"/>
      <c r="H37" s="652"/>
      <c r="I37" s="652"/>
      <c r="J37" s="678"/>
    </row>
    <row r="38" spans="2:10" ht="15.75">
      <c r="B38" s="506" t="str">
        <f>CONCATENATE(C92,"     ",D92)</f>
        <v>     </v>
      </c>
      <c r="C38" s="322"/>
      <c r="D38" s="240" t="s">
        <v>172</v>
      </c>
      <c r="E38" s="120">
        <f>IF(E37-E21&gt;0,E37-E21,0)</f>
        <v>121169</v>
      </c>
      <c r="G38" s="681">
        <f>ROUND(C33*0.05+C33,0)</f>
        <v>108869</v>
      </c>
      <c r="H38" s="652" t="str">
        <f>CONCATENATE("Less ",E1-2," Expenditures + 5%")</f>
        <v>Less 2011 Expenditures + 5%</v>
      </c>
      <c r="I38" s="680"/>
      <c r="J38" s="683"/>
    </row>
    <row r="39" spans="2:10" ht="15.75">
      <c r="B39" s="240"/>
      <c r="C39" s="504" t="s">
        <v>689</v>
      </c>
      <c r="D39" s="649">
        <f>inputOth!$E$23</f>
        <v>0.03</v>
      </c>
      <c r="E39" s="266">
        <f>ROUND(IF(D39&gt;0,($E$38*D39),0),0)</f>
        <v>3635</v>
      </c>
      <c r="G39" s="684">
        <f>G36-G38</f>
        <v>23685</v>
      </c>
      <c r="H39" s="685" t="str">
        <f>CONCATENATE("Projected ",E1+1," carryover (est.)")</f>
        <v>Projected 2014 carryover (est.)</v>
      </c>
      <c r="I39" s="686"/>
      <c r="J39" s="687"/>
    </row>
    <row r="40" spans="2:10" ht="15.75">
      <c r="B40" s="85"/>
      <c r="C40" s="780" t="str">
        <f>CONCATENATE("Amount of  ",$E$1-1," Ad Valorem Tax")</f>
        <v>Amount of  2012 Ad Valorem Tax</v>
      </c>
      <c r="D40" s="781"/>
      <c r="E40" s="349">
        <f>E38+E39</f>
        <v>124804</v>
      </c>
      <c r="G40" s="1"/>
      <c r="H40" s="1"/>
      <c r="I40" s="1"/>
      <c r="J40" s="1"/>
    </row>
    <row r="41" spans="2:10" ht="15.75">
      <c r="B41" s="85"/>
      <c r="C41" s="328"/>
      <c r="D41" s="328"/>
      <c r="E41" s="328"/>
      <c r="G41" s="785" t="s">
        <v>843</v>
      </c>
      <c r="H41" s="786"/>
      <c r="I41" s="786"/>
      <c r="J41" s="787"/>
    </row>
    <row r="42" spans="2:10" ht="15.75">
      <c r="B42" s="84" t="s">
        <v>160</v>
      </c>
      <c r="C42" s="703" t="str">
        <f aca="true" t="shared" si="0" ref="C42:E43">C4</f>
        <v>Prior Year </v>
      </c>
      <c r="D42" s="704" t="str">
        <f t="shared" si="0"/>
        <v>Current Year </v>
      </c>
      <c r="E42" s="215" t="str">
        <f t="shared" si="0"/>
        <v>Proposed Budget </v>
      </c>
      <c r="G42" s="668"/>
      <c r="H42" s="669"/>
      <c r="I42" s="670"/>
      <c r="J42" s="671"/>
    </row>
    <row r="43" spans="2:10" ht="15.75">
      <c r="B43" s="484" t="str">
        <f>inputPrYr!B24</f>
        <v>Senior Citizens</v>
      </c>
      <c r="C43" s="455" t="str">
        <f t="shared" si="0"/>
        <v>Actual for 2011</v>
      </c>
      <c r="D43" s="455" t="str">
        <f t="shared" si="0"/>
        <v>Estimate for 2012</v>
      </c>
      <c r="E43" s="316" t="str">
        <f t="shared" si="0"/>
        <v>Year for 2013</v>
      </c>
      <c r="G43" s="672">
        <f>summ!H23</f>
        <v>1</v>
      </c>
      <c r="H43" s="669" t="str">
        <f>CONCATENATE("",E1," Fund Mill Rate")</f>
        <v>2013 Fund Mill Rate</v>
      </c>
      <c r="I43" s="670"/>
      <c r="J43" s="671"/>
    </row>
    <row r="44" spans="2:10" ht="15.75">
      <c r="B44" s="148" t="s">
        <v>284</v>
      </c>
      <c r="C44" s="452">
        <v>3255</v>
      </c>
      <c r="D44" s="456">
        <f>C74</f>
        <v>4229</v>
      </c>
      <c r="E44" s="266">
        <f>D74</f>
        <v>2478</v>
      </c>
      <c r="G44" s="673">
        <f>summ!E23</f>
        <v>0.913</v>
      </c>
      <c r="H44" s="669" t="str">
        <f>CONCATENATE("",E1-1," Fund Mill Rate")</f>
        <v>2012 Fund Mill Rate</v>
      </c>
      <c r="I44" s="670"/>
      <c r="J44" s="671"/>
    </row>
    <row r="45" spans="2:10" ht="15.75">
      <c r="B45" s="291" t="s">
        <v>286</v>
      </c>
      <c r="C45" s="306"/>
      <c r="D45" s="306"/>
      <c r="E45" s="127"/>
      <c r="G45" s="674">
        <f>summ!H61</f>
        <v>42.760999999999996</v>
      </c>
      <c r="H45" s="669" t="str">
        <f>CONCATENATE("Total ",E1," Mill Rate")</f>
        <v>Total 2013 Mill Rate</v>
      </c>
      <c r="I45" s="670"/>
      <c r="J45" s="671"/>
    </row>
    <row r="46" spans="2:10" ht="15.75">
      <c r="B46" s="148" t="s">
        <v>161</v>
      </c>
      <c r="C46" s="452">
        <v>227481</v>
      </c>
      <c r="D46" s="456">
        <f>IF(inputPrYr!H24&gt;0,inputPrYr!H24,inputPrYr!E24)</f>
        <v>229911</v>
      </c>
      <c r="E46" s="338" t="s">
        <v>148</v>
      </c>
      <c r="G46" s="673">
        <f>summ!E61</f>
        <v>43.934999999999995</v>
      </c>
      <c r="H46" s="675" t="str">
        <f>CONCATENATE("Total ",E1-1," Mill Rate")</f>
        <v>Total 2012 Mill Rate</v>
      </c>
      <c r="I46" s="676"/>
      <c r="J46" s="677"/>
    </row>
    <row r="47" spans="2:10" ht="15.75">
      <c r="B47" s="148" t="s">
        <v>162</v>
      </c>
      <c r="C47" s="452">
        <v>3997</v>
      </c>
      <c r="D47" s="452"/>
      <c r="E47" s="112"/>
      <c r="G47" s="1"/>
      <c r="H47" s="1"/>
      <c r="I47" s="1"/>
      <c r="J47" s="1"/>
    </row>
    <row r="48" spans="2:10" ht="15.75">
      <c r="B48" s="148" t="s">
        <v>163</v>
      </c>
      <c r="C48" s="452">
        <v>17773</v>
      </c>
      <c r="D48" s="452">
        <v>18442</v>
      </c>
      <c r="E48" s="266">
        <f>mvalloc!E15</f>
        <v>17704</v>
      </c>
      <c r="G48" s="1"/>
      <c r="H48" s="1"/>
      <c r="I48" s="1"/>
      <c r="J48" s="1"/>
    </row>
    <row r="49" spans="2:10" ht="15.75">
      <c r="B49" s="148" t="s">
        <v>164</v>
      </c>
      <c r="C49" s="452">
        <v>360</v>
      </c>
      <c r="D49" s="452">
        <v>387</v>
      </c>
      <c r="E49" s="266">
        <f>mvalloc!F15</f>
        <v>358</v>
      </c>
      <c r="G49" s="1"/>
      <c r="H49" s="1"/>
      <c r="I49" s="1"/>
      <c r="J49" s="1"/>
    </row>
    <row r="50" spans="2:10" ht="15.75">
      <c r="B50" s="306" t="s">
        <v>233</v>
      </c>
      <c r="C50" s="452">
        <v>1060</v>
      </c>
      <c r="D50" s="452">
        <v>626</v>
      </c>
      <c r="E50" s="266">
        <f>mvalloc!G15</f>
        <v>1120</v>
      </c>
      <c r="G50" s="1"/>
      <c r="H50" s="1"/>
      <c r="I50" s="1"/>
      <c r="J50" s="1"/>
    </row>
    <row r="51" spans="2:10" ht="15.75">
      <c r="B51" s="319" t="s">
        <v>933</v>
      </c>
      <c r="C51" s="452">
        <v>262</v>
      </c>
      <c r="D51" s="452">
        <v>0</v>
      </c>
      <c r="E51" s="112">
        <v>0</v>
      </c>
      <c r="G51" s="1"/>
      <c r="H51" s="1"/>
      <c r="I51" s="1"/>
      <c r="J51" s="1"/>
    </row>
    <row r="52" spans="2:10" ht="15.75">
      <c r="B52" s="319"/>
      <c r="C52" s="452"/>
      <c r="D52" s="452"/>
      <c r="E52" s="112"/>
      <c r="G52" s="1"/>
      <c r="H52" s="1"/>
      <c r="I52" s="1"/>
      <c r="J52" s="1"/>
    </row>
    <row r="53" spans="2:10" ht="15.75">
      <c r="B53" s="319"/>
      <c r="C53" s="452"/>
      <c r="D53" s="452"/>
      <c r="E53" s="112"/>
      <c r="G53" s="1"/>
      <c r="H53" s="1"/>
      <c r="I53" s="1"/>
      <c r="J53" s="1"/>
    </row>
    <row r="54" spans="2:10" ht="15.75">
      <c r="B54" s="319"/>
      <c r="C54" s="452"/>
      <c r="D54" s="452"/>
      <c r="E54" s="112"/>
      <c r="G54" s="1"/>
      <c r="H54" s="1"/>
      <c r="I54" s="1"/>
      <c r="J54" s="1"/>
    </row>
    <row r="55" spans="2:10" ht="15.75">
      <c r="B55" s="319"/>
      <c r="C55" s="452"/>
      <c r="D55" s="452"/>
      <c r="E55" s="112"/>
      <c r="G55" s="1"/>
      <c r="H55" s="1"/>
      <c r="I55" s="1"/>
      <c r="J55" s="1"/>
    </row>
    <row r="56" spans="2:10" ht="15.75">
      <c r="B56" s="319"/>
      <c r="C56" s="452"/>
      <c r="D56" s="452"/>
      <c r="E56" s="112"/>
      <c r="G56" s="1"/>
      <c r="H56" s="1"/>
      <c r="I56" s="1"/>
      <c r="J56" s="1"/>
    </row>
    <row r="57" spans="2:10" ht="15.75">
      <c r="B57" s="309" t="s">
        <v>165</v>
      </c>
      <c r="C57" s="452"/>
      <c r="D57" s="452"/>
      <c r="E57" s="112"/>
      <c r="G57" s="1"/>
      <c r="H57" s="1"/>
      <c r="I57" s="1"/>
      <c r="J57" s="1"/>
    </row>
    <row r="58" spans="2:10" ht="15.75">
      <c r="B58" s="310" t="s">
        <v>75</v>
      </c>
      <c r="C58" s="452"/>
      <c r="D58" s="452"/>
      <c r="E58" s="112"/>
      <c r="G58" s="1"/>
      <c r="H58" s="1"/>
      <c r="I58" s="1"/>
      <c r="J58" s="1"/>
    </row>
    <row r="59" spans="2:10" ht="15.75">
      <c r="B59" s="310" t="s">
        <v>684</v>
      </c>
      <c r="C59" s="453">
        <f>IF(C60*0.1&lt;C58,"Exceed 10% Rule","")</f>
      </c>
      <c r="D59" s="453">
        <f>IF(D60*0.1&lt;D58,"Exceed 10% Rule","")</f>
      </c>
      <c r="E59" s="345">
        <f>IF(E60*0.1+E80&lt;E58,"Exceed 10% Rule","")</f>
      </c>
      <c r="G59" s="1"/>
      <c r="H59" s="1"/>
      <c r="I59" s="1"/>
      <c r="J59" s="1"/>
    </row>
    <row r="60" spans="2:10" ht="15.75">
      <c r="B60" s="312" t="s">
        <v>166</v>
      </c>
      <c r="C60" s="454">
        <f>SUM(C46:C58)</f>
        <v>250933</v>
      </c>
      <c r="D60" s="454">
        <f>SUM(D46:D58)</f>
        <v>249366</v>
      </c>
      <c r="E60" s="353">
        <f>SUM(E46:E58)</f>
        <v>19182</v>
      </c>
      <c r="G60" s="1"/>
      <c r="H60" s="1"/>
      <c r="I60" s="1"/>
      <c r="J60" s="1"/>
    </row>
    <row r="61" spans="2:10" ht="15.75">
      <c r="B61" s="312" t="s">
        <v>167</v>
      </c>
      <c r="C61" s="454">
        <f>C44+C60</f>
        <v>254188</v>
      </c>
      <c r="D61" s="454">
        <f>D44+D60</f>
        <v>253595</v>
      </c>
      <c r="E61" s="353">
        <f>E44+E60</f>
        <v>21660</v>
      </c>
      <c r="G61" s="1"/>
      <c r="H61" s="1"/>
      <c r="I61" s="1"/>
      <c r="J61" s="1"/>
    </row>
    <row r="62" spans="2:10" ht="15.75">
      <c r="B62" s="148" t="s">
        <v>170</v>
      </c>
      <c r="C62" s="310"/>
      <c r="D62" s="310"/>
      <c r="E62" s="108"/>
      <c r="G62" s="1"/>
      <c r="H62" s="1"/>
      <c r="I62" s="1"/>
      <c r="J62" s="1"/>
    </row>
    <row r="63" spans="2:10" ht="15.75">
      <c r="B63" s="319" t="s">
        <v>950</v>
      </c>
      <c r="C63" s="452">
        <v>245696</v>
      </c>
      <c r="D63" s="452">
        <v>246329</v>
      </c>
      <c r="E63" s="112">
        <v>251766</v>
      </c>
      <c r="G63" s="1"/>
      <c r="H63" s="1"/>
      <c r="I63" s="1"/>
      <c r="J63" s="1"/>
    </row>
    <row r="64" spans="2:10" ht="15.75">
      <c r="B64" s="319"/>
      <c r="C64" s="452"/>
      <c r="D64" s="452"/>
      <c r="E64" s="112"/>
      <c r="G64" s="782" t="str">
        <f>CONCATENATE("Desired Carryover Into ",E1+1,"")</f>
        <v>Desired Carryover Into 2014</v>
      </c>
      <c r="H64" s="783"/>
      <c r="I64" s="783"/>
      <c r="J64" s="784"/>
    </row>
    <row r="65" spans="2:10" ht="15.75">
      <c r="B65" s="319"/>
      <c r="C65" s="452"/>
      <c r="D65" s="452"/>
      <c r="E65" s="112"/>
      <c r="G65" s="650"/>
      <c r="H65" s="651"/>
      <c r="I65" s="652"/>
      <c r="J65" s="653"/>
    </row>
    <row r="66" spans="2:10" ht="15.75">
      <c r="B66" s="319"/>
      <c r="C66" s="452"/>
      <c r="D66" s="452"/>
      <c r="E66" s="112"/>
      <c r="G66" s="654" t="s">
        <v>690</v>
      </c>
      <c r="H66" s="652"/>
      <c r="I66" s="652"/>
      <c r="J66" s="655">
        <v>0</v>
      </c>
    </row>
    <row r="67" spans="2:10" ht="15.75">
      <c r="B67" s="319"/>
      <c r="C67" s="452"/>
      <c r="D67" s="452"/>
      <c r="E67" s="112"/>
      <c r="G67" s="650" t="s">
        <v>691</v>
      </c>
      <c r="H67" s="651"/>
      <c r="I67" s="651"/>
      <c r="J67" s="656">
        <f>IF(J66=0,"",ROUND((J66+E80-G79)/inputOth!E6*1000,3)-G84)</f>
      </c>
    </row>
    <row r="68" spans="2:10" ht="15.75">
      <c r="B68" s="319"/>
      <c r="C68" s="452"/>
      <c r="D68" s="452"/>
      <c r="E68" s="112"/>
      <c r="G68" s="657" t="str">
        <f>CONCATENATE("",E1," Tot Exp/Non-Appr Must Be:")</f>
        <v>2013 Tot Exp/Non-Appr Must Be:</v>
      </c>
      <c r="H68" s="658"/>
      <c r="I68" s="659"/>
      <c r="J68" s="660">
        <f>IF(J66&gt;0,IF(E77&lt;E61,IF(J66=G79,E77,((J66-G79)*(1-D79))+E61),E77+(J66-G79)),0)</f>
        <v>0</v>
      </c>
    </row>
    <row r="69" spans="2:10" ht="15.75">
      <c r="B69" s="319"/>
      <c r="C69" s="452"/>
      <c r="D69" s="452"/>
      <c r="E69" s="112"/>
      <c r="G69" s="661" t="s">
        <v>842</v>
      </c>
      <c r="H69" s="662"/>
      <c r="I69" s="662"/>
      <c r="J69" s="663">
        <f>IF(J66&gt;0,J68-E77,0)</f>
        <v>0</v>
      </c>
    </row>
    <row r="70" spans="2:10" ht="15.75">
      <c r="B70" s="310" t="s">
        <v>77</v>
      </c>
      <c r="C70" s="452">
        <v>4263</v>
      </c>
      <c r="D70" s="452">
        <v>4788</v>
      </c>
      <c r="E70" s="120">
        <f>Nhood!E14</f>
        <v>4800</v>
      </c>
      <c r="G70" s="1"/>
      <c r="H70" s="1"/>
      <c r="I70" s="1"/>
      <c r="J70" s="1"/>
    </row>
    <row r="71" spans="2:10" ht="15.75">
      <c r="B71" s="310" t="s">
        <v>75</v>
      </c>
      <c r="C71" s="452"/>
      <c r="D71" s="452"/>
      <c r="E71" s="112"/>
      <c r="G71" s="782" t="str">
        <f>CONCATENATE("Projected Carryover Into ",E1+1,"")</f>
        <v>Projected Carryover Into 2014</v>
      </c>
      <c r="H71" s="791"/>
      <c r="I71" s="791"/>
      <c r="J71" s="790"/>
    </row>
    <row r="72" spans="2:10" ht="15.75">
      <c r="B72" s="310" t="s">
        <v>683</v>
      </c>
      <c r="C72" s="453">
        <f>IF(C73*0.1&lt;C71,"Exceed 10% Rule","")</f>
      </c>
      <c r="D72" s="453">
        <f>IF(D73*0.1&lt;D71,"Exceed 10% Rule","")</f>
      </c>
      <c r="E72" s="345">
        <f>IF(E73*0.1&lt;E71,"Exceed 10% Rule","")</f>
      </c>
      <c r="G72" s="688"/>
      <c r="H72" s="651"/>
      <c r="I72" s="651"/>
      <c r="J72" s="683"/>
    </row>
    <row r="73" spans="2:10" ht="15.75">
      <c r="B73" s="312" t="s">
        <v>171</v>
      </c>
      <c r="C73" s="454">
        <f>SUM(C63:C71)</f>
        <v>249959</v>
      </c>
      <c r="D73" s="454">
        <f>SUM(D63:D71)</f>
        <v>251117</v>
      </c>
      <c r="E73" s="353">
        <f>SUM(E63:E71)</f>
        <v>256566</v>
      </c>
      <c r="G73" s="679">
        <f>D74</f>
        <v>2478</v>
      </c>
      <c r="H73" s="669" t="str">
        <f>CONCATENATE("",E1-1," Ending Cash Balance (est.)")</f>
        <v>2012 Ending Cash Balance (est.)</v>
      </c>
      <c r="I73" s="680"/>
      <c r="J73" s="683"/>
    </row>
    <row r="74" spans="2:10" ht="15.75">
      <c r="B74" s="148" t="s">
        <v>285</v>
      </c>
      <c r="C74" s="457">
        <f>C61-C73</f>
        <v>4229</v>
      </c>
      <c r="D74" s="457">
        <f>D61-D73</f>
        <v>2478</v>
      </c>
      <c r="E74" s="338" t="s">
        <v>148</v>
      </c>
      <c r="G74" s="679">
        <f>E60</f>
        <v>19182</v>
      </c>
      <c r="H74" s="652" t="str">
        <f>CONCATENATE("",E1," Non-AV Receipts (est.)")</f>
        <v>2013 Non-AV Receipts (est.)</v>
      </c>
      <c r="I74" s="680"/>
      <c r="J74" s="683"/>
    </row>
    <row r="75" spans="2:11" ht="15.75">
      <c r="B75" s="288" t="str">
        <f>CONCATENATE("",E$1-2,"/",E$1-1," Budget Authority Amount:")</f>
        <v>2011/2012 Budget Authority Amount:</v>
      </c>
      <c r="C75" s="280">
        <f>inputOth!B38</f>
        <v>249959</v>
      </c>
      <c r="D75" s="280">
        <f>inputPrYr!D24</f>
        <v>251117</v>
      </c>
      <c r="E75" s="338" t="s">
        <v>148</v>
      </c>
      <c r="F75" s="321"/>
      <c r="G75" s="681">
        <f>IF(E79&gt;0,E78,E80)</f>
        <v>234906</v>
      </c>
      <c r="H75" s="652" t="str">
        <f>CONCATENATE("",E1," Ad Valorem Tax (est.)")</f>
        <v>2013 Ad Valorem Tax (est.)</v>
      </c>
      <c r="I75" s="680"/>
      <c r="J75" s="683"/>
      <c r="K75" s="666" t="str">
        <f>IF(G75=E80,"","Note: Does not include Delinquent Taxes")</f>
        <v>Note: Does not include Delinquent Taxes</v>
      </c>
    </row>
    <row r="76" spans="2:10" ht="15.75">
      <c r="B76" s="288"/>
      <c r="C76" s="772" t="s">
        <v>687</v>
      </c>
      <c r="D76" s="773"/>
      <c r="E76" s="112"/>
      <c r="F76" s="502">
        <f>IF(E73/0.95-E73&lt;E76,"Exceeds 5%","")</f>
      </c>
      <c r="G76" s="689">
        <f>SUM(G73:G75)</f>
        <v>256566</v>
      </c>
      <c r="H76" s="652" t="str">
        <f>CONCATENATE("Total ",E1," Resources Available")</f>
        <v>Total 2013 Resources Available</v>
      </c>
      <c r="I76" s="690"/>
      <c r="J76" s="683"/>
    </row>
    <row r="77" spans="2:10" ht="15.75">
      <c r="B77" s="505" t="str">
        <f>CONCATENATE(C93,"     ",D93)</f>
        <v>     </v>
      </c>
      <c r="C77" s="774" t="s">
        <v>688</v>
      </c>
      <c r="D77" s="775"/>
      <c r="E77" s="266">
        <f>E73+E76</f>
        <v>256566</v>
      </c>
      <c r="G77" s="691"/>
      <c r="H77" s="692"/>
      <c r="I77" s="651"/>
      <c r="J77" s="683"/>
    </row>
    <row r="78" spans="2:10" ht="15.75">
      <c r="B78" s="505" t="str">
        <f>CONCATENATE(C94,"     ",D94)</f>
        <v>     </v>
      </c>
      <c r="C78" s="322"/>
      <c r="D78" s="240" t="s">
        <v>172</v>
      </c>
      <c r="E78" s="120">
        <f>IF(E77-E61&gt;0,E77-E61,0)</f>
        <v>234906</v>
      </c>
      <c r="G78" s="693">
        <f>ROUND(C73*0.05+C73,0)</f>
        <v>262457</v>
      </c>
      <c r="H78" s="652" t="str">
        <f>CONCATENATE("Less ",E1-2," Expenditures + 5%")</f>
        <v>Less 2011 Expenditures + 5%</v>
      </c>
      <c r="I78" s="690"/>
      <c r="J78" s="683"/>
    </row>
    <row r="79" spans="2:10" ht="15.75">
      <c r="B79" s="240"/>
      <c r="C79" s="504" t="s">
        <v>689</v>
      </c>
      <c r="D79" s="649">
        <f>inputOth!$E$23</f>
        <v>0.03</v>
      </c>
      <c r="E79" s="266">
        <f>ROUND(IF(D79&gt;0,($E$78*D79),0),0)</f>
        <v>7047</v>
      </c>
      <c r="G79" s="694">
        <f>G76-G78</f>
        <v>-5891</v>
      </c>
      <c r="H79" s="685" t="str">
        <f>CONCATENATE("Projected ",E1+1," carryover (est.)")</f>
        <v>Projected 2014 carryover (est.)</v>
      </c>
      <c r="I79" s="695"/>
      <c r="J79" s="696"/>
    </row>
    <row r="80" spans="2:10" ht="15.75">
      <c r="B80" s="85"/>
      <c r="C80" s="780" t="str">
        <f>CONCATENATE("Amount of  ",$E$1-1," Ad Valorem Tax")</f>
        <v>Amount of  2012 Ad Valorem Tax</v>
      </c>
      <c r="D80" s="781"/>
      <c r="E80" s="349">
        <f>E78+E79</f>
        <v>241953</v>
      </c>
      <c r="G80" s="1"/>
      <c r="H80" s="1"/>
      <c r="I80" s="1"/>
      <c r="J80" s="1"/>
    </row>
    <row r="81" spans="2:10" ht="15.75">
      <c r="B81" s="288" t="s">
        <v>194</v>
      </c>
      <c r="C81" s="350">
        <v>12</v>
      </c>
      <c r="D81" s="85"/>
      <c r="E81" s="85"/>
      <c r="G81" s="785" t="s">
        <v>843</v>
      </c>
      <c r="H81" s="786"/>
      <c r="I81" s="786"/>
      <c r="J81" s="787"/>
    </row>
    <row r="82" spans="7:10" ht="15.75">
      <c r="G82" s="668"/>
      <c r="H82" s="669"/>
      <c r="I82" s="670"/>
      <c r="J82" s="671"/>
    </row>
    <row r="83" spans="7:10" ht="15.75">
      <c r="G83" s="672">
        <f>summ!H24</f>
        <v>1.938</v>
      </c>
      <c r="H83" s="669" t="str">
        <f>CONCATENATE("",E1," Fund Mill Rate")</f>
        <v>2013 Fund Mill Rate</v>
      </c>
      <c r="I83" s="670"/>
      <c r="J83" s="671"/>
    </row>
    <row r="84" spans="7:10" ht="15.75">
      <c r="G84" s="673">
        <f>summ!E24</f>
        <v>1.92</v>
      </c>
      <c r="H84" s="669" t="str">
        <f>CONCATENATE("",E1-1," Fund Mill Rate")</f>
        <v>2012 Fund Mill Rate</v>
      </c>
      <c r="I84" s="670"/>
      <c r="J84" s="671"/>
    </row>
    <row r="85" spans="7:10" ht="15.75">
      <c r="G85" s="674">
        <f>summ!H61</f>
        <v>42.760999999999996</v>
      </c>
      <c r="H85" s="669" t="str">
        <f>CONCATENATE("Total ",E1," Mill Rate")</f>
        <v>Total 2013 Mill Rate</v>
      </c>
      <c r="I85" s="670"/>
      <c r="J85" s="671"/>
    </row>
    <row r="86" spans="7:10" ht="15.75">
      <c r="G86" s="673">
        <f>summ!E61</f>
        <v>43.934999999999995</v>
      </c>
      <c r="H86" s="675" t="str">
        <f>CONCATENATE("Total ",E1-1," Mill Rate")</f>
        <v>Total 2012 Mill Rate</v>
      </c>
      <c r="I86" s="676"/>
      <c r="J86" s="677"/>
    </row>
    <row r="91" spans="3:4" ht="15.75" hidden="1">
      <c r="C91" s="72">
        <f>IF(C33&gt;C35,"See Tab A","")</f>
      </c>
      <c r="D91" s="72">
        <f>IF(D33&gt;D35,"See Tab C","")</f>
      </c>
    </row>
    <row r="92" spans="3:4" ht="15.75" hidden="1">
      <c r="C92" s="72">
        <f>IF(C34&lt;0,"See Tab B","")</f>
      </c>
      <c r="D92" s="72">
        <f>IF(D34&lt;0,"See Tab D","")</f>
      </c>
    </row>
    <row r="93" spans="3:4" ht="15.75" hidden="1">
      <c r="C93" s="72">
        <f>IF(C73&gt;C75,"See Tab A","")</f>
      </c>
      <c r="D93" s="72">
        <f>IF(D73&gt;D75,"See Tab C","")</f>
      </c>
    </row>
    <row r="94" spans="3:4" ht="15.75" hidden="1">
      <c r="C94" s="72">
        <f>IF(C74&lt;0,"See Tab B","")</f>
      </c>
      <c r="D94" s="72">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F76" sqref="F76"/>
    </sheetView>
  </sheetViews>
  <sheetFormatPr defaultColWidth="8.796875" defaultRowHeight="15"/>
  <cols>
    <col min="1" max="1" width="2.3984375" style="72" customWidth="1"/>
    <col min="2" max="2" width="31.09765625" style="72" customWidth="1"/>
    <col min="3" max="4" width="15.796875" style="72" customWidth="1"/>
    <col min="5" max="5" width="16.19921875" style="72" customWidth="1"/>
    <col min="6" max="6" width="7.3984375" style="72" customWidth="1"/>
    <col min="7" max="7" width="10.19921875" style="72" customWidth="1"/>
    <col min="8" max="8" width="8.8984375" style="72" customWidth="1"/>
    <col min="9" max="9" width="5" style="72" customWidth="1"/>
    <col min="10" max="10" width="10" style="72" customWidth="1"/>
    <col min="11"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242</v>
      </c>
      <c r="C3" s="334"/>
      <c r="D3" s="334"/>
      <c r="E3" s="335"/>
    </row>
    <row r="4" spans="2:5" ht="15.75">
      <c r="B4" s="84" t="s">
        <v>160</v>
      </c>
      <c r="C4" s="703" t="s">
        <v>844</v>
      </c>
      <c r="D4" s="704" t="s">
        <v>845</v>
      </c>
      <c r="E4" s="215" t="s">
        <v>846</v>
      </c>
    </row>
    <row r="5" spans="2:5" ht="15.75">
      <c r="B5" s="484">
        <f>inputPrYr!B25</f>
        <v>0</v>
      </c>
      <c r="C5" s="455" t="str">
        <f>CONCATENATE("Actual for ",E1-2,"")</f>
        <v>Actual for 2011</v>
      </c>
      <c r="D5" s="455" t="str">
        <f>CONCATENATE("Estimate for ",E1-1,"")</f>
        <v>Estimate for 2012</v>
      </c>
      <c r="E5" s="303" t="str">
        <f>CONCATENATE("Year for ",E1,"")</f>
        <v>Year for 2013</v>
      </c>
    </row>
    <row r="6" spans="2:5" ht="15.75">
      <c r="B6" s="148" t="s">
        <v>284</v>
      </c>
      <c r="C6" s="452"/>
      <c r="D6" s="456">
        <f>C34</f>
        <v>0</v>
      </c>
      <c r="E6" s="266">
        <f>D34</f>
        <v>0</v>
      </c>
    </row>
    <row r="7" spans="2:5" ht="15.75">
      <c r="B7" s="291" t="s">
        <v>286</v>
      </c>
      <c r="C7" s="306"/>
      <c r="D7" s="306"/>
      <c r="E7" s="127"/>
    </row>
    <row r="8" spans="2:5" ht="15.75">
      <c r="B8" s="148" t="s">
        <v>161</v>
      </c>
      <c r="C8" s="452"/>
      <c r="D8" s="456">
        <f>IF(inputPrYr!H25&gt;0,inputPrYr!H25,inputPrYr!E25)</f>
        <v>0</v>
      </c>
      <c r="E8" s="338" t="s">
        <v>148</v>
      </c>
    </row>
    <row r="9" spans="2:5" ht="15.75">
      <c r="B9" s="148" t="s">
        <v>162</v>
      </c>
      <c r="C9" s="452"/>
      <c r="D9" s="452"/>
      <c r="E9" s="112"/>
    </row>
    <row r="10" spans="2:5" ht="15.75">
      <c r="B10" s="148" t="s">
        <v>163</v>
      </c>
      <c r="C10" s="452"/>
      <c r="D10" s="452"/>
      <c r="E10" s="266" t="str">
        <f>mvalloc!E16</f>
        <v>  </v>
      </c>
    </row>
    <row r="11" spans="2:5" ht="15.75">
      <c r="B11" s="148" t="s">
        <v>164</v>
      </c>
      <c r="C11" s="452"/>
      <c r="D11" s="452"/>
      <c r="E11" s="266" t="str">
        <f>mvalloc!F16</f>
        <v>  </v>
      </c>
    </row>
    <row r="12" spans="2:5" ht="15.75">
      <c r="B12" s="306" t="s">
        <v>233</v>
      </c>
      <c r="C12" s="452"/>
      <c r="D12" s="452"/>
      <c r="E12" s="266" t="str">
        <f>mvalloc!G16</f>
        <v>  </v>
      </c>
    </row>
    <row r="13" spans="2:5" ht="15.75">
      <c r="B13" s="319"/>
      <c r="C13" s="452"/>
      <c r="D13" s="452"/>
      <c r="E13" s="112"/>
    </row>
    <row r="14" spans="2:5" ht="15.75">
      <c r="B14" s="319"/>
      <c r="C14" s="452"/>
      <c r="D14" s="452"/>
      <c r="E14" s="112"/>
    </row>
    <row r="15" spans="2:5" ht="15.75">
      <c r="B15" s="319"/>
      <c r="C15" s="452"/>
      <c r="D15" s="452"/>
      <c r="E15" s="112"/>
    </row>
    <row r="16" spans="2:5" ht="15.75">
      <c r="B16" s="319"/>
      <c r="C16" s="452"/>
      <c r="D16" s="452"/>
      <c r="E16" s="112"/>
    </row>
    <row r="17" spans="2:5" ht="15.75">
      <c r="B17" s="309" t="s">
        <v>165</v>
      </c>
      <c r="C17" s="452"/>
      <c r="D17" s="452"/>
      <c r="E17" s="112"/>
    </row>
    <row r="18" spans="2:5" ht="15.75">
      <c r="B18" s="310" t="s">
        <v>75</v>
      </c>
      <c r="C18" s="452"/>
      <c r="D18" s="452"/>
      <c r="E18" s="112"/>
    </row>
    <row r="19" spans="2:5" ht="15.75">
      <c r="B19" s="310" t="s">
        <v>684</v>
      </c>
      <c r="C19" s="453">
        <f>IF(C20*0.1&lt;C18,"Exceed 10% Rule","")</f>
      </c>
      <c r="D19" s="453">
        <f>IF(D20*0.1&lt;D18,"Exceed 10% Rule","")</f>
      </c>
      <c r="E19" s="345">
        <f>IF(E20*0.1+E40&lt;E18,"Exceed 10% Rule","")</f>
      </c>
    </row>
    <row r="20" spans="2:5" ht="15.75">
      <c r="B20" s="312" t="s">
        <v>166</v>
      </c>
      <c r="C20" s="454">
        <f>SUM(C8:C18)</f>
        <v>0</v>
      </c>
      <c r="D20" s="454">
        <f>SUM(D8:D18)</f>
        <v>0</v>
      </c>
      <c r="E20" s="353">
        <f>SUM(E8:E18)</f>
        <v>0</v>
      </c>
    </row>
    <row r="21" spans="2:5" ht="15.75">
      <c r="B21" s="312" t="s">
        <v>167</v>
      </c>
      <c r="C21" s="454">
        <f>C6+C20</f>
        <v>0</v>
      </c>
      <c r="D21" s="454">
        <f>D6+D20</f>
        <v>0</v>
      </c>
      <c r="E21" s="353">
        <f>E6+E20</f>
        <v>0</v>
      </c>
    </row>
    <row r="22" spans="2:5" ht="15.75">
      <c r="B22" s="148" t="s">
        <v>170</v>
      </c>
      <c r="C22" s="310"/>
      <c r="D22" s="310"/>
      <c r="E22" s="108"/>
    </row>
    <row r="23" spans="2:5" ht="15.75">
      <c r="B23" s="319"/>
      <c r="C23" s="452"/>
      <c r="D23" s="452"/>
      <c r="E23" s="112"/>
    </row>
    <row r="24" spans="2:10" ht="15.75">
      <c r="B24" s="319"/>
      <c r="C24" s="452"/>
      <c r="D24" s="452"/>
      <c r="E24" s="112"/>
      <c r="G24" s="782" t="str">
        <f>CONCATENATE("Desired Carryover Into ",E1+1,"")</f>
        <v>Desired Carryover Into 2014</v>
      </c>
      <c r="H24" s="783"/>
      <c r="I24" s="783"/>
      <c r="J24" s="784"/>
    </row>
    <row r="25" spans="2:10" ht="15.75">
      <c r="B25" s="319"/>
      <c r="C25" s="452"/>
      <c r="D25" s="452"/>
      <c r="E25" s="112"/>
      <c r="G25" s="650"/>
      <c r="H25" s="651"/>
      <c r="I25" s="652"/>
      <c r="J25" s="653"/>
    </row>
    <row r="26" spans="2:10" ht="15.75">
      <c r="B26" s="319"/>
      <c r="C26" s="452"/>
      <c r="D26" s="452"/>
      <c r="E26" s="112"/>
      <c r="G26" s="654" t="s">
        <v>690</v>
      </c>
      <c r="H26" s="652"/>
      <c r="I26" s="652"/>
      <c r="J26" s="655">
        <v>0</v>
      </c>
    </row>
    <row r="27" spans="2:10" ht="15.75">
      <c r="B27" s="319"/>
      <c r="C27" s="452"/>
      <c r="D27" s="452"/>
      <c r="E27" s="112"/>
      <c r="G27" s="650" t="s">
        <v>691</v>
      </c>
      <c r="H27" s="651"/>
      <c r="I27" s="651"/>
      <c r="J27" s="656">
        <f>IF(J26=0,"",ROUND((J26+E40-G39)/inputOth!E6*1000,3)-G44)</f>
      </c>
    </row>
    <row r="28" spans="2:10" ht="15.75">
      <c r="B28" s="319"/>
      <c r="C28" s="452"/>
      <c r="D28" s="452"/>
      <c r="E28" s="112"/>
      <c r="G28" s="657" t="str">
        <f>CONCATENATE("",E1," Tot Exp/Non-Appr Must Be:")</f>
        <v>2013 Tot Exp/Non-Appr Must Be:</v>
      </c>
      <c r="H28" s="658"/>
      <c r="I28" s="659"/>
      <c r="J28" s="660">
        <f>IF(J26&gt;0,IF(E37&lt;E21,IF(J26=G39,E37,((J26-G39)*(1-D39))+E21),E37+(J26-G39)),0)</f>
        <v>0</v>
      </c>
    </row>
    <row r="29" spans="2:10" ht="15.75">
      <c r="B29" s="319"/>
      <c r="C29" s="452"/>
      <c r="D29" s="452"/>
      <c r="E29" s="112"/>
      <c r="G29" s="661" t="s">
        <v>842</v>
      </c>
      <c r="H29" s="662"/>
      <c r="I29" s="662"/>
      <c r="J29" s="663">
        <f>IF(J26&gt;0,J28-E37,0)</f>
        <v>0</v>
      </c>
    </row>
    <row r="30" spans="2:10" ht="15.75">
      <c r="B30" s="310" t="s">
        <v>77</v>
      </c>
      <c r="C30" s="452"/>
      <c r="D30" s="452"/>
      <c r="E30" s="120">
        <f>Nhood!E15</f>
      </c>
      <c r="G30" s="1"/>
      <c r="H30" s="1"/>
      <c r="I30" s="1"/>
      <c r="J30" s="1"/>
    </row>
    <row r="31" spans="2:10" ht="15.75">
      <c r="B31" s="310" t="s">
        <v>75</v>
      </c>
      <c r="C31" s="452"/>
      <c r="D31" s="452"/>
      <c r="E31" s="112"/>
      <c r="G31" s="782" t="str">
        <f>CONCATENATE("Projected Carryover Into ",E1+1,"")</f>
        <v>Projected Carryover Into 2014</v>
      </c>
      <c r="H31" s="789"/>
      <c r="I31" s="789"/>
      <c r="J31" s="790"/>
    </row>
    <row r="32" spans="2:10" ht="15.75">
      <c r="B32" s="310" t="s">
        <v>683</v>
      </c>
      <c r="C32" s="453">
        <f>IF(C33*0.1&lt;C31,"Exceed 10% Rule","")</f>
      </c>
      <c r="D32" s="453">
        <f>IF(D33*0.1&lt;D31,"Exceed 10% Rule","")</f>
      </c>
      <c r="E32" s="345">
        <f>IF(E33*0.1&lt;E31,"Exceed 10% Rule","")</f>
      </c>
      <c r="G32" s="650"/>
      <c r="H32" s="652"/>
      <c r="I32" s="652"/>
      <c r="J32" s="678"/>
    </row>
    <row r="33" spans="2:10" ht="15.75">
      <c r="B33" s="312" t="s">
        <v>171</v>
      </c>
      <c r="C33" s="454">
        <f>SUM(C23:C31)</f>
        <v>0</v>
      </c>
      <c r="D33" s="454">
        <f>SUM(D23:D31)</f>
        <v>0</v>
      </c>
      <c r="E33" s="353">
        <f>SUM(E23:E31)</f>
        <v>0</v>
      </c>
      <c r="G33" s="679">
        <f>D34</f>
        <v>0</v>
      </c>
      <c r="H33" s="669" t="str">
        <f>CONCATENATE("",E1-1," Ending Cash Balance (est.)")</f>
        <v>2012 Ending Cash Balance (est.)</v>
      </c>
      <c r="I33" s="680"/>
      <c r="J33" s="678"/>
    </row>
    <row r="34" spans="2:10" ht="15.75">
      <c r="B34" s="148" t="s">
        <v>285</v>
      </c>
      <c r="C34" s="457">
        <f>C21-C33</f>
        <v>0</v>
      </c>
      <c r="D34" s="457">
        <f>D21-D33</f>
        <v>0</v>
      </c>
      <c r="E34" s="338" t="s">
        <v>148</v>
      </c>
      <c r="G34" s="679">
        <f>E20</f>
        <v>0</v>
      </c>
      <c r="H34" s="652" t="str">
        <f>CONCATENATE("",E1," Non-AV Receipts (est.)")</f>
        <v>2013 Non-AV Receipts (est.)</v>
      </c>
      <c r="I34" s="680"/>
      <c r="J34" s="678"/>
    </row>
    <row r="35" spans="2:11" ht="15.75">
      <c r="B35" s="288" t="str">
        <f>CONCATENATE("",E$1-2,"/",E$1-1," Budget Authority Amount:")</f>
        <v>2011/2012 Budget Authority Amount:</v>
      </c>
      <c r="C35" s="280">
        <f>inputOth!B39</f>
        <v>0</v>
      </c>
      <c r="D35" s="280">
        <f>inputPrYr!D25</f>
        <v>0</v>
      </c>
      <c r="E35" s="338" t="s">
        <v>148</v>
      </c>
      <c r="F35" s="321"/>
      <c r="G35" s="681">
        <f>IF(E39&gt;0,E38,E40)</f>
        <v>0</v>
      </c>
      <c r="H35" s="652" t="str">
        <f>CONCATENATE("",E1," Ad Valorem Tax (est.)")</f>
        <v>2013 Ad Valorem Tax (est.)</v>
      </c>
      <c r="I35" s="680"/>
      <c r="J35" s="678"/>
      <c r="K35" s="666">
        <f>IF(G35=E40,"","Note: Does not include Delinquent Taxes")</f>
      </c>
    </row>
    <row r="36" spans="2:10" ht="15.75">
      <c r="B36" s="288"/>
      <c r="C36" s="772" t="s">
        <v>687</v>
      </c>
      <c r="D36" s="773"/>
      <c r="E36" s="112"/>
      <c r="F36" s="502">
        <f>IF(E33/0.95-E33&lt;E36,"Exceeds 5%","")</f>
      </c>
      <c r="G36" s="679">
        <f>SUM(G33:G35)</f>
        <v>0</v>
      </c>
      <c r="H36" s="652" t="str">
        <f>CONCATENATE("Total ",E1," Resources Available")</f>
        <v>Total 2013 Resources Available</v>
      </c>
      <c r="I36" s="680"/>
      <c r="J36" s="678"/>
    </row>
    <row r="37" spans="2:10" ht="15.75">
      <c r="B37" s="506" t="str">
        <f>CONCATENATE(C91,"     ",D91)</f>
        <v>     </v>
      </c>
      <c r="C37" s="774" t="s">
        <v>688</v>
      </c>
      <c r="D37" s="775"/>
      <c r="E37" s="266">
        <f>E33+E36</f>
        <v>0</v>
      </c>
      <c r="G37" s="682"/>
      <c r="H37" s="652"/>
      <c r="I37" s="652"/>
      <c r="J37" s="678"/>
    </row>
    <row r="38" spans="2:10" ht="15.75">
      <c r="B38" s="506" t="str">
        <f>CONCATENATE(C92,"     ",D92)</f>
        <v>     </v>
      </c>
      <c r="C38" s="322"/>
      <c r="D38" s="240" t="s">
        <v>172</v>
      </c>
      <c r="E38" s="120">
        <f>IF(E37-E21&gt;0,E37-E21,0)</f>
        <v>0</v>
      </c>
      <c r="G38" s="681">
        <f>ROUND(C33*0.05+C33,0)</f>
        <v>0</v>
      </c>
      <c r="H38" s="652" t="str">
        <f>CONCATENATE("Less ",E1-2," Expenditures + 5%")</f>
        <v>Less 2011 Expenditures + 5%</v>
      </c>
      <c r="I38" s="680"/>
      <c r="J38" s="683"/>
    </row>
    <row r="39" spans="2:10" ht="15.75">
      <c r="B39" s="240"/>
      <c r="C39" s="504" t="s">
        <v>689</v>
      </c>
      <c r="D39" s="649">
        <f>inputOth!$E$23</f>
        <v>0.03</v>
      </c>
      <c r="E39" s="266">
        <f>ROUND(IF(D39&gt;0,($E$38*D39),0),0)</f>
        <v>0</v>
      </c>
      <c r="G39" s="684">
        <f>G36-G38</f>
        <v>0</v>
      </c>
      <c r="H39" s="685" t="str">
        <f>CONCATENATE("Projected ",E1+1," carryover (est.)")</f>
        <v>Projected 2014 carryover (est.)</v>
      </c>
      <c r="I39" s="686"/>
      <c r="J39" s="687"/>
    </row>
    <row r="40" spans="2:10" ht="15.75">
      <c r="B40" s="85"/>
      <c r="C40" s="780" t="str">
        <f>CONCATENATE("Amount of  ",$E$1-1," Ad Valorem Tax")</f>
        <v>Amount of  2012 Ad Valorem Tax</v>
      </c>
      <c r="D40" s="781"/>
      <c r="E40" s="349">
        <f>E38+E39</f>
        <v>0</v>
      </c>
      <c r="G40" s="1"/>
      <c r="H40" s="1"/>
      <c r="I40" s="1"/>
      <c r="J40" s="1"/>
    </row>
    <row r="41" spans="2:10" ht="15.75">
      <c r="B41" s="85"/>
      <c r="C41" s="328"/>
      <c r="D41" s="328"/>
      <c r="E41" s="328"/>
      <c r="G41" s="785" t="s">
        <v>843</v>
      </c>
      <c r="H41" s="786"/>
      <c r="I41" s="786"/>
      <c r="J41" s="787"/>
    </row>
    <row r="42" spans="2:10" ht="15.75">
      <c r="B42" s="84" t="s">
        <v>160</v>
      </c>
      <c r="C42" s="703" t="str">
        <f aca="true" t="shared" si="0" ref="C42:E43">C4</f>
        <v>Prior Year </v>
      </c>
      <c r="D42" s="704" t="str">
        <f t="shared" si="0"/>
        <v>Current Year </v>
      </c>
      <c r="E42" s="215" t="str">
        <f t="shared" si="0"/>
        <v>Proposed Budget </v>
      </c>
      <c r="G42" s="668"/>
      <c r="H42" s="669"/>
      <c r="I42" s="670"/>
      <c r="J42" s="671"/>
    </row>
    <row r="43" spans="2:10" ht="15.75">
      <c r="B43" s="483">
        <f>inputPrYr!B26</f>
        <v>0</v>
      </c>
      <c r="C43" s="455" t="str">
        <f t="shared" si="0"/>
        <v>Actual for 2011</v>
      </c>
      <c r="D43" s="455" t="str">
        <f t="shared" si="0"/>
        <v>Estimate for 2012</v>
      </c>
      <c r="E43" s="303" t="str">
        <f t="shared" si="0"/>
        <v>Year for 2013</v>
      </c>
      <c r="G43" s="672" t="str">
        <f>summ!H25</f>
        <v>  </v>
      </c>
      <c r="H43" s="669" t="str">
        <f>CONCATENATE("",E1," Fund Mill Rate")</f>
        <v>2013 Fund Mill Rate</v>
      </c>
      <c r="I43" s="670"/>
      <c r="J43" s="671"/>
    </row>
    <row r="44" spans="2:10" ht="15.75">
      <c r="B44" s="148" t="s">
        <v>284</v>
      </c>
      <c r="C44" s="452"/>
      <c r="D44" s="456">
        <f>C74</f>
        <v>0</v>
      </c>
      <c r="E44" s="266">
        <f>D74</f>
        <v>0</v>
      </c>
      <c r="G44" s="673" t="str">
        <f>summ!E25</f>
        <v>  </v>
      </c>
      <c r="H44" s="669" t="str">
        <f>CONCATENATE("",E1-1," Fund Mill Rate")</f>
        <v>2012 Fund Mill Rate</v>
      </c>
      <c r="I44" s="670"/>
      <c r="J44" s="671"/>
    </row>
    <row r="45" spans="2:10" ht="15.75">
      <c r="B45" s="304" t="s">
        <v>286</v>
      </c>
      <c r="C45" s="306"/>
      <c r="D45" s="306"/>
      <c r="E45" s="127"/>
      <c r="G45" s="674">
        <f>summ!H61</f>
        <v>42.760999999999996</v>
      </c>
      <c r="H45" s="669" t="str">
        <f>CONCATENATE("Total ",E1," Mill Rate")</f>
        <v>Total 2013 Mill Rate</v>
      </c>
      <c r="I45" s="670"/>
      <c r="J45" s="671"/>
    </row>
    <row r="46" spans="2:10" ht="15.75">
      <c r="B46" s="148" t="s">
        <v>161</v>
      </c>
      <c r="C46" s="452"/>
      <c r="D46" s="456">
        <f>IF(inputPrYr!H26&gt;0,inputPrYr!H26,inputPrYr!E26)</f>
        <v>0</v>
      </c>
      <c r="E46" s="338" t="s">
        <v>148</v>
      </c>
      <c r="G46" s="673">
        <f>summ!E61</f>
        <v>43.934999999999995</v>
      </c>
      <c r="H46" s="675" t="str">
        <f>CONCATENATE("Total ",E1-1," Mill Rate")</f>
        <v>Total 2012 Mill Rate</v>
      </c>
      <c r="I46" s="676"/>
      <c r="J46" s="677"/>
    </row>
    <row r="47" spans="2:10" ht="15.75">
      <c r="B47" s="148" t="s">
        <v>162</v>
      </c>
      <c r="C47" s="452"/>
      <c r="D47" s="452"/>
      <c r="E47" s="112"/>
      <c r="G47" s="1"/>
      <c r="H47" s="1"/>
      <c r="I47" s="1"/>
      <c r="J47" s="1"/>
    </row>
    <row r="48" spans="2:10" ht="15.75">
      <c r="B48" s="148" t="s">
        <v>163</v>
      </c>
      <c r="C48" s="452"/>
      <c r="D48" s="452"/>
      <c r="E48" s="266" t="str">
        <f>mvalloc!E17</f>
        <v>  </v>
      </c>
      <c r="G48" s="1"/>
      <c r="H48" s="1"/>
      <c r="I48" s="1"/>
      <c r="J48" s="1"/>
    </row>
    <row r="49" spans="2:10" ht="15.75">
      <c r="B49" s="148" t="s">
        <v>164</v>
      </c>
      <c r="C49" s="452"/>
      <c r="D49" s="452"/>
      <c r="E49" s="266" t="str">
        <f>mvalloc!F17</f>
        <v>  </v>
      </c>
      <c r="G49" s="1"/>
      <c r="H49" s="1"/>
      <c r="I49" s="1"/>
      <c r="J49" s="1"/>
    </row>
    <row r="50" spans="2:10" ht="15.75">
      <c r="B50" s="306" t="s">
        <v>233</v>
      </c>
      <c r="C50" s="452"/>
      <c r="D50" s="452"/>
      <c r="E50" s="266" t="str">
        <f>mvalloc!G17</f>
        <v>  </v>
      </c>
      <c r="G50" s="1"/>
      <c r="H50" s="1"/>
      <c r="I50" s="1"/>
      <c r="J50" s="1"/>
    </row>
    <row r="51" spans="2:10" ht="15.75">
      <c r="B51" s="319"/>
      <c r="C51" s="452"/>
      <c r="D51" s="452"/>
      <c r="E51" s="112"/>
      <c r="G51" s="1"/>
      <c r="H51" s="1"/>
      <c r="I51" s="1"/>
      <c r="J51" s="1"/>
    </row>
    <row r="52" spans="2:10" ht="15.75">
      <c r="B52" s="319"/>
      <c r="C52" s="452"/>
      <c r="D52" s="452"/>
      <c r="E52" s="112"/>
      <c r="G52" s="1"/>
      <c r="H52" s="1"/>
      <c r="I52" s="1"/>
      <c r="J52" s="1"/>
    </row>
    <row r="53" spans="2:10" ht="15.75">
      <c r="B53" s="319"/>
      <c r="C53" s="452"/>
      <c r="D53" s="452"/>
      <c r="E53" s="112"/>
      <c r="G53" s="1"/>
      <c r="H53" s="1"/>
      <c r="I53" s="1"/>
      <c r="J53" s="1"/>
    </row>
    <row r="54" spans="2:10" ht="15.75">
      <c r="B54" s="319"/>
      <c r="C54" s="452"/>
      <c r="D54" s="452"/>
      <c r="E54" s="112"/>
      <c r="G54" s="1"/>
      <c r="H54" s="1"/>
      <c r="I54" s="1"/>
      <c r="J54" s="1"/>
    </row>
    <row r="55" spans="2:10" ht="15.75">
      <c r="B55" s="319"/>
      <c r="C55" s="452"/>
      <c r="D55" s="452"/>
      <c r="E55" s="112"/>
      <c r="G55" s="1"/>
      <c r="H55" s="1"/>
      <c r="I55" s="1"/>
      <c r="J55" s="1"/>
    </row>
    <row r="56" spans="2:10" ht="15.75">
      <c r="B56" s="319"/>
      <c r="C56" s="452"/>
      <c r="D56" s="452"/>
      <c r="E56" s="112"/>
      <c r="G56" s="1"/>
      <c r="H56" s="1"/>
      <c r="I56" s="1"/>
      <c r="J56" s="1"/>
    </row>
    <row r="57" spans="2:10" ht="15.75">
      <c r="B57" s="309" t="s">
        <v>165</v>
      </c>
      <c r="C57" s="452"/>
      <c r="D57" s="452"/>
      <c r="E57" s="112"/>
      <c r="G57" s="1"/>
      <c r="H57" s="1"/>
      <c r="I57" s="1"/>
      <c r="J57" s="1"/>
    </row>
    <row r="58" spans="2:10" ht="15.75">
      <c r="B58" s="310" t="s">
        <v>75</v>
      </c>
      <c r="C58" s="452"/>
      <c r="D58" s="452"/>
      <c r="E58" s="112"/>
      <c r="G58" s="1"/>
      <c r="H58" s="1"/>
      <c r="I58" s="1"/>
      <c r="J58" s="1"/>
    </row>
    <row r="59" spans="2:10" ht="15.75">
      <c r="B59" s="310" t="s">
        <v>684</v>
      </c>
      <c r="C59" s="453">
        <f>IF(C60*0.1&lt;C58,"Exceed 10% Rule","")</f>
      </c>
      <c r="D59" s="453">
        <f>IF(D60*0.1&lt;D58,"Exceed 10% Rule","")</f>
      </c>
      <c r="E59" s="345">
        <f>IF(E60*0.1+E80&lt;E58,"Exceed 10% Rule","")</f>
      </c>
      <c r="G59" s="1"/>
      <c r="H59" s="1"/>
      <c r="I59" s="1"/>
      <c r="J59" s="1"/>
    </row>
    <row r="60" spans="2:10" ht="15.75">
      <c r="B60" s="312" t="s">
        <v>166</v>
      </c>
      <c r="C60" s="454">
        <f>SUM(C46:C58)</f>
        <v>0</v>
      </c>
      <c r="D60" s="454">
        <f>SUM(D46:D58)</f>
        <v>0</v>
      </c>
      <c r="E60" s="353">
        <f>SUM(E46:E58)</f>
        <v>0</v>
      </c>
      <c r="G60" s="1"/>
      <c r="H60" s="1"/>
      <c r="I60" s="1"/>
      <c r="J60" s="1"/>
    </row>
    <row r="61" spans="2:10" ht="15.75">
      <c r="B61" s="312" t="s">
        <v>167</v>
      </c>
      <c r="C61" s="454">
        <f>C44+C60</f>
        <v>0</v>
      </c>
      <c r="D61" s="454">
        <f>D44+D60</f>
        <v>0</v>
      </c>
      <c r="E61" s="353">
        <f>E44+E60</f>
        <v>0</v>
      </c>
      <c r="G61" s="1"/>
      <c r="H61" s="1"/>
      <c r="I61" s="1"/>
      <c r="J61" s="1"/>
    </row>
    <row r="62" spans="2:10" ht="15.75">
      <c r="B62" s="148" t="s">
        <v>170</v>
      </c>
      <c r="C62" s="310"/>
      <c r="D62" s="310"/>
      <c r="E62" s="108"/>
      <c r="G62" s="1"/>
      <c r="H62" s="1"/>
      <c r="I62" s="1"/>
      <c r="J62" s="1"/>
    </row>
    <row r="63" spans="2:10" ht="15.75">
      <c r="B63" s="319"/>
      <c r="C63" s="452"/>
      <c r="D63" s="452"/>
      <c r="E63" s="112"/>
      <c r="G63" s="1"/>
      <c r="H63" s="1"/>
      <c r="I63" s="1"/>
      <c r="J63" s="1"/>
    </row>
    <row r="64" spans="2:10" ht="15.75">
      <c r="B64" s="319"/>
      <c r="C64" s="452"/>
      <c r="D64" s="452"/>
      <c r="E64" s="112"/>
      <c r="G64" s="782" t="str">
        <f>CONCATENATE("Desired Carryover Into ",E1+1,"")</f>
        <v>Desired Carryover Into 2014</v>
      </c>
      <c r="H64" s="783"/>
      <c r="I64" s="783"/>
      <c r="J64" s="784"/>
    </row>
    <row r="65" spans="2:10" ht="15.75">
      <c r="B65" s="319"/>
      <c r="C65" s="452"/>
      <c r="D65" s="452"/>
      <c r="E65" s="112"/>
      <c r="G65" s="650"/>
      <c r="H65" s="651"/>
      <c r="I65" s="652"/>
      <c r="J65" s="653"/>
    </row>
    <row r="66" spans="2:10" ht="15.75">
      <c r="B66" s="319"/>
      <c r="C66" s="452"/>
      <c r="D66" s="452"/>
      <c r="E66" s="112"/>
      <c r="G66" s="654" t="s">
        <v>690</v>
      </c>
      <c r="H66" s="652"/>
      <c r="I66" s="652"/>
      <c r="J66" s="655">
        <v>0</v>
      </c>
    </row>
    <row r="67" spans="2:10" ht="15.75">
      <c r="B67" s="319"/>
      <c r="C67" s="452"/>
      <c r="D67" s="452"/>
      <c r="E67" s="112"/>
      <c r="G67" s="650" t="s">
        <v>691</v>
      </c>
      <c r="H67" s="651"/>
      <c r="I67" s="651"/>
      <c r="J67" s="656">
        <f>IF(J66=0,"",ROUND((J66+E80-G79)/inputOth!E6*1000,3)-G84)</f>
      </c>
    </row>
    <row r="68" spans="2:10" ht="15.75">
      <c r="B68" s="319"/>
      <c r="C68" s="452"/>
      <c r="D68" s="452"/>
      <c r="E68" s="112"/>
      <c r="G68" s="657" t="str">
        <f>CONCATENATE("",E1," Tot Exp/Non-Appr Must Be:")</f>
        <v>2013 Tot Exp/Non-Appr Must Be:</v>
      </c>
      <c r="H68" s="658"/>
      <c r="I68" s="659"/>
      <c r="J68" s="660">
        <f>IF(J66&gt;0,IF(E77&lt;E61,IF(J66=G79,E77,((J66-G79)*(1-D79))+E61),E77+(J66-G79)),0)</f>
        <v>0</v>
      </c>
    </row>
    <row r="69" spans="2:10" ht="15.75">
      <c r="B69" s="319"/>
      <c r="C69" s="452"/>
      <c r="D69" s="452"/>
      <c r="E69" s="112"/>
      <c r="G69" s="661" t="s">
        <v>842</v>
      </c>
      <c r="H69" s="662"/>
      <c r="I69" s="662"/>
      <c r="J69" s="663">
        <f>IF(J66&gt;0,J68-E77,0)</f>
        <v>0</v>
      </c>
    </row>
    <row r="70" spans="2:10" ht="15.75">
      <c r="B70" s="310" t="s">
        <v>77</v>
      </c>
      <c r="C70" s="452"/>
      <c r="D70" s="452"/>
      <c r="E70" s="120">
        <f>Nhood!E16</f>
      </c>
      <c r="G70" s="1"/>
      <c r="H70" s="1"/>
      <c r="I70" s="1"/>
      <c r="J70" s="1"/>
    </row>
    <row r="71" spans="2:10" ht="15.75">
      <c r="B71" s="310" t="s">
        <v>75</v>
      </c>
      <c r="C71" s="452"/>
      <c r="D71" s="452"/>
      <c r="E71" s="112"/>
      <c r="G71" s="782" t="str">
        <f>CONCATENATE("Projected Carryover Into ",E1+1,"")</f>
        <v>Projected Carryover Into 2014</v>
      </c>
      <c r="H71" s="791"/>
      <c r="I71" s="791"/>
      <c r="J71" s="790"/>
    </row>
    <row r="72" spans="2:10" ht="15.75">
      <c r="B72" s="310" t="s">
        <v>683</v>
      </c>
      <c r="C72" s="453">
        <f>IF(C73*0.1&lt;C71,"Exceed 10% Rule","")</f>
      </c>
      <c r="D72" s="453">
        <f>IF(D73*0.1&lt;D71,"Exceed 10% Rule","")</f>
      </c>
      <c r="E72" s="345">
        <f>IF(E73*0.1&lt;E71,"Exceed 10% Rule","")</f>
      </c>
      <c r="G72" s="688"/>
      <c r="H72" s="651"/>
      <c r="I72" s="651"/>
      <c r="J72" s="683"/>
    </row>
    <row r="73" spans="2:10" ht="15.75">
      <c r="B73" s="312" t="s">
        <v>171</v>
      </c>
      <c r="C73" s="454">
        <f>SUM(C63:C71)</f>
        <v>0</v>
      </c>
      <c r="D73" s="454">
        <f>SUM(D63:D71)</f>
        <v>0</v>
      </c>
      <c r="E73" s="353">
        <f>SUM(E63:E71)</f>
        <v>0</v>
      </c>
      <c r="G73" s="679">
        <f>D74</f>
        <v>0</v>
      </c>
      <c r="H73" s="669" t="str">
        <f>CONCATENATE("",E1-1," Ending Cash Balance (est.)")</f>
        <v>2012 Ending Cash Balance (est.)</v>
      </c>
      <c r="I73" s="680"/>
      <c r="J73" s="683"/>
    </row>
    <row r="74" spans="2:10" ht="15.75">
      <c r="B74" s="148" t="s">
        <v>285</v>
      </c>
      <c r="C74" s="457">
        <f>C61-C73</f>
        <v>0</v>
      </c>
      <c r="D74" s="457">
        <f>D61-D73</f>
        <v>0</v>
      </c>
      <c r="E74" s="338" t="s">
        <v>148</v>
      </c>
      <c r="G74" s="679">
        <f>E60</f>
        <v>0</v>
      </c>
      <c r="H74" s="652" t="str">
        <f>CONCATENATE("",E1," Non-AV Receipts (est.)")</f>
        <v>2013 Non-AV Receipts (est.)</v>
      </c>
      <c r="I74" s="680"/>
      <c r="J74" s="683"/>
    </row>
    <row r="75" spans="2:11" ht="15.75">
      <c r="B75" s="288" t="str">
        <f>CONCATENATE("",E$1-2,"/",E$1-1," Budget Authority Amount:")</f>
        <v>2011/2012 Budget Authority Amount:</v>
      </c>
      <c r="C75" s="280">
        <f>inputOth!B40</f>
        <v>0</v>
      </c>
      <c r="D75" s="280">
        <f>inputPrYr!D26</f>
        <v>0</v>
      </c>
      <c r="E75" s="338" t="s">
        <v>148</v>
      </c>
      <c r="F75" s="321"/>
      <c r="G75" s="681">
        <f>IF(E79&gt;0,E78,E80)</f>
        <v>0</v>
      </c>
      <c r="H75" s="652" t="str">
        <f>CONCATENATE("",E1," Ad Valorem Tax (est.)")</f>
        <v>2013 Ad Valorem Tax (est.)</v>
      </c>
      <c r="I75" s="680"/>
      <c r="J75" s="683"/>
      <c r="K75" s="666">
        <f>IF(G75=E80,"","Note: Does not include Delinquent Taxes")</f>
      </c>
    </row>
    <row r="76" spans="2:10" ht="15.75">
      <c r="B76" s="288"/>
      <c r="C76" s="772" t="s">
        <v>687</v>
      </c>
      <c r="D76" s="773"/>
      <c r="E76" s="112"/>
      <c r="F76" s="502">
        <f>IF(E73/0.95-E73&lt;E76,"Exceeds 5%","")</f>
      </c>
      <c r="G76" s="689">
        <f>SUM(G73:G75)</f>
        <v>0</v>
      </c>
      <c r="H76" s="652" t="str">
        <f>CONCATENATE("Total ",E1," Resources Available")</f>
        <v>Total 2013 Resources Available</v>
      </c>
      <c r="I76" s="690"/>
      <c r="J76" s="683"/>
    </row>
    <row r="77" spans="2:10" ht="15.75">
      <c r="B77" s="505" t="str">
        <f>CONCATENATE(C93,"     ",D93)</f>
        <v>     </v>
      </c>
      <c r="C77" s="774" t="s">
        <v>688</v>
      </c>
      <c r="D77" s="775"/>
      <c r="E77" s="266">
        <f>E73+E76</f>
        <v>0</v>
      </c>
      <c r="G77" s="691"/>
      <c r="H77" s="692"/>
      <c r="I77" s="651"/>
      <c r="J77" s="683"/>
    </row>
    <row r="78" spans="2:10" ht="15.75">
      <c r="B78" s="505" t="str">
        <f>CONCATENATE(C94,"     ",D94)</f>
        <v>     </v>
      </c>
      <c r="C78" s="322"/>
      <c r="D78" s="240" t="s">
        <v>172</v>
      </c>
      <c r="E78" s="120">
        <f>IF(E77-E61&gt;0,E77-E61,0)</f>
        <v>0</v>
      </c>
      <c r="G78" s="693">
        <f>ROUND(C73*0.05+C73,0)</f>
        <v>0</v>
      </c>
      <c r="H78" s="652" t="str">
        <f>CONCATENATE("Less ",E1-2," Expenditures + 5%")</f>
        <v>Less 2011 Expenditures + 5%</v>
      </c>
      <c r="I78" s="690"/>
      <c r="J78" s="683"/>
    </row>
    <row r="79" spans="2:10" ht="15.75">
      <c r="B79" s="240"/>
      <c r="C79" s="504" t="s">
        <v>689</v>
      </c>
      <c r="D79" s="649">
        <f>inputOth!$E$23</f>
        <v>0.03</v>
      </c>
      <c r="E79" s="266">
        <f>ROUND(IF(D79&gt;0,($E$78*D79),0),0)</f>
        <v>0</v>
      </c>
      <c r="G79" s="694">
        <f>G76-G78</f>
        <v>0</v>
      </c>
      <c r="H79" s="685" t="str">
        <f>CONCATENATE("Projected ",E1+1," carryover (est.)")</f>
        <v>Projected 2014 carryover (est.)</v>
      </c>
      <c r="I79" s="695"/>
      <c r="J79" s="696"/>
    </row>
    <row r="80" spans="2:10" ht="15.75">
      <c r="B80" s="85"/>
      <c r="C80" s="780" t="str">
        <f>CONCATENATE("Amount of  ",$E$1-1," Ad Valorem Tax")</f>
        <v>Amount of  2012 Ad Valorem Tax</v>
      </c>
      <c r="D80" s="781"/>
      <c r="E80" s="349">
        <f>E78+E79</f>
        <v>0</v>
      </c>
      <c r="G80" s="1"/>
      <c r="H80" s="1"/>
      <c r="I80" s="1"/>
      <c r="J80" s="1"/>
    </row>
    <row r="81" spans="2:10" ht="15.75">
      <c r="B81" s="288" t="s">
        <v>194</v>
      </c>
      <c r="C81" s="350"/>
      <c r="D81" s="85"/>
      <c r="E81" s="85"/>
      <c r="G81" s="785" t="s">
        <v>843</v>
      </c>
      <c r="H81" s="786"/>
      <c r="I81" s="786"/>
      <c r="J81" s="787"/>
    </row>
    <row r="82" spans="7:10" ht="15.75">
      <c r="G82" s="668"/>
      <c r="H82" s="669"/>
      <c r="I82" s="670"/>
      <c r="J82" s="671"/>
    </row>
    <row r="83" spans="7:10" ht="15.75">
      <c r="G83" s="672" t="str">
        <f>summ!H26</f>
        <v>  </v>
      </c>
      <c r="H83" s="669" t="str">
        <f>CONCATENATE("",E1," Fund Mill Rate")</f>
        <v>2013 Fund Mill Rate</v>
      </c>
      <c r="I83" s="670"/>
      <c r="J83" s="671"/>
    </row>
    <row r="84" spans="7:10" ht="15.75">
      <c r="G84" s="673" t="str">
        <f>summ!E26</f>
        <v>  </v>
      </c>
      <c r="H84" s="669" t="str">
        <f>CONCATENATE("",E1-1," Fund Mill Rate")</f>
        <v>2012 Fund Mill Rate</v>
      </c>
      <c r="I84" s="670"/>
      <c r="J84" s="671"/>
    </row>
    <row r="85" spans="7:10" ht="15.75">
      <c r="G85" s="674">
        <f>summ!H61</f>
        <v>42.760999999999996</v>
      </c>
      <c r="H85" s="669" t="str">
        <f>CONCATENATE("Total ",E1," Mill Rate")</f>
        <v>Total 2013 Mill Rate</v>
      </c>
      <c r="I85" s="670"/>
      <c r="J85" s="671"/>
    </row>
    <row r="86" spans="7:10" ht="15.75">
      <c r="G86" s="673">
        <f>summ!E61</f>
        <v>43.934999999999995</v>
      </c>
      <c r="H86" s="675" t="str">
        <f>CONCATENATE("Total ",E1-1," Mill Rate")</f>
        <v>Total 2012 Mill Rate</v>
      </c>
      <c r="I86" s="676"/>
      <c r="J86" s="677"/>
    </row>
    <row r="91" spans="3:4" ht="15.75" hidden="1">
      <c r="C91" s="72">
        <f>IF(C33&gt;C35,"See Tab A","")</f>
      </c>
      <c r="D91" s="72">
        <f>IF(D33&gt;D35,"See Tab C","")</f>
      </c>
    </row>
    <row r="92" spans="3:4" ht="15.75" hidden="1">
      <c r="C92" s="72">
        <f>IF(C34&lt;0,"See Tab B","")</f>
      </c>
      <c r="D92" s="72">
        <f>IF(D34&lt;0,"See Tab D","")</f>
      </c>
    </row>
    <row r="93" spans="3:4" ht="15.75" hidden="1">
      <c r="C93" s="72">
        <f>IF(C73&gt;C75,"See Tab A","")</f>
      </c>
      <c r="D93" s="72">
        <f>IF(D73&gt;D75,"See Tab C","")</f>
      </c>
    </row>
    <row r="94" spans="3:4" ht="15.75" hidden="1">
      <c r="C94" s="72">
        <f>IF(C74&lt;0,"See Tab B","")</f>
      </c>
      <c r="D94" s="72">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H78" sqref="H78:H79"/>
    </sheetView>
  </sheetViews>
  <sheetFormatPr defaultColWidth="8.796875" defaultRowHeight="15"/>
  <cols>
    <col min="1" max="1" width="2.3984375" style="72" customWidth="1"/>
    <col min="2" max="2" width="31.09765625" style="72" customWidth="1"/>
    <col min="3" max="4" width="15.796875" style="72" customWidth="1"/>
    <col min="5" max="5" width="16.09765625" style="72" customWidth="1"/>
    <col min="6" max="6" width="7.3984375" style="72" customWidth="1"/>
    <col min="7" max="7" width="10.19921875" style="72" customWidth="1"/>
    <col min="8" max="8" width="8.8984375" style="72" customWidth="1"/>
    <col min="9" max="9" width="5" style="72" customWidth="1"/>
    <col min="10" max="10" width="10" style="72" customWidth="1"/>
    <col min="11"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242</v>
      </c>
      <c r="C3" s="334"/>
      <c r="D3" s="334"/>
      <c r="E3" s="335"/>
    </row>
    <row r="4" spans="2:5" ht="15.75">
      <c r="B4" s="84" t="s">
        <v>160</v>
      </c>
      <c r="C4" s="703" t="s">
        <v>844</v>
      </c>
      <c r="D4" s="704" t="s">
        <v>845</v>
      </c>
      <c r="E4" s="215" t="s">
        <v>846</v>
      </c>
    </row>
    <row r="5" spans="2:5" ht="15.75">
      <c r="B5" s="484">
        <f>inputPrYr!B27</f>
        <v>0</v>
      </c>
      <c r="C5" s="455" t="str">
        <f>CONCATENATE("Actual for ",E1-2,"")</f>
        <v>Actual for 2011</v>
      </c>
      <c r="D5" s="455" t="str">
        <f>CONCATENATE("Estimate for ",E1-1,"")</f>
        <v>Estimate for 2012</v>
      </c>
      <c r="E5" s="303" t="str">
        <f>CONCATENATE("Year for ",E1,"")</f>
        <v>Year for 2013</v>
      </c>
    </row>
    <row r="6" spans="2:5" ht="15.75">
      <c r="B6" s="148" t="s">
        <v>284</v>
      </c>
      <c r="C6" s="452"/>
      <c r="D6" s="456">
        <f>C34</f>
        <v>0</v>
      </c>
      <c r="E6" s="266">
        <f>D34</f>
        <v>0</v>
      </c>
    </row>
    <row r="7" spans="2:5" ht="15.75">
      <c r="B7" s="291" t="s">
        <v>286</v>
      </c>
      <c r="C7" s="306"/>
      <c r="D7" s="306"/>
      <c r="E7" s="127"/>
    </row>
    <row r="8" spans="2:5" ht="15.75">
      <c r="B8" s="148" t="s">
        <v>161</v>
      </c>
      <c r="C8" s="452"/>
      <c r="D8" s="456">
        <f>IF(inputPrYr!H27&gt;0,inputPrYr!H27,inputPrYr!E27)</f>
        <v>0</v>
      </c>
      <c r="E8" s="338" t="s">
        <v>148</v>
      </c>
    </row>
    <row r="9" spans="2:5" ht="15.75">
      <c r="B9" s="148" t="s">
        <v>162</v>
      </c>
      <c r="C9" s="452"/>
      <c r="D9" s="452"/>
      <c r="E9" s="112"/>
    </row>
    <row r="10" spans="2:5" ht="15.75">
      <c r="B10" s="148" t="s">
        <v>163</v>
      </c>
      <c r="C10" s="452"/>
      <c r="D10" s="452"/>
      <c r="E10" s="266" t="str">
        <f>mvalloc!E18</f>
        <v>  </v>
      </c>
    </row>
    <row r="11" spans="2:5" ht="15.75">
      <c r="B11" s="148" t="s">
        <v>164</v>
      </c>
      <c r="C11" s="452"/>
      <c r="D11" s="452"/>
      <c r="E11" s="266" t="str">
        <f>mvalloc!F18</f>
        <v>  </v>
      </c>
    </row>
    <row r="12" spans="2:5" ht="15.75">
      <c r="B12" s="306" t="s">
        <v>233</v>
      </c>
      <c r="C12" s="452"/>
      <c r="D12" s="452"/>
      <c r="E12" s="266" t="str">
        <f>mvalloc!G18</f>
        <v>  </v>
      </c>
    </row>
    <row r="13" spans="2:5" ht="15.75">
      <c r="B13" s="319"/>
      <c r="C13" s="452"/>
      <c r="D13" s="452"/>
      <c r="E13" s="112"/>
    </row>
    <row r="14" spans="2:5" ht="15.75">
      <c r="B14" s="319"/>
      <c r="C14" s="452"/>
      <c r="D14" s="452"/>
      <c r="E14" s="112"/>
    </row>
    <row r="15" spans="2:5" ht="15.75">
      <c r="B15" s="319"/>
      <c r="C15" s="452"/>
      <c r="D15" s="452"/>
      <c r="E15" s="112"/>
    </row>
    <row r="16" spans="2:5" ht="15.75">
      <c r="B16" s="319"/>
      <c r="C16" s="452"/>
      <c r="D16" s="452"/>
      <c r="E16" s="112"/>
    </row>
    <row r="17" spans="2:5" ht="15.75">
      <c r="B17" s="309" t="s">
        <v>165</v>
      </c>
      <c r="C17" s="452"/>
      <c r="D17" s="452"/>
      <c r="E17" s="112"/>
    </row>
    <row r="18" spans="2:5" ht="15.75">
      <c r="B18" s="310" t="s">
        <v>75</v>
      </c>
      <c r="C18" s="452"/>
      <c r="D18" s="452"/>
      <c r="E18" s="112"/>
    </row>
    <row r="19" spans="2:5" ht="15.75">
      <c r="B19" s="310" t="s">
        <v>684</v>
      </c>
      <c r="C19" s="453">
        <f>IF(C20*0.1&lt;C18,"Exceed 10% Rule","")</f>
      </c>
      <c r="D19" s="453">
        <f>IF(D20*0.1&lt;D18,"Exceed 10% Rule","")</f>
      </c>
      <c r="E19" s="345">
        <f>IF(E20*0.1+E40&lt;E18,"Exceed 10% Rule","")</f>
      </c>
    </row>
    <row r="20" spans="2:5" ht="15.75">
      <c r="B20" s="312" t="s">
        <v>166</v>
      </c>
      <c r="C20" s="454">
        <f>SUM(C8:C18)</f>
        <v>0</v>
      </c>
      <c r="D20" s="454">
        <f>SUM(D8:D18)</f>
        <v>0</v>
      </c>
      <c r="E20" s="353">
        <f>SUM(E8:E18)</f>
        <v>0</v>
      </c>
    </row>
    <row r="21" spans="2:5" ht="15.75">
      <c r="B21" s="312" t="s">
        <v>167</v>
      </c>
      <c r="C21" s="454">
        <f>C6+C20</f>
        <v>0</v>
      </c>
      <c r="D21" s="454">
        <f>D6+D20</f>
        <v>0</v>
      </c>
      <c r="E21" s="353">
        <f>E6+E20</f>
        <v>0</v>
      </c>
    </row>
    <row r="22" spans="2:5" ht="15.75">
      <c r="B22" s="148" t="s">
        <v>170</v>
      </c>
      <c r="C22" s="310"/>
      <c r="D22" s="310"/>
      <c r="E22" s="108"/>
    </row>
    <row r="23" spans="2:5" ht="15.75">
      <c r="B23" s="319"/>
      <c r="C23" s="452"/>
      <c r="D23" s="452"/>
      <c r="E23" s="112"/>
    </row>
    <row r="24" spans="2:10" ht="15.75">
      <c r="B24" s="319"/>
      <c r="C24" s="452"/>
      <c r="D24" s="452"/>
      <c r="E24" s="112"/>
      <c r="G24" s="782" t="str">
        <f>CONCATENATE("Desired Carryover Into ",E1+1,"")</f>
        <v>Desired Carryover Into 2014</v>
      </c>
      <c r="H24" s="783"/>
      <c r="I24" s="783"/>
      <c r="J24" s="784"/>
    </row>
    <row r="25" spans="2:10" ht="15.75">
      <c r="B25" s="319"/>
      <c r="C25" s="452"/>
      <c r="D25" s="452"/>
      <c r="E25" s="112"/>
      <c r="G25" s="650"/>
      <c r="H25" s="651"/>
      <c r="I25" s="652"/>
      <c r="J25" s="653"/>
    </row>
    <row r="26" spans="2:10" ht="15.75">
      <c r="B26" s="319"/>
      <c r="C26" s="452"/>
      <c r="D26" s="452"/>
      <c r="E26" s="112"/>
      <c r="G26" s="654" t="s">
        <v>690</v>
      </c>
      <c r="H26" s="652"/>
      <c r="I26" s="652"/>
      <c r="J26" s="655">
        <v>0</v>
      </c>
    </row>
    <row r="27" spans="2:10" ht="15.75">
      <c r="B27" s="319"/>
      <c r="C27" s="452"/>
      <c r="D27" s="452"/>
      <c r="E27" s="112"/>
      <c r="G27" s="650" t="s">
        <v>691</v>
      </c>
      <c r="H27" s="651"/>
      <c r="I27" s="651"/>
      <c r="J27" s="656">
        <f>IF(J26=0,"",ROUND((J26+E40-G39)/inputOth!E6*1000,3)-G44)</f>
      </c>
    </row>
    <row r="28" spans="2:10" ht="15.75">
      <c r="B28" s="319"/>
      <c r="C28" s="452"/>
      <c r="D28" s="452"/>
      <c r="E28" s="112"/>
      <c r="G28" s="657" t="str">
        <f>CONCATENATE("",E1," Tot Exp/Non-Appr Must Be:")</f>
        <v>2013 Tot Exp/Non-Appr Must Be:</v>
      </c>
      <c r="H28" s="658"/>
      <c r="I28" s="659"/>
      <c r="J28" s="660">
        <f>IF(J26&gt;0,IF(E37&lt;E21,IF(J26=G39,E37,((J26-G39)*(1-D39))+E21),E37+(J26-G39)),0)</f>
        <v>0</v>
      </c>
    </row>
    <row r="29" spans="2:10" ht="15.75">
      <c r="B29" s="319"/>
      <c r="C29" s="452"/>
      <c r="D29" s="452"/>
      <c r="E29" s="112"/>
      <c r="G29" s="661" t="s">
        <v>842</v>
      </c>
      <c r="H29" s="662"/>
      <c r="I29" s="662"/>
      <c r="J29" s="663">
        <f>IF(J26&gt;0,J28-E37,0)</f>
        <v>0</v>
      </c>
    </row>
    <row r="30" spans="2:10" ht="15.75">
      <c r="B30" s="310" t="s">
        <v>77</v>
      </c>
      <c r="C30" s="452"/>
      <c r="D30" s="452"/>
      <c r="E30" s="120">
        <f>Nhood!E17</f>
      </c>
      <c r="G30" s="1"/>
      <c r="H30" s="1"/>
      <c r="I30" s="1"/>
      <c r="J30" s="1"/>
    </row>
    <row r="31" spans="2:10" ht="15.75">
      <c r="B31" s="310" t="s">
        <v>75</v>
      </c>
      <c r="C31" s="452"/>
      <c r="D31" s="452"/>
      <c r="E31" s="112"/>
      <c r="G31" s="782" t="str">
        <f>CONCATENATE("Projected Carryover Into ",E1+1,"")</f>
        <v>Projected Carryover Into 2014</v>
      </c>
      <c r="H31" s="789"/>
      <c r="I31" s="789"/>
      <c r="J31" s="790"/>
    </row>
    <row r="32" spans="2:10" ht="15.75">
      <c r="B32" s="310" t="s">
        <v>683</v>
      </c>
      <c r="C32" s="453">
        <f>IF(C33*0.1&lt;C31,"Exceed 10% Rule","")</f>
      </c>
      <c r="D32" s="453">
        <f>IF(D33*0.1&lt;D31,"Exceed 10% Rule","")</f>
      </c>
      <c r="E32" s="345">
        <f>IF(E33*0.1&lt;E31,"Exceed 10% Rule","")</f>
      </c>
      <c r="G32" s="650"/>
      <c r="H32" s="652"/>
      <c r="I32" s="652"/>
      <c r="J32" s="678"/>
    </row>
    <row r="33" spans="2:10" ht="15.75">
      <c r="B33" s="312" t="s">
        <v>171</v>
      </c>
      <c r="C33" s="454">
        <f>SUM(C23:C31)</f>
        <v>0</v>
      </c>
      <c r="D33" s="454">
        <f>SUM(D23:D31)</f>
        <v>0</v>
      </c>
      <c r="E33" s="353">
        <f>SUM(E23:E31)</f>
        <v>0</v>
      </c>
      <c r="G33" s="679">
        <f>D34</f>
        <v>0</v>
      </c>
      <c r="H33" s="669" t="str">
        <f>CONCATENATE("",E1-1," Ending Cash Balance (est.)")</f>
        <v>2012 Ending Cash Balance (est.)</v>
      </c>
      <c r="I33" s="680"/>
      <c r="J33" s="678"/>
    </row>
    <row r="34" spans="2:10" ht="15.75">
      <c r="B34" s="148" t="s">
        <v>285</v>
      </c>
      <c r="C34" s="457">
        <f>C21-C33</f>
        <v>0</v>
      </c>
      <c r="D34" s="457">
        <f>D21-D33</f>
        <v>0</v>
      </c>
      <c r="E34" s="338" t="s">
        <v>148</v>
      </c>
      <c r="G34" s="679">
        <f>E20</f>
        <v>0</v>
      </c>
      <c r="H34" s="652" t="str">
        <f>CONCATENATE("",E1," Non-AV Receipts (est.)")</f>
        <v>2013 Non-AV Receipts (est.)</v>
      </c>
      <c r="I34" s="680"/>
      <c r="J34" s="678"/>
    </row>
    <row r="35" spans="2:11" ht="15.75">
      <c r="B35" s="288" t="str">
        <f>CONCATENATE("",E$1-2,"/",E$1-1," Budget Authority Amount:")</f>
        <v>2011/2012 Budget Authority Amount:</v>
      </c>
      <c r="C35" s="280">
        <f>inputOth!B41</f>
        <v>0</v>
      </c>
      <c r="D35" s="280">
        <f>inputPrYr!D27</f>
        <v>0</v>
      </c>
      <c r="E35" s="338" t="s">
        <v>148</v>
      </c>
      <c r="F35" s="321"/>
      <c r="G35" s="681">
        <f>IF(E39&gt;0,E38,E40)</f>
        <v>0</v>
      </c>
      <c r="H35" s="652" t="str">
        <f>CONCATENATE("",E1," Ad Valorem Tax (est.)")</f>
        <v>2013 Ad Valorem Tax (est.)</v>
      </c>
      <c r="I35" s="680"/>
      <c r="J35" s="678"/>
      <c r="K35" s="666">
        <f>IF(G35=E40,"","Note: Does not include Delinquent Taxes")</f>
      </c>
    </row>
    <row r="36" spans="2:10" ht="15.75">
      <c r="B36" s="288"/>
      <c r="C36" s="772" t="s">
        <v>687</v>
      </c>
      <c r="D36" s="773"/>
      <c r="E36" s="112"/>
      <c r="F36" s="502">
        <f>IF(E33/0.95-E33&lt;E36,"Exceeds 5%","")</f>
      </c>
      <c r="G36" s="679">
        <f>SUM(G33:G35)</f>
        <v>0</v>
      </c>
      <c r="H36" s="652" t="str">
        <f>CONCATENATE("Total ",E1," Resources Available")</f>
        <v>Total 2013 Resources Available</v>
      </c>
      <c r="I36" s="680"/>
      <c r="J36" s="678"/>
    </row>
    <row r="37" spans="2:10" ht="15.75">
      <c r="B37" s="506" t="str">
        <f>CONCATENATE(C91,"     ",D91)</f>
        <v>     </v>
      </c>
      <c r="C37" s="774" t="s">
        <v>688</v>
      </c>
      <c r="D37" s="775"/>
      <c r="E37" s="266">
        <f>E33+E36</f>
        <v>0</v>
      </c>
      <c r="G37" s="682"/>
      <c r="H37" s="652"/>
      <c r="I37" s="652"/>
      <c r="J37" s="678"/>
    </row>
    <row r="38" spans="2:10" ht="15.75">
      <c r="B38" s="506" t="str">
        <f>CONCATENATE(C92,"     ",D92)</f>
        <v>     </v>
      </c>
      <c r="C38" s="322"/>
      <c r="D38" s="240" t="s">
        <v>172</v>
      </c>
      <c r="E38" s="120">
        <f>IF(E37-E21&gt;0,E37-E21,0)</f>
        <v>0</v>
      </c>
      <c r="G38" s="681">
        <f>ROUND(C33*0.05+C33,0)</f>
        <v>0</v>
      </c>
      <c r="H38" s="652" t="str">
        <f>CONCATENATE("Less ",E1-2," Expenditures + 5%")</f>
        <v>Less 2011 Expenditures + 5%</v>
      </c>
      <c r="I38" s="680"/>
      <c r="J38" s="683"/>
    </row>
    <row r="39" spans="2:10" ht="15.75">
      <c r="B39" s="240"/>
      <c r="C39" s="504" t="s">
        <v>689</v>
      </c>
      <c r="D39" s="649">
        <f>inputOth!$E$23</f>
        <v>0.03</v>
      </c>
      <c r="E39" s="266">
        <f>ROUND(IF(D39&gt;0,($E$38*D39),0),0)</f>
        <v>0</v>
      </c>
      <c r="G39" s="684">
        <f>G36-G38</f>
        <v>0</v>
      </c>
      <c r="H39" s="685" t="str">
        <f>CONCATENATE("Projected ",E1+1," carryover (est.)")</f>
        <v>Projected 2014 carryover (est.)</v>
      </c>
      <c r="I39" s="686"/>
      <c r="J39" s="687"/>
    </row>
    <row r="40" spans="2:10" ht="15.75">
      <c r="B40" s="85"/>
      <c r="C40" s="780" t="str">
        <f>CONCATENATE("Amount of  ",$E$1-1," Ad Valorem Tax")</f>
        <v>Amount of  2012 Ad Valorem Tax</v>
      </c>
      <c r="D40" s="781"/>
      <c r="E40" s="349">
        <f>E38+E39</f>
        <v>0</v>
      </c>
      <c r="G40" s="1"/>
      <c r="H40" s="1"/>
      <c r="I40" s="1"/>
      <c r="J40" s="1"/>
    </row>
    <row r="41" spans="2:10" ht="15.75">
      <c r="B41" s="85"/>
      <c r="C41" s="328"/>
      <c r="D41" s="328"/>
      <c r="E41" s="328"/>
      <c r="G41" s="785" t="s">
        <v>843</v>
      </c>
      <c r="H41" s="786"/>
      <c r="I41" s="786"/>
      <c r="J41" s="787"/>
    </row>
    <row r="42" spans="2:10" ht="15.75">
      <c r="B42" s="84" t="s">
        <v>160</v>
      </c>
      <c r="C42" s="703" t="str">
        <f aca="true" t="shared" si="0" ref="C42:E43">C4</f>
        <v>Prior Year </v>
      </c>
      <c r="D42" s="704" t="str">
        <f t="shared" si="0"/>
        <v>Current Year </v>
      </c>
      <c r="E42" s="215" t="str">
        <f t="shared" si="0"/>
        <v>Proposed Budget </v>
      </c>
      <c r="G42" s="668"/>
      <c r="H42" s="669"/>
      <c r="I42" s="670"/>
      <c r="J42" s="671"/>
    </row>
    <row r="43" spans="2:10" ht="15.75">
      <c r="B43" s="483">
        <f>inputPrYr!B28</f>
        <v>0</v>
      </c>
      <c r="C43" s="455" t="str">
        <f t="shared" si="0"/>
        <v>Actual for 2011</v>
      </c>
      <c r="D43" s="455" t="str">
        <f t="shared" si="0"/>
        <v>Estimate for 2012</v>
      </c>
      <c r="E43" s="303" t="str">
        <f t="shared" si="0"/>
        <v>Year for 2013</v>
      </c>
      <c r="G43" s="672" t="str">
        <f>summ!H27</f>
        <v>  </v>
      </c>
      <c r="H43" s="669" t="str">
        <f>CONCATENATE("",E1," Fund Mill Rate")</f>
        <v>2013 Fund Mill Rate</v>
      </c>
      <c r="I43" s="670"/>
      <c r="J43" s="671"/>
    </row>
    <row r="44" spans="2:10" ht="15.75">
      <c r="B44" s="148" t="s">
        <v>284</v>
      </c>
      <c r="C44" s="452"/>
      <c r="D44" s="456">
        <f>C74</f>
        <v>0</v>
      </c>
      <c r="E44" s="266">
        <f>D74</f>
        <v>0</v>
      </c>
      <c r="G44" s="673" t="str">
        <f>summ!E27</f>
        <v>  </v>
      </c>
      <c r="H44" s="669" t="str">
        <f>CONCATENATE("",E1-1," Fund Mill Rate")</f>
        <v>2012 Fund Mill Rate</v>
      </c>
      <c r="I44" s="670"/>
      <c r="J44" s="671"/>
    </row>
    <row r="45" spans="2:10" ht="15.75">
      <c r="B45" s="304" t="s">
        <v>286</v>
      </c>
      <c r="C45" s="306"/>
      <c r="D45" s="306"/>
      <c r="E45" s="127"/>
      <c r="G45" s="674">
        <f>summ!H61</f>
        <v>42.760999999999996</v>
      </c>
      <c r="H45" s="669" t="str">
        <f>CONCATENATE("Total ",E1," Mill Rate")</f>
        <v>Total 2013 Mill Rate</v>
      </c>
      <c r="I45" s="670"/>
      <c r="J45" s="671"/>
    </row>
    <row r="46" spans="2:10" ht="15.75">
      <c r="B46" s="148" t="s">
        <v>161</v>
      </c>
      <c r="C46" s="452"/>
      <c r="D46" s="456">
        <f>IF(inputPrYr!H28&gt;0,inputPrYr!H28,inputPrYr!E28)</f>
        <v>0</v>
      </c>
      <c r="E46" s="338" t="s">
        <v>148</v>
      </c>
      <c r="G46" s="673">
        <f>summ!E61</f>
        <v>43.934999999999995</v>
      </c>
      <c r="H46" s="675" t="str">
        <f>CONCATENATE("Total ",E1-1," Mill Rate")</f>
        <v>Total 2012 Mill Rate</v>
      </c>
      <c r="I46" s="676"/>
      <c r="J46" s="677"/>
    </row>
    <row r="47" spans="2:10" ht="15.75">
      <c r="B47" s="148" t="s">
        <v>162</v>
      </c>
      <c r="C47" s="452"/>
      <c r="D47" s="452"/>
      <c r="E47" s="112"/>
      <c r="G47" s="1"/>
      <c r="H47" s="1"/>
      <c r="I47" s="1"/>
      <c r="J47" s="1"/>
    </row>
    <row r="48" spans="2:10" ht="15.75">
      <c r="B48" s="148" t="s">
        <v>163</v>
      </c>
      <c r="C48" s="452"/>
      <c r="D48" s="452"/>
      <c r="E48" s="266" t="str">
        <f>mvalloc!E19</f>
        <v>  </v>
      </c>
      <c r="G48" s="1"/>
      <c r="H48" s="1"/>
      <c r="I48" s="1"/>
      <c r="J48" s="1"/>
    </row>
    <row r="49" spans="2:10" ht="15.75">
      <c r="B49" s="148" t="s">
        <v>164</v>
      </c>
      <c r="C49" s="452"/>
      <c r="D49" s="452"/>
      <c r="E49" s="266" t="str">
        <f>mvalloc!F19</f>
        <v>  </v>
      </c>
      <c r="G49" s="1"/>
      <c r="H49" s="1"/>
      <c r="I49" s="1"/>
      <c r="J49" s="1"/>
    </row>
    <row r="50" spans="2:10" ht="15.75">
      <c r="B50" s="306" t="s">
        <v>233</v>
      </c>
      <c r="C50" s="452"/>
      <c r="D50" s="452"/>
      <c r="E50" s="266" t="str">
        <f>mvalloc!G19</f>
        <v>  </v>
      </c>
      <c r="G50" s="1"/>
      <c r="H50" s="1"/>
      <c r="I50" s="1"/>
      <c r="J50" s="1"/>
    </row>
    <row r="51" spans="2:10" ht="15.75">
      <c r="B51" s="319"/>
      <c r="C51" s="452"/>
      <c r="D51" s="452"/>
      <c r="E51" s="112"/>
      <c r="G51" s="1"/>
      <c r="H51" s="1"/>
      <c r="I51" s="1"/>
      <c r="J51" s="1"/>
    </row>
    <row r="52" spans="2:10" ht="15.75">
      <c r="B52" s="319"/>
      <c r="C52" s="452"/>
      <c r="D52" s="452"/>
      <c r="E52" s="112"/>
      <c r="G52" s="1"/>
      <c r="H52" s="1"/>
      <c r="I52" s="1"/>
      <c r="J52" s="1"/>
    </row>
    <row r="53" spans="2:10" ht="15.75">
      <c r="B53" s="319"/>
      <c r="C53" s="452"/>
      <c r="D53" s="452"/>
      <c r="E53" s="112"/>
      <c r="G53" s="1"/>
      <c r="H53" s="1"/>
      <c r="I53" s="1"/>
      <c r="J53" s="1"/>
    </row>
    <row r="54" spans="2:10" ht="15.75">
      <c r="B54" s="319"/>
      <c r="C54" s="452"/>
      <c r="D54" s="452"/>
      <c r="E54" s="112"/>
      <c r="G54" s="1"/>
      <c r="H54" s="1"/>
      <c r="I54" s="1"/>
      <c r="J54" s="1"/>
    </row>
    <row r="55" spans="2:10" ht="15.75">
      <c r="B55" s="319"/>
      <c r="C55" s="452"/>
      <c r="D55" s="452"/>
      <c r="E55" s="112"/>
      <c r="G55" s="1"/>
      <c r="H55" s="1"/>
      <c r="I55" s="1"/>
      <c r="J55" s="1"/>
    </row>
    <row r="56" spans="2:10" ht="15.75">
      <c r="B56" s="319"/>
      <c r="C56" s="452"/>
      <c r="D56" s="452"/>
      <c r="E56" s="112"/>
      <c r="G56" s="1"/>
      <c r="H56" s="1"/>
      <c r="I56" s="1"/>
      <c r="J56" s="1"/>
    </row>
    <row r="57" spans="2:10" ht="15.75">
      <c r="B57" s="309" t="s">
        <v>165</v>
      </c>
      <c r="C57" s="452"/>
      <c r="D57" s="452"/>
      <c r="E57" s="112"/>
      <c r="G57" s="1"/>
      <c r="H57" s="1"/>
      <c r="I57" s="1"/>
      <c r="J57" s="1"/>
    </row>
    <row r="58" spans="2:10" ht="15.75">
      <c r="B58" s="310" t="s">
        <v>75</v>
      </c>
      <c r="C58" s="452"/>
      <c r="D58" s="452"/>
      <c r="E58" s="112"/>
      <c r="G58" s="1"/>
      <c r="H58" s="1"/>
      <c r="I58" s="1"/>
      <c r="J58" s="1"/>
    </row>
    <row r="59" spans="2:10" ht="15.75">
      <c r="B59" s="310" t="s">
        <v>684</v>
      </c>
      <c r="C59" s="453">
        <f>IF(C60*0.1&lt;C58,"Exceed 10% Rule","")</f>
      </c>
      <c r="D59" s="453">
        <f>IF(D60*0.1&lt;D58,"Exceed 10% Rule","")</f>
      </c>
      <c r="E59" s="345">
        <f>IF(E60*0.1+E80&lt;E58,"Exceed 10% Rule","")</f>
      </c>
      <c r="G59" s="1"/>
      <c r="H59" s="1"/>
      <c r="I59" s="1"/>
      <c r="J59" s="1"/>
    </row>
    <row r="60" spans="2:10" ht="15.75">
      <c r="B60" s="312" t="s">
        <v>166</v>
      </c>
      <c r="C60" s="454">
        <f>SUM(C46:C58)</f>
        <v>0</v>
      </c>
      <c r="D60" s="454">
        <f>SUM(D46:D58)</f>
        <v>0</v>
      </c>
      <c r="E60" s="353">
        <f>SUM(E46:E58)</f>
        <v>0</v>
      </c>
      <c r="G60" s="1"/>
      <c r="H60" s="1"/>
      <c r="I60" s="1"/>
      <c r="J60" s="1"/>
    </row>
    <row r="61" spans="2:10" ht="15.75">
      <c r="B61" s="312" t="s">
        <v>167</v>
      </c>
      <c r="C61" s="454">
        <f>C44+C60</f>
        <v>0</v>
      </c>
      <c r="D61" s="454">
        <f>D44+D60</f>
        <v>0</v>
      </c>
      <c r="E61" s="353">
        <f>E44+E60</f>
        <v>0</v>
      </c>
      <c r="G61" s="1"/>
      <c r="H61" s="1"/>
      <c r="I61" s="1"/>
      <c r="J61" s="1"/>
    </row>
    <row r="62" spans="2:10" ht="15.75">
      <c r="B62" s="148" t="s">
        <v>170</v>
      </c>
      <c r="C62" s="310"/>
      <c r="D62" s="310"/>
      <c r="E62" s="108"/>
      <c r="G62" s="1"/>
      <c r="H62" s="1"/>
      <c r="I62" s="1"/>
      <c r="J62" s="1"/>
    </row>
    <row r="63" spans="2:10" ht="15.75">
      <c r="B63" s="319"/>
      <c r="C63" s="452"/>
      <c r="D63" s="452"/>
      <c r="E63" s="112"/>
      <c r="G63" s="1"/>
      <c r="H63" s="1"/>
      <c r="I63" s="1"/>
      <c r="J63" s="1"/>
    </row>
    <row r="64" spans="2:10" ht="15.75">
      <c r="B64" s="319"/>
      <c r="C64" s="452"/>
      <c r="D64" s="452"/>
      <c r="E64" s="112"/>
      <c r="G64" s="782" t="str">
        <f>CONCATENATE("Desired Carryover Into ",E1+1,"")</f>
        <v>Desired Carryover Into 2014</v>
      </c>
      <c r="H64" s="783"/>
      <c r="I64" s="783"/>
      <c r="J64" s="784"/>
    </row>
    <row r="65" spans="2:10" ht="15.75">
      <c r="B65" s="319"/>
      <c r="C65" s="452"/>
      <c r="D65" s="452"/>
      <c r="E65" s="112"/>
      <c r="G65" s="650"/>
      <c r="H65" s="651"/>
      <c r="I65" s="652"/>
      <c r="J65" s="653"/>
    </row>
    <row r="66" spans="2:10" ht="15.75">
      <c r="B66" s="319"/>
      <c r="C66" s="452"/>
      <c r="D66" s="452"/>
      <c r="E66" s="112"/>
      <c r="G66" s="654" t="s">
        <v>690</v>
      </c>
      <c r="H66" s="652"/>
      <c r="I66" s="652"/>
      <c r="J66" s="655">
        <v>0</v>
      </c>
    </row>
    <row r="67" spans="2:10" ht="15.75">
      <c r="B67" s="319"/>
      <c r="C67" s="452"/>
      <c r="D67" s="452"/>
      <c r="E67" s="112"/>
      <c r="G67" s="650" t="s">
        <v>691</v>
      </c>
      <c r="H67" s="651"/>
      <c r="I67" s="651"/>
      <c r="J67" s="656">
        <f>IF(J66=0,"",ROUND((J66+E80-G79)/inputOth!E6*1000,3)-G84)</f>
      </c>
    </row>
    <row r="68" spans="2:10" ht="15.75">
      <c r="B68" s="319"/>
      <c r="C68" s="452"/>
      <c r="D68" s="452"/>
      <c r="E68" s="112"/>
      <c r="G68" s="657" t="str">
        <f>CONCATENATE("",E1," Tot Exp/Non-Appr Must Be:")</f>
        <v>2013 Tot Exp/Non-Appr Must Be:</v>
      </c>
      <c r="H68" s="658"/>
      <c r="I68" s="659"/>
      <c r="J68" s="660">
        <f>IF(J66&gt;0,IF(E77&lt;E61,IF(J66=G79,E77,((J66-G79)*(1-D79))+E61),E77+(J66-G79)),0)</f>
        <v>0</v>
      </c>
    </row>
    <row r="69" spans="2:10" ht="15.75">
      <c r="B69" s="319"/>
      <c r="C69" s="452"/>
      <c r="D69" s="452"/>
      <c r="E69" s="112"/>
      <c r="G69" s="661" t="s">
        <v>842</v>
      </c>
      <c r="H69" s="662"/>
      <c r="I69" s="662"/>
      <c r="J69" s="663">
        <f>IF(J66&gt;0,J68-E77,0)</f>
        <v>0</v>
      </c>
    </row>
    <row r="70" spans="2:10" ht="15.75">
      <c r="B70" s="310" t="s">
        <v>77</v>
      </c>
      <c r="C70" s="452"/>
      <c r="D70" s="452"/>
      <c r="E70" s="120">
        <f>Nhood!E18</f>
      </c>
      <c r="G70" s="1"/>
      <c r="H70" s="1"/>
      <c r="I70" s="1"/>
      <c r="J70" s="1"/>
    </row>
    <row r="71" spans="2:10" ht="15.75">
      <c r="B71" s="310" t="s">
        <v>75</v>
      </c>
      <c r="C71" s="452"/>
      <c r="D71" s="452"/>
      <c r="E71" s="112"/>
      <c r="G71" s="782" t="str">
        <f>CONCATENATE("Projected Carryover Into ",E1+1,"")</f>
        <v>Projected Carryover Into 2014</v>
      </c>
      <c r="H71" s="791"/>
      <c r="I71" s="791"/>
      <c r="J71" s="790"/>
    </row>
    <row r="72" spans="2:10" ht="15.75">
      <c r="B72" s="310" t="s">
        <v>683</v>
      </c>
      <c r="C72" s="453">
        <f>IF(C73*0.1&lt;C71,"Exceed 10% Rule","")</f>
      </c>
      <c r="D72" s="453">
        <f>IF(D73*0.1&lt;D71,"Exceed 10% Rule","")</f>
      </c>
      <c r="E72" s="345">
        <f>IF(E73*0.1&lt;E71,"Exceed 10% Rule","")</f>
      </c>
      <c r="G72" s="688"/>
      <c r="H72" s="651"/>
      <c r="I72" s="651"/>
      <c r="J72" s="683"/>
    </row>
    <row r="73" spans="2:10" ht="15.75">
      <c r="B73" s="312" t="s">
        <v>171</v>
      </c>
      <c r="C73" s="454">
        <f>SUM(C63:C71)</f>
        <v>0</v>
      </c>
      <c r="D73" s="454">
        <f>SUM(D63:D71)</f>
        <v>0</v>
      </c>
      <c r="E73" s="353">
        <f>SUM(E63:E71)</f>
        <v>0</v>
      </c>
      <c r="G73" s="679">
        <f>D74</f>
        <v>0</v>
      </c>
      <c r="H73" s="669" t="str">
        <f>CONCATENATE("",E1-1," Ending Cash Balance (est.)")</f>
        <v>2012 Ending Cash Balance (est.)</v>
      </c>
      <c r="I73" s="680"/>
      <c r="J73" s="683"/>
    </row>
    <row r="74" spans="2:10" ht="15.75">
      <c r="B74" s="148" t="s">
        <v>285</v>
      </c>
      <c r="C74" s="457">
        <f>C61-C73</f>
        <v>0</v>
      </c>
      <c r="D74" s="457">
        <f>D61-D73</f>
        <v>0</v>
      </c>
      <c r="E74" s="338" t="s">
        <v>148</v>
      </c>
      <c r="G74" s="679">
        <f>E60</f>
        <v>0</v>
      </c>
      <c r="H74" s="652" t="str">
        <f>CONCATENATE("",E1," Non-AV Receipts (est.)")</f>
        <v>2013 Non-AV Receipts (est.)</v>
      </c>
      <c r="I74" s="680"/>
      <c r="J74" s="683"/>
    </row>
    <row r="75" spans="2:11" ht="15.75">
      <c r="B75" s="288" t="str">
        <f>CONCATENATE("",E$1-2,"/",E$1-1," Budget Authority Amount:")</f>
        <v>2011/2012 Budget Authority Amount:</v>
      </c>
      <c r="C75" s="280">
        <f>inputOth!B42</f>
        <v>0</v>
      </c>
      <c r="D75" s="280">
        <f>inputPrYr!D28</f>
        <v>0</v>
      </c>
      <c r="E75" s="338" t="s">
        <v>148</v>
      </c>
      <c r="F75" s="321"/>
      <c r="G75" s="681">
        <f>IF(E79&gt;0,E78,E80)</f>
        <v>0</v>
      </c>
      <c r="H75" s="652" t="str">
        <f>CONCATENATE("",E1," Ad Valorem Tax (est.)")</f>
        <v>2013 Ad Valorem Tax (est.)</v>
      </c>
      <c r="I75" s="680"/>
      <c r="J75" s="683"/>
      <c r="K75" s="666">
        <f>IF(G75=E80,"","Note: Does not include Delinquent Taxes")</f>
      </c>
    </row>
    <row r="76" spans="2:10" ht="15.75">
      <c r="B76" s="288"/>
      <c r="C76" s="772" t="s">
        <v>687</v>
      </c>
      <c r="D76" s="773"/>
      <c r="E76" s="112"/>
      <c r="F76" s="502">
        <f>IF(E73/0.95-E73&lt;E76,"Exceeds 5%","")</f>
      </c>
      <c r="G76" s="689">
        <f>SUM(G73:G75)</f>
        <v>0</v>
      </c>
      <c r="H76" s="652" t="str">
        <f>CONCATENATE("Total ",E1," Resources Available")</f>
        <v>Total 2013 Resources Available</v>
      </c>
      <c r="I76" s="690"/>
      <c r="J76" s="683"/>
    </row>
    <row r="77" spans="2:10" ht="15.75">
      <c r="B77" s="505" t="str">
        <f>CONCATENATE(C93,"     ",D93)</f>
        <v>     </v>
      </c>
      <c r="C77" s="774" t="s">
        <v>688</v>
      </c>
      <c r="D77" s="775"/>
      <c r="E77" s="266">
        <f>E73+E76</f>
        <v>0</v>
      </c>
      <c r="G77" s="691"/>
      <c r="H77" s="692"/>
      <c r="I77" s="651"/>
      <c r="J77" s="683"/>
    </row>
    <row r="78" spans="2:10" ht="15.75">
      <c r="B78" s="505" t="str">
        <f>CONCATENATE(C94,"     ",D94)</f>
        <v>     </v>
      </c>
      <c r="C78" s="322"/>
      <c r="D78" s="240" t="s">
        <v>172</v>
      </c>
      <c r="E78" s="120">
        <f>IF(E77-E61&gt;0,E77-E61,0)</f>
        <v>0</v>
      </c>
      <c r="G78" s="693">
        <f>ROUND(C73*0.05+C73,0)</f>
        <v>0</v>
      </c>
      <c r="H78" s="652" t="str">
        <f>CONCATENATE("Less ",E1-2," Expenditures + 5%")</f>
        <v>Less 2011 Expenditures + 5%</v>
      </c>
      <c r="I78" s="690"/>
      <c r="J78" s="683"/>
    </row>
    <row r="79" spans="2:10" ht="15.75">
      <c r="B79" s="240"/>
      <c r="C79" s="504" t="s">
        <v>689</v>
      </c>
      <c r="D79" s="649">
        <f>inputOth!$E$23</f>
        <v>0.03</v>
      </c>
      <c r="E79" s="266">
        <f>ROUND(IF(D79&gt;0,($E$78*D79),0),0)</f>
        <v>0</v>
      </c>
      <c r="G79" s="694">
        <f>G76-G78</f>
        <v>0</v>
      </c>
      <c r="H79" s="685" t="str">
        <f>CONCATENATE("Projected ",E1+1," carryover (est.)")</f>
        <v>Projected 2014 carryover (est.)</v>
      </c>
      <c r="I79" s="695"/>
      <c r="J79" s="696"/>
    </row>
    <row r="80" spans="2:10" ht="15.75">
      <c r="B80" s="302"/>
      <c r="C80" s="780" t="str">
        <f>CONCATENATE("Amount of  ",$E$1-1," Ad Valorem Tax")</f>
        <v>Amount of  2012 Ad Valorem Tax</v>
      </c>
      <c r="D80" s="781"/>
      <c r="E80" s="349">
        <f>E78+E79</f>
        <v>0</v>
      </c>
      <c r="G80" s="1"/>
      <c r="H80" s="1"/>
      <c r="I80" s="1"/>
      <c r="J80" s="1"/>
    </row>
    <row r="81" spans="2:10" ht="15.75">
      <c r="B81" s="288" t="s">
        <v>194</v>
      </c>
      <c r="C81" s="350"/>
      <c r="D81" s="85"/>
      <c r="E81" s="85"/>
      <c r="G81" s="785" t="s">
        <v>843</v>
      </c>
      <c r="H81" s="786"/>
      <c r="I81" s="786"/>
      <c r="J81" s="787"/>
    </row>
    <row r="82" spans="7:10" ht="15.75">
      <c r="G82" s="668"/>
      <c r="H82" s="669"/>
      <c r="I82" s="670"/>
      <c r="J82" s="671"/>
    </row>
    <row r="83" spans="7:10" ht="15.75">
      <c r="G83" s="672" t="str">
        <f>summ!H28</f>
        <v>  </v>
      </c>
      <c r="H83" s="669" t="str">
        <f>CONCATENATE("",E1," Fund Mill Rate")</f>
        <v>2013 Fund Mill Rate</v>
      </c>
      <c r="I83" s="670"/>
      <c r="J83" s="671"/>
    </row>
    <row r="84" spans="7:10" ht="15.75">
      <c r="G84" s="673" t="str">
        <f>summ!E28</f>
        <v>  </v>
      </c>
      <c r="H84" s="669" t="str">
        <f>CONCATENATE("",E1-1," Fund Mill Rate")</f>
        <v>2012 Fund Mill Rate</v>
      </c>
      <c r="I84" s="670"/>
      <c r="J84" s="671"/>
    </row>
    <row r="85" spans="7:10" ht="15.75">
      <c r="G85" s="674">
        <f>summ!H61</f>
        <v>42.760999999999996</v>
      </c>
      <c r="H85" s="669" t="str">
        <f>CONCATENATE("Total ",E1," Mill Rate")</f>
        <v>Total 2013 Mill Rate</v>
      </c>
      <c r="I85" s="670"/>
      <c r="J85" s="671"/>
    </row>
    <row r="86" spans="7:10" ht="15.75">
      <c r="G86" s="673">
        <f>summ!E61</f>
        <v>43.934999999999995</v>
      </c>
      <c r="H86" s="675" t="str">
        <f>CONCATENATE("Total ",E1-1," Mill Rate")</f>
        <v>Total 2012 Mill Rate</v>
      </c>
      <c r="I86" s="676"/>
      <c r="J86" s="677"/>
    </row>
    <row r="91" spans="3:4" ht="15.75" hidden="1">
      <c r="C91" s="72">
        <f>IF(C33&gt;C35,"See Tab A","")</f>
      </c>
      <c r="D91" s="72">
        <f>IF(D33&gt;D35,"See Tab C","")</f>
      </c>
    </row>
    <row r="92" spans="3:4" ht="15.75" hidden="1">
      <c r="C92" s="72">
        <f>IF(C34&lt;0,"See Tab B","")</f>
      </c>
      <c r="D92" s="72">
        <f>IF(D34&lt;0,"See Tab D","")</f>
      </c>
    </row>
    <row r="93" spans="3:4" ht="15.75" hidden="1">
      <c r="C93" s="72">
        <f>IF(C73&gt;C75,"See Tab A","")</f>
      </c>
      <c r="D93" s="72">
        <f>IF(D73&gt;D75,"See Tab C","")</f>
      </c>
    </row>
    <row r="94" spans="3:4" ht="15.75" hidden="1">
      <c r="C94" s="72">
        <f>IF(C74&lt;0,"See Tab B","")</f>
      </c>
      <c r="D94" s="72">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F76" sqref="F76"/>
    </sheetView>
  </sheetViews>
  <sheetFormatPr defaultColWidth="8.796875" defaultRowHeight="15"/>
  <cols>
    <col min="1" max="1" width="2.3984375" style="72" customWidth="1"/>
    <col min="2" max="2" width="31.09765625" style="72" customWidth="1"/>
    <col min="3" max="4" width="15.796875" style="72" customWidth="1"/>
    <col min="5" max="5" width="16.09765625" style="72" customWidth="1"/>
    <col min="6" max="6" width="7.3984375" style="72" customWidth="1"/>
    <col min="7" max="7" width="10.19921875" style="72" customWidth="1"/>
    <col min="8" max="8" width="8.8984375" style="72" customWidth="1"/>
    <col min="9" max="9" width="5" style="72" customWidth="1"/>
    <col min="10" max="10" width="10" style="72" customWidth="1"/>
    <col min="11"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242</v>
      </c>
      <c r="C3" s="334"/>
      <c r="D3" s="334"/>
      <c r="E3" s="335"/>
    </row>
    <row r="4" spans="2:5" ht="15.75">
      <c r="B4" s="84" t="s">
        <v>160</v>
      </c>
      <c r="C4" s="703" t="s">
        <v>844</v>
      </c>
      <c r="D4" s="704" t="s">
        <v>845</v>
      </c>
      <c r="E4" s="215" t="s">
        <v>846</v>
      </c>
    </row>
    <row r="5" spans="2:5" ht="15.75">
      <c r="B5" s="484">
        <f>inputPrYr!B29</f>
        <v>0</v>
      </c>
      <c r="C5" s="455" t="str">
        <f>CONCATENATE("Actual for ",E1-2,"")</f>
        <v>Actual for 2011</v>
      </c>
      <c r="D5" s="455" t="str">
        <f>CONCATENATE("Estimate for ",E1-1,"")</f>
        <v>Estimate for 2012</v>
      </c>
      <c r="E5" s="303" t="str">
        <f>CONCATENATE("Year for ",E1,"")</f>
        <v>Year for 2013</v>
      </c>
    </row>
    <row r="6" spans="2:5" ht="15.75">
      <c r="B6" s="148" t="s">
        <v>284</v>
      </c>
      <c r="C6" s="452"/>
      <c r="D6" s="456">
        <f>C34</f>
        <v>0</v>
      </c>
      <c r="E6" s="266">
        <f>D34</f>
        <v>0</v>
      </c>
    </row>
    <row r="7" spans="2:5" ht="15.75">
      <c r="B7" s="291" t="s">
        <v>286</v>
      </c>
      <c r="C7" s="306"/>
      <c r="D7" s="306"/>
      <c r="E7" s="127"/>
    </row>
    <row r="8" spans="2:5" ht="15.75">
      <c r="B8" s="148" t="s">
        <v>161</v>
      </c>
      <c r="C8" s="452"/>
      <c r="D8" s="456">
        <f>IF(inputPrYr!H29&gt;0,inputPrYr!H29,inputPrYr!E29)</f>
        <v>0</v>
      </c>
      <c r="E8" s="338" t="s">
        <v>148</v>
      </c>
    </row>
    <row r="9" spans="2:5" ht="15.75">
      <c r="B9" s="148" t="s">
        <v>162</v>
      </c>
      <c r="C9" s="452"/>
      <c r="D9" s="452"/>
      <c r="E9" s="112"/>
    </row>
    <row r="10" spans="2:5" ht="15.75">
      <c r="B10" s="148" t="s">
        <v>163</v>
      </c>
      <c r="C10" s="452"/>
      <c r="D10" s="452"/>
      <c r="E10" s="266" t="str">
        <f>mvalloc!E20</f>
        <v>  </v>
      </c>
    </row>
    <row r="11" spans="2:5" ht="15.75">
      <c r="B11" s="148" t="s">
        <v>164</v>
      </c>
      <c r="C11" s="452"/>
      <c r="D11" s="452"/>
      <c r="E11" s="266" t="str">
        <f>mvalloc!F20</f>
        <v>  </v>
      </c>
    </row>
    <row r="12" spans="2:5" ht="15.75">
      <c r="B12" s="306" t="s">
        <v>233</v>
      </c>
      <c r="C12" s="452"/>
      <c r="D12" s="452"/>
      <c r="E12" s="266" t="str">
        <f>mvalloc!G20</f>
        <v>  </v>
      </c>
    </row>
    <row r="13" spans="2:5" ht="15.75">
      <c r="B13" s="319"/>
      <c r="C13" s="452"/>
      <c r="D13" s="452"/>
      <c r="E13" s="112"/>
    </row>
    <row r="14" spans="2:5" ht="15.75">
      <c r="B14" s="319"/>
      <c r="C14" s="452"/>
      <c r="D14" s="452"/>
      <c r="E14" s="112"/>
    </row>
    <row r="15" spans="2:5" ht="15.75">
      <c r="B15" s="319"/>
      <c r="C15" s="452"/>
      <c r="D15" s="452"/>
      <c r="E15" s="112"/>
    </row>
    <row r="16" spans="2:5" ht="15.75">
      <c r="B16" s="319"/>
      <c r="C16" s="452"/>
      <c r="D16" s="452"/>
      <c r="E16" s="112"/>
    </row>
    <row r="17" spans="2:5" ht="15.75">
      <c r="B17" s="309" t="s">
        <v>165</v>
      </c>
      <c r="C17" s="452"/>
      <c r="D17" s="452"/>
      <c r="E17" s="112"/>
    </row>
    <row r="18" spans="2:5" ht="15.75">
      <c r="B18" s="310" t="s">
        <v>75</v>
      </c>
      <c r="C18" s="452"/>
      <c r="D18" s="452"/>
      <c r="E18" s="112"/>
    </row>
    <row r="19" spans="2:5" ht="15.75">
      <c r="B19" s="310" t="s">
        <v>76</v>
      </c>
      <c r="C19" s="453">
        <f>IF(C20*0.1&lt;C18,"Exceed 10% Rule","")</f>
      </c>
      <c r="D19" s="453">
        <f>IF(D20*0.1&lt;D18,"Exceed 10% Rule","")</f>
      </c>
      <c r="E19" s="345">
        <f>IF(E20*0.1+E40&lt;E18,"Exceed 10% Rule","")</f>
      </c>
    </row>
    <row r="20" spans="2:5" ht="15.75">
      <c r="B20" s="312" t="s">
        <v>166</v>
      </c>
      <c r="C20" s="454">
        <f>SUM(C8:C18)</f>
        <v>0</v>
      </c>
      <c r="D20" s="454">
        <f>SUM(D8:D18)</f>
        <v>0</v>
      </c>
      <c r="E20" s="353">
        <f>SUM(E8:E18)</f>
        <v>0</v>
      </c>
    </row>
    <row r="21" spans="2:5" ht="15.75">
      <c r="B21" s="312" t="s">
        <v>167</v>
      </c>
      <c r="C21" s="454">
        <f>C6+C20</f>
        <v>0</v>
      </c>
      <c r="D21" s="454">
        <f>D6+D20</f>
        <v>0</v>
      </c>
      <c r="E21" s="353">
        <f>E6+E20</f>
        <v>0</v>
      </c>
    </row>
    <row r="22" spans="2:5" ht="15.75">
      <c r="B22" s="148" t="s">
        <v>170</v>
      </c>
      <c r="C22" s="310"/>
      <c r="D22" s="310"/>
      <c r="E22" s="108"/>
    </row>
    <row r="23" spans="2:5" ht="15.75">
      <c r="B23" s="319"/>
      <c r="C23" s="452"/>
      <c r="D23" s="452"/>
      <c r="E23" s="112"/>
    </row>
    <row r="24" spans="2:10" ht="15.75">
      <c r="B24" s="319"/>
      <c r="C24" s="452"/>
      <c r="D24" s="452"/>
      <c r="E24" s="112"/>
      <c r="G24" s="782" t="str">
        <f>CONCATENATE("Desired Carryover Into ",E1+1,"")</f>
        <v>Desired Carryover Into 2014</v>
      </c>
      <c r="H24" s="783"/>
      <c r="I24" s="783"/>
      <c r="J24" s="784"/>
    </row>
    <row r="25" spans="2:10" ht="15.75">
      <c r="B25" s="319"/>
      <c r="C25" s="452"/>
      <c r="D25" s="452"/>
      <c r="E25" s="112"/>
      <c r="G25" s="650"/>
      <c r="H25" s="651"/>
      <c r="I25" s="652"/>
      <c r="J25" s="653"/>
    </row>
    <row r="26" spans="2:10" ht="15.75">
      <c r="B26" s="319"/>
      <c r="C26" s="452"/>
      <c r="D26" s="452"/>
      <c r="E26" s="112"/>
      <c r="G26" s="654" t="s">
        <v>690</v>
      </c>
      <c r="H26" s="652"/>
      <c r="I26" s="652"/>
      <c r="J26" s="655">
        <v>0</v>
      </c>
    </row>
    <row r="27" spans="2:10" ht="15.75">
      <c r="B27" s="319"/>
      <c r="C27" s="452"/>
      <c r="D27" s="452"/>
      <c r="E27" s="112"/>
      <c r="G27" s="650" t="s">
        <v>691</v>
      </c>
      <c r="H27" s="651"/>
      <c r="I27" s="651"/>
      <c r="J27" s="656">
        <f>IF(J26=0,"",ROUND((J26+E40-G39)/inputOth!E6*1000,3)-G44)</f>
      </c>
    </row>
    <row r="28" spans="2:10" ht="15.75">
      <c r="B28" s="319"/>
      <c r="C28" s="452"/>
      <c r="D28" s="452"/>
      <c r="E28" s="112"/>
      <c r="G28" s="657" t="str">
        <f>CONCATENATE("",E1," Tot Exp/Non-Appr Must Be:")</f>
        <v>2013 Tot Exp/Non-Appr Must Be:</v>
      </c>
      <c r="H28" s="658"/>
      <c r="I28" s="659"/>
      <c r="J28" s="660">
        <f>IF(J26&gt;0,IF(E37&lt;E21,IF(J26=G39,E37,((J26-G39)*(1-D39))+E21),E37+(J26-G39)),0)</f>
        <v>0</v>
      </c>
    </row>
    <row r="29" spans="2:10" ht="15.75">
      <c r="B29" s="319"/>
      <c r="C29" s="452"/>
      <c r="D29" s="452"/>
      <c r="E29" s="112"/>
      <c r="G29" s="661" t="s">
        <v>842</v>
      </c>
      <c r="H29" s="662"/>
      <c r="I29" s="662"/>
      <c r="J29" s="663">
        <f>IF(J26&gt;0,J28-E37,0)</f>
        <v>0</v>
      </c>
    </row>
    <row r="30" spans="2:10" ht="15.75">
      <c r="B30" s="310" t="s">
        <v>77</v>
      </c>
      <c r="C30" s="452"/>
      <c r="D30" s="452"/>
      <c r="E30" s="120">
        <f>Nhood!E19</f>
      </c>
      <c r="G30" s="1"/>
      <c r="H30" s="1"/>
      <c r="I30" s="1"/>
      <c r="J30" s="1"/>
    </row>
    <row r="31" spans="2:10" ht="15.75">
      <c r="B31" s="310" t="s">
        <v>75</v>
      </c>
      <c r="C31" s="452"/>
      <c r="D31" s="452"/>
      <c r="E31" s="112"/>
      <c r="G31" s="782" t="str">
        <f>CONCATENATE("Projected Carryover Into ",E1+1,"")</f>
        <v>Projected Carryover Into 2014</v>
      </c>
      <c r="H31" s="789"/>
      <c r="I31" s="789"/>
      <c r="J31" s="790"/>
    </row>
    <row r="32" spans="2:10" ht="15.75">
      <c r="B32" s="310" t="s">
        <v>78</v>
      </c>
      <c r="C32" s="453">
        <f>IF(C33*0.1&lt;C31,"Exceed 10% Rule","")</f>
      </c>
      <c r="D32" s="453">
        <f>IF(D33*0.1&lt;D31,"Exceed 10% Rule","")</f>
      </c>
      <c r="E32" s="345">
        <f>IF(E33*0.1&lt;E31,"Exceed 10% Rule","")</f>
      </c>
      <c r="G32" s="650"/>
      <c r="H32" s="652"/>
      <c r="I32" s="652"/>
      <c r="J32" s="678"/>
    </row>
    <row r="33" spans="2:10" ht="15.75">
      <c r="B33" s="312" t="s">
        <v>171</v>
      </c>
      <c r="C33" s="454">
        <f>SUM(C23:C31)</f>
        <v>0</v>
      </c>
      <c r="D33" s="454">
        <f>SUM(D23:D31)</f>
        <v>0</v>
      </c>
      <c r="E33" s="353">
        <f>SUM(E23:E31)</f>
        <v>0</v>
      </c>
      <c r="G33" s="679">
        <f>D34</f>
        <v>0</v>
      </c>
      <c r="H33" s="669" t="str">
        <f>CONCATENATE("",E1-1," Ending Cash Balance (est.)")</f>
        <v>2012 Ending Cash Balance (est.)</v>
      </c>
      <c r="I33" s="680"/>
      <c r="J33" s="678"/>
    </row>
    <row r="34" spans="2:10" ht="15.75">
      <c r="B34" s="148" t="s">
        <v>285</v>
      </c>
      <c r="C34" s="457">
        <f>C21-C33</f>
        <v>0</v>
      </c>
      <c r="D34" s="457">
        <f>D21-D33</f>
        <v>0</v>
      </c>
      <c r="E34" s="338" t="s">
        <v>148</v>
      </c>
      <c r="G34" s="679">
        <f>E20</f>
        <v>0</v>
      </c>
      <c r="H34" s="652" t="str">
        <f>CONCATENATE("",E1," Non-AV Receipts (est.)")</f>
        <v>2013 Non-AV Receipts (est.)</v>
      </c>
      <c r="I34" s="680"/>
      <c r="J34" s="678"/>
    </row>
    <row r="35" spans="2:11" ht="15.75">
      <c r="B35" s="288" t="str">
        <f>CONCATENATE("",E$1-2,"/",E$1-1," Budget Authority Amount:")</f>
        <v>2011/2012 Budget Authority Amount:</v>
      </c>
      <c r="C35" s="280">
        <f>inputOth!B43</f>
        <v>0</v>
      </c>
      <c r="D35" s="280">
        <f>inputPrYr!D29</f>
        <v>0</v>
      </c>
      <c r="E35" s="338" t="s">
        <v>148</v>
      </c>
      <c r="F35" s="321"/>
      <c r="G35" s="681">
        <f>IF(E39&gt;0,E38,E40)</f>
        <v>0</v>
      </c>
      <c r="H35" s="652" t="str">
        <f>CONCATENATE("",E1," Ad Valorem Tax (est.)")</f>
        <v>2013 Ad Valorem Tax (est.)</v>
      </c>
      <c r="I35" s="680"/>
      <c r="J35" s="678"/>
      <c r="K35" s="666">
        <f>IF(G35=E40,"","Note: Does not include Delinquent Taxes")</f>
      </c>
    </row>
    <row r="36" spans="2:10" ht="15.75">
      <c r="B36" s="288"/>
      <c r="C36" s="772" t="s">
        <v>687</v>
      </c>
      <c r="D36" s="773"/>
      <c r="E36" s="112"/>
      <c r="F36" s="502">
        <f>IF(E33/0.95-E33&lt;E36,"Exceeds 5%","")</f>
      </c>
      <c r="G36" s="679">
        <f>SUM(G33:G35)</f>
        <v>0</v>
      </c>
      <c r="H36" s="652" t="str">
        <f>CONCATENATE("Total ",E1," Resources Available")</f>
        <v>Total 2013 Resources Available</v>
      </c>
      <c r="I36" s="680"/>
      <c r="J36" s="678"/>
    </row>
    <row r="37" spans="2:10" ht="15.75">
      <c r="B37" s="506" t="str">
        <f>CONCATENATE(C91,"     ",D91)</f>
        <v>     </v>
      </c>
      <c r="C37" s="774" t="s">
        <v>688</v>
      </c>
      <c r="D37" s="775"/>
      <c r="E37" s="266">
        <f>E33+E36</f>
        <v>0</v>
      </c>
      <c r="G37" s="682"/>
      <c r="H37" s="652"/>
      <c r="I37" s="652"/>
      <c r="J37" s="678"/>
    </row>
    <row r="38" spans="2:10" ht="15.75">
      <c r="B38" s="506" t="str">
        <f>CONCATENATE(C92,"     ",D92)</f>
        <v>     </v>
      </c>
      <c r="C38" s="322"/>
      <c r="D38" s="240" t="s">
        <v>172</v>
      </c>
      <c r="E38" s="120">
        <f>IF(E37-E21&gt;0,E37-E21,0)</f>
        <v>0</v>
      </c>
      <c r="G38" s="681">
        <f>ROUND(C33*0.05+C33,0)</f>
        <v>0</v>
      </c>
      <c r="H38" s="652" t="str">
        <f>CONCATENATE("Less ",E1-2," Expenditures + 5%")</f>
        <v>Less 2011 Expenditures + 5%</v>
      </c>
      <c r="I38" s="680"/>
      <c r="J38" s="683"/>
    </row>
    <row r="39" spans="2:10" ht="15.75">
      <c r="B39" s="240"/>
      <c r="C39" s="504" t="s">
        <v>689</v>
      </c>
      <c r="D39" s="649">
        <f>inputOth!$E$23</f>
        <v>0.03</v>
      </c>
      <c r="E39" s="266">
        <f>ROUND(IF(D39&gt;0,($E$38*D39),0),0)</f>
        <v>0</v>
      </c>
      <c r="G39" s="684">
        <f>G36-G38</f>
        <v>0</v>
      </c>
      <c r="H39" s="685" t="str">
        <f>CONCATENATE("Projected ",E1+1," carryover (est.)")</f>
        <v>Projected 2014 carryover (est.)</v>
      </c>
      <c r="I39" s="686"/>
      <c r="J39" s="687"/>
    </row>
    <row r="40" spans="2:10" ht="15.75">
      <c r="B40" s="85"/>
      <c r="C40" s="780" t="str">
        <f>CONCATENATE("Amount of  ",$E$1-1," Ad Valorem Tax")</f>
        <v>Amount of  2012 Ad Valorem Tax</v>
      </c>
      <c r="D40" s="781"/>
      <c r="E40" s="349">
        <f>E38+E39</f>
        <v>0</v>
      </c>
      <c r="G40" s="1"/>
      <c r="H40" s="1"/>
      <c r="I40" s="1"/>
      <c r="J40" s="1"/>
    </row>
    <row r="41" spans="2:10" ht="15.75">
      <c r="B41" s="85"/>
      <c r="C41" s="328"/>
      <c r="D41" s="328"/>
      <c r="E41" s="328"/>
      <c r="G41" s="785" t="s">
        <v>843</v>
      </c>
      <c r="H41" s="786"/>
      <c r="I41" s="786"/>
      <c r="J41" s="787"/>
    </row>
    <row r="42" spans="2:10" ht="15.75">
      <c r="B42" s="84" t="s">
        <v>160</v>
      </c>
      <c r="C42" s="703" t="str">
        <f aca="true" t="shared" si="0" ref="C42:E43">C4</f>
        <v>Prior Year </v>
      </c>
      <c r="D42" s="704" t="str">
        <f t="shared" si="0"/>
        <v>Current Year </v>
      </c>
      <c r="E42" s="215" t="str">
        <f t="shared" si="0"/>
        <v>Proposed Budget </v>
      </c>
      <c r="G42" s="668"/>
      <c r="H42" s="669"/>
      <c r="I42" s="670"/>
      <c r="J42" s="671"/>
    </row>
    <row r="43" spans="2:10" ht="15.75">
      <c r="B43" s="483">
        <f>inputPrYr!B30</f>
        <v>0</v>
      </c>
      <c r="C43" s="455" t="str">
        <f t="shared" si="0"/>
        <v>Actual for 2011</v>
      </c>
      <c r="D43" s="455" t="str">
        <f t="shared" si="0"/>
        <v>Estimate for 2012</v>
      </c>
      <c r="E43" s="303" t="str">
        <f t="shared" si="0"/>
        <v>Year for 2013</v>
      </c>
      <c r="G43" s="672" t="str">
        <f>summ!H29</f>
        <v>  </v>
      </c>
      <c r="H43" s="669" t="str">
        <f>CONCATENATE("",E1," Fund Mill Rate")</f>
        <v>2013 Fund Mill Rate</v>
      </c>
      <c r="I43" s="670"/>
      <c r="J43" s="671"/>
    </row>
    <row r="44" spans="2:10" ht="15.75">
      <c r="B44" s="148" t="s">
        <v>284</v>
      </c>
      <c r="C44" s="452"/>
      <c r="D44" s="456">
        <f>C74</f>
        <v>0</v>
      </c>
      <c r="E44" s="266">
        <f>D74</f>
        <v>0</v>
      </c>
      <c r="G44" s="673" t="str">
        <f>summ!E29</f>
        <v>  </v>
      </c>
      <c r="H44" s="669" t="str">
        <f>CONCATENATE("",E1-1," Fund Mill Rate")</f>
        <v>2012 Fund Mill Rate</v>
      </c>
      <c r="I44" s="670"/>
      <c r="J44" s="671"/>
    </row>
    <row r="45" spans="2:10" ht="15.75">
      <c r="B45" s="304" t="s">
        <v>286</v>
      </c>
      <c r="C45" s="306"/>
      <c r="D45" s="306"/>
      <c r="E45" s="127"/>
      <c r="G45" s="674">
        <f>summ!H61</f>
        <v>42.760999999999996</v>
      </c>
      <c r="H45" s="669" t="str">
        <f>CONCATENATE("Total ",E1," Mill Rate")</f>
        <v>Total 2013 Mill Rate</v>
      </c>
      <c r="I45" s="670"/>
      <c r="J45" s="671"/>
    </row>
    <row r="46" spans="2:10" ht="15.75">
      <c r="B46" s="148" t="s">
        <v>161</v>
      </c>
      <c r="C46" s="452"/>
      <c r="D46" s="456">
        <f>IF(inputPrYr!H30&gt;0,inputPrYr!H30,inputPrYr!E30)</f>
        <v>0</v>
      </c>
      <c r="E46" s="338" t="s">
        <v>148</v>
      </c>
      <c r="G46" s="673">
        <f>summ!E61</f>
        <v>43.934999999999995</v>
      </c>
      <c r="H46" s="675" t="str">
        <f>CONCATENATE("Total ",E1-1," Mill Rate")</f>
        <v>Total 2012 Mill Rate</v>
      </c>
      <c r="I46" s="676"/>
      <c r="J46" s="677"/>
    </row>
    <row r="47" spans="2:10" ht="15.75">
      <c r="B47" s="148" t="s">
        <v>162</v>
      </c>
      <c r="C47" s="452"/>
      <c r="D47" s="452"/>
      <c r="E47" s="112"/>
      <c r="G47" s="1"/>
      <c r="H47" s="1"/>
      <c r="I47" s="1"/>
      <c r="J47" s="1"/>
    </row>
    <row r="48" spans="2:10" ht="15.75">
      <c r="B48" s="148" t="s">
        <v>163</v>
      </c>
      <c r="C48" s="452"/>
      <c r="D48" s="452"/>
      <c r="E48" s="266" t="str">
        <f>mvalloc!E21</f>
        <v>  </v>
      </c>
      <c r="G48" s="1"/>
      <c r="H48" s="1"/>
      <c r="I48" s="1"/>
      <c r="J48" s="1"/>
    </row>
    <row r="49" spans="2:10" ht="15.75">
      <c r="B49" s="148" t="s">
        <v>164</v>
      </c>
      <c r="C49" s="452"/>
      <c r="D49" s="452"/>
      <c r="E49" s="266" t="str">
        <f>mvalloc!F21</f>
        <v>  </v>
      </c>
      <c r="G49" s="1"/>
      <c r="H49" s="1"/>
      <c r="I49" s="1"/>
      <c r="J49" s="1"/>
    </row>
    <row r="50" spans="2:10" ht="15.75">
      <c r="B50" s="306" t="s">
        <v>233</v>
      </c>
      <c r="C50" s="452"/>
      <c r="D50" s="452"/>
      <c r="E50" s="266" t="str">
        <f>mvalloc!G21</f>
        <v>  </v>
      </c>
      <c r="G50" s="1"/>
      <c r="H50" s="1"/>
      <c r="I50" s="1"/>
      <c r="J50" s="1"/>
    </row>
    <row r="51" spans="2:10" ht="15.75">
      <c r="B51" s="319"/>
      <c r="C51" s="452"/>
      <c r="D51" s="452"/>
      <c r="E51" s="112"/>
      <c r="G51" s="1"/>
      <c r="H51" s="1"/>
      <c r="I51" s="1"/>
      <c r="J51" s="1"/>
    </row>
    <row r="52" spans="2:10" ht="15.75">
      <c r="B52" s="319"/>
      <c r="C52" s="452"/>
      <c r="D52" s="452"/>
      <c r="E52" s="112"/>
      <c r="G52" s="1"/>
      <c r="H52" s="1"/>
      <c r="I52" s="1"/>
      <c r="J52" s="1"/>
    </row>
    <row r="53" spans="2:10" ht="15.75">
      <c r="B53" s="319"/>
      <c r="C53" s="452"/>
      <c r="D53" s="452"/>
      <c r="E53" s="112"/>
      <c r="G53" s="1"/>
      <c r="H53" s="1"/>
      <c r="I53" s="1"/>
      <c r="J53" s="1"/>
    </row>
    <row r="54" spans="2:10" ht="15.75">
      <c r="B54" s="319"/>
      <c r="C54" s="452"/>
      <c r="D54" s="452"/>
      <c r="E54" s="112"/>
      <c r="G54" s="1"/>
      <c r="H54" s="1"/>
      <c r="I54" s="1"/>
      <c r="J54" s="1"/>
    </row>
    <row r="55" spans="2:10" ht="15.75">
      <c r="B55" s="319"/>
      <c r="C55" s="452"/>
      <c r="D55" s="452"/>
      <c r="E55" s="112"/>
      <c r="G55" s="1"/>
      <c r="H55" s="1"/>
      <c r="I55" s="1"/>
      <c r="J55" s="1"/>
    </row>
    <row r="56" spans="2:10" ht="15.75">
      <c r="B56" s="319"/>
      <c r="C56" s="452"/>
      <c r="D56" s="452"/>
      <c r="E56" s="112"/>
      <c r="G56" s="1"/>
      <c r="H56" s="1"/>
      <c r="I56" s="1"/>
      <c r="J56" s="1"/>
    </row>
    <row r="57" spans="2:10" ht="15.75">
      <c r="B57" s="309" t="s">
        <v>165</v>
      </c>
      <c r="C57" s="452"/>
      <c r="D57" s="452"/>
      <c r="E57" s="112"/>
      <c r="G57" s="1"/>
      <c r="H57" s="1"/>
      <c r="I57" s="1"/>
      <c r="J57" s="1"/>
    </row>
    <row r="58" spans="2:10" ht="15.75">
      <c r="B58" s="310" t="s">
        <v>75</v>
      </c>
      <c r="C58" s="452"/>
      <c r="D58" s="452"/>
      <c r="E58" s="112"/>
      <c r="G58" s="1"/>
      <c r="H58" s="1"/>
      <c r="I58" s="1"/>
      <c r="J58" s="1"/>
    </row>
    <row r="59" spans="2:10" ht="15.75">
      <c r="B59" s="310" t="s">
        <v>76</v>
      </c>
      <c r="C59" s="453">
        <f>IF(C60*0.1&lt;C58,"Exceed 10% Rule","")</f>
      </c>
      <c r="D59" s="453">
        <f>IF(D60*0.1&lt;D58,"Exceed 10% Rule","")</f>
      </c>
      <c r="E59" s="345">
        <f>IF(E60*0.1+E80&lt;E58,"Exceed 10% Rule","")</f>
      </c>
      <c r="G59" s="1"/>
      <c r="H59" s="1"/>
      <c r="I59" s="1"/>
      <c r="J59" s="1"/>
    </row>
    <row r="60" spans="2:10" ht="15.75">
      <c r="B60" s="312" t="s">
        <v>166</v>
      </c>
      <c r="C60" s="454">
        <f>SUM(C46:C58)</f>
        <v>0</v>
      </c>
      <c r="D60" s="454">
        <f>SUM(D46:D58)</f>
        <v>0</v>
      </c>
      <c r="E60" s="353">
        <f>SUM(E46:E58)</f>
        <v>0</v>
      </c>
      <c r="G60" s="1"/>
      <c r="H60" s="1"/>
      <c r="I60" s="1"/>
      <c r="J60" s="1"/>
    </row>
    <row r="61" spans="2:10" ht="15.75">
      <c r="B61" s="312" t="s">
        <v>167</v>
      </c>
      <c r="C61" s="454">
        <f>C44+C60</f>
        <v>0</v>
      </c>
      <c r="D61" s="454">
        <f>D44+D60</f>
        <v>0</v>
      </c>
      <c r="E61" s="353">
        <f>E44+E60</f>
        <v>0</v>
      </c>
      <c r="G61" s="1"/>
      <c r="H61" s="1"/>
      <c r="I61" s="1"/>
      <c r="J61" s="1"/>
    </row>
    <row r="62" spans="2:10" ht="15.75">
      <c r="B62" s="148" t="s">
        <v>170</v>
      </c>
      <c r="C62" s="310"/>
      <c r="D62" s="310"/>
      <c r="E62" s="108"/>
      <c r="G62" s="1"/>
      <c r="H62" s="1"/>
      <c r="I62" s="1"/>
      <c r="J62" s="1"/>
    </row>
    <row r="63" spans="2:10" ht="15.75">
      <c r="B63" s="319"/>
      <c r="C63" s="452"/>
      <c r="D63" s="452"/>
      <c r="E63" s="112"/>
      <c r="G63" s="1"/>
      <c r="H63" s="1"/>
      <c r="I63" s="1"/>
      <c r="J63" s="1"/>
    </row>
    <row r="64" spans="2:10" ht="15.75">
      <c r="B64" s="319"/>
      <c r="C64" s="452"/>
      <c r="D64" s="452"/>
      <c r="E64" s="112"/>
      <c r="G64" s="782" t="str">
        <f>CONCATENATE("Desired Carryover Into ",E1+1,"")</f>
        <v>Desired Carryover Into 2014</v>
      </c>
      <c r="H64" s="783"/>
      <c r="I64" s="783"/>
      <c r="J64" s="784"/>
    </row>
    <row r="65" spans="2:10" ht="15.75">
      <c r="B65" s="319"/>
      <c r="C65" s="452"/>
      <c r="D65" s="452"/>
      <c r="E65" s="112"/>
      <c r="G65" s="650"/>
      <c r="H65" s="651"/>
      <c r="I65" s="652"/>
      <c r="J65" s="653"/>
    </row>
    <row r="66" spans="2:10" ht="15.75">
      <c r="B66" s="319"/>
      <c r="C66" s="452"/>
      <c r="D66" s="452"/>
      <c r="E66" s="112"/>
      <c r="G66" s="654" t="s">
        <v>690</v>
      </c>
      <c r="H66" s="652"/>
      <c r="I66" s="652"/>
      <c r="J66" s="655">
        <v>0</v>
      </c>
    </row>
    <row r="67" spans="2:10" ht="15.75">
      <c r="B67" s="319"/>
      <c r="C67" s="452"/>
      <c r="D67" s="452"/>
      <c r="E67" s="112"/>
      <c r="G67" s="650" t="s">
        <v>691</v>
      </c>
      <c r="H67" s="651"/>
      <c r="I67" s="651"/>
      <c r="J67" s="656">
        <f>IF(J66=0,"",ROUND((J66+E80-G79)/inputOth!E6*1000,3)-G84)</f>
      </c>
    </row>
    <row r="68" spans="2:10" ht="15.75">
      <c r="B68" s="319"/>
      <c r="C68" s="452"/>
      <c r="D68" s="452"/>
      <c r="E68" s="112"/>
      <c r="G68" s="657" t="str">
        <f>CONCATENATE("",E1," Tot Exp/Non-Appr Must Be:")</f>
        <v>2013 Tot Exp/Non-Appr Must Be:</v>
      </c>
      <c r="H68" s="658"/>
      <c r="I68" s="659"/>
      <c r="J68" s="660">
        <f>IF(J66&gt;0,IF(E77&lt;E61,IF(J66=G79,E77,((J66-G79)*(1-D79))+E61),E77+(J66-G79)),0)</f>
        <v>0</v>
      </c>
    </row>
    <row r="69" spans="2:10" ht="15.75">
      <c r="B69" s="319"/>
      <c r="C69" s="452"/>
      <c r="D69" s="452"/>
      <c r="E69" s="112"/>
      <c r="G69" s="661" t="s">
        <v>842</v>
      </c>
      <c r="H69" s="662"/>
      <c r="I69" s="662"/>
      <c r="J69" s="663">
        <f>IF(J66&gt;0,J68-E77,0)</f>
        <v>0</v>
      </c>
    </row>
    <row r="70" spans="2:10" ht="15.75">
      <c r="B70" s="310" t="s">
        <v>77</v>
      </c>
      <c r="C70" s="452"/>
      <c r="D70" s="452"/>
      <c r="E70" s="120">
        <f>Nhood!E20</f>
      </c>
      <c r="G70" s="1"/>
      <c r="H70" s="1"/>
      <c r="I70" s="1"/>
      <c r="J70" s="1"/>
    </row>
    <row r="71" spans="2:10" ht="15.75">
      <c r="B71" s="310" t="s">
        <v>75</v>
      </c>
      <c r="C71" s="452"/>
      <c r="D71" s="452"/>
      <c r="E71" s="112"/>
      <c r="G71" s="782" t="str">
        <f>CONCATENATE("Projected Carryover Into ",E1+1,"")</f>
        <v>Projected Carryover Into 2014</v>
      </c>
      <c r="H71" s="791"/>
      <c r="I71" s="791"/>
      <c r="J71" s="790"/>
    </row>
    <row r="72" spans="2:10" ht="15.75">
      <c r="B72" s="310" t="s">
        <v>78</v>
      </c>
      <c r="C72" s="453">
        <f>IF(C73*0.1&lt;C71,"Exceed 10% Rule","")</f>
      </c>
      <c r="D72" s="453">
        <f>IF(D73*0.1&lt;D71,"Exceed 10% Rule","")</f>
      </c>
      <c r="E72" s="345">
        <f>IF(E73*0.1&lt;E71,"Exceed 10% Rule","")</f>
      </c>
      <c r="G72" s="688"/>
      <c r="H72" s="651"/>
      <c r="I72" s="651"/>
      <c r="J72" s="683"/>
    </row>
    <row r="73" spans="2:10" ht="15.75">
      <c r="B73" s="312" t="s">
        <v>171</v>
      </c>
      <c r="C73" s="454">
        <f>SUM(C63:C71)</f>
        <v>0</v>
      </c>
      <c r="D73" s="454">
        <f>SUM(D63:D71)</f>
        <v>0</v>
      </c>
      <c r="E73" s="353">
        <f>SUM(E63:E71)</f>
        <v>0</v>
      </c>
      <c r="G73" s="679">
        <f>D74</f>
        <v>0</v>
      </c>
      <c r="H73" s="669" t="str">
        <f>CONCATENATE("",E1-1," Ending Cash Balance (est.)")</f>
        <v>2012 Ending Cash Balance (est.)</v>
      </c>
      <c r="I73" s="680"/>
      <c r="J73" s="683"/>
    </row>
    <row r="74" spans="2:10" ht="15.75">
      <c r="B74" s="148" t="s">
        <v>285</v>
      </c>
      <c r="C74" s="457">
        <f>C61-C73</f>
        <v>0</v>
      </c>
      <c r="D74" s="457">
        <f>D61-D73</f>
        <v>0</v>
      </c>
      <c r="E74" s="338" t="s">
        <v>148</v>
      </c>
      <c r="G74" s="679">
        <f>E60</f>
        <v>0</v>
      </c>
      <c r="H74" s="652" t="str">
        <f>CONCATENATE("",E1," Non-AV Receipts (est.)")</f>
        <v>2013 Non-AV Receipts (est.)</v>
      </c>
      <c r="I74" s="680"/>
      <c r="J74" s="683"/>
    </row>
    <row r="75" spans="2:11" ht="15.75">
      <c r="B75" s="288" t="str">
        <f>CONCATENATE("",E$1-2,"/",E$1-1," Budget Authority Amount:")</f>
        <v>2011/2012 Budget Authority Amount:</v>
      </c>
      <c r="C75" s="280">
        <f>inputOth!B44</f>
        <v>0</v>
      </c>
      <c r="D75" s="280">
        <f>inputPrYr!D30</f>
        <v>0</v>
      </c>
      <c r="E75" s="338" t="s">
        <v>148</v>
      </c>
      <c r="F75" s="321"/>
      <c r="G75" s="681">
        <f>IF(E79&gt;0,E78,E80)</f>
        <v>0</v>
      </c>
      <c r="H75" s="652" t="str">
        <f>CONCATENATE("",E1," Ad Valorem Tax (est.)")</f>
        <v>2013 Ad Valorem Tax (est.)</v>
      </c>
      <c r="I75" s="680"/>
      <c r="J75" s="683"/>
      <c r="K75" s="666">
        <f>IF(G75=E80,"","Note: Does not include Delinquent Taxes")</f>
      </c>
    </row>
    <row r="76" spans="2:10" ht="15.75">
      <c r="B76" s="288"/>
      <c r="C76" s="772" t="s">
        <v>687</v>
      </c>
      <c r="D76" s="773"/>
      <c r="E76" s="112"/>
      <c r="F76" s="502">
        <f>IF(E73/0.95-E73&lt;E76,"Exceeds 5%","")</f>
      </c>
      <c r="G76" s="689">
        <f>SUM(G73:G75)</f>
        <v>0</v>
      </c>
      <c r="H76" s="652" t="str">
        <f>CONCATENATE("Total ",E1," Resources Available")</f>
        <v>Total 2013 Resources Available</v>
      </c>
      <c r="I76" s="690"/>
      <c r="J76" s="683"/>
    </row>
    <row r="77" spans="2:10" ht="15.75">
      <c r="B77" s="505" t="str">
        <f>CONCATENATE(C93,"     ",D93)</f>
        <v>     </v>
      </c>
      <c r="C77" s="774" t="s">
        <v>688</v>
      </c>
      <c r="D77" s="775"/>
      <c r="E77" s="266">
        <f>E73+E76</f>
        <v>0</v>
      </c>
      <c r="G77" s="691"/>
      <c r="H77" s="692"/>
      <c r="I77" s="651"/>
      <c r="J77" s="683"/>
    </row>
    <row r="78" spans="2:10" ht="15.75">
      <c r="B78" s="505" t="str">
        <f>CONCATENATE(C94,"     ",D94)</f>
        <v>     </v>
      </c>
      <c r="C78" s="322"/>
      <c r="D78" s="240" t="s">
        <v>172</v>
      </c>
      <c r="E78" s="120">
        <f>IF(E77-E61&gt;0,E77-E61,0)</f>
        <v>0</v>
      </c>
      <c r="G78" s="693">
        <f>ROUND(C73*0.05+C73,0)</f>
        <v>0</v>
      </c>
      <c r="H78" s="652" t="str">
        <f>CONCATENATE("Less ",E1-2," Expenditures + 5%")</f>
        <v>Less 2011 Expenditures + 5%</v>
      </c>
      <c r="I78" s="690"/>
      <c r="J78" s="683"/>
    </row>
    <row r="79" spans="2:10" ht="15.75">
      <c r="B79" s="240"/>
      <c r="C79" s="504" t="s">
        <v>689</v>
      </c>
      <c r="D79" s="649">
        <f>inputOth!$E$23</f>
        <v>0.03</v>
      </c>
      <c r="E79" s="266">
        <f>ROUND(IF(D79&gt;0,($E$78*D79),0),0)</f>
        <v>0</v>
      </c>
      <c r="G79" s="694">
        <f>G76-G78</f>
        <v>0</v>
      </c>
      <c r="H79" s="685" t="str">
        <f>CONCATENATE("Projected ",E1+1," carryover (est.)")</f>
        <v>Projected 2014 carryover (est.)</v>
      </c>
      <c r="I79" s="695"/>
      <c r="J79" s="696"/>
    </row>
    <row r="80" spans="2:10" ht="15.75">
      <c r="B80" s="85"/>
      <c r="C80" s="780" t="str">
        <f>CONCATENATE("Amount of  ",$E$1-1," Ad Valorem Tax")</f>
        <v>Amount of  2012 Ad Valorem Tax</v>
      </c>
      <c r="D80" s="781"/>
      <c r="E80" s="349">
        <f>E78+E79</f>
        <v>0</v>
      </c>
      <c r="G80" s="1"/>
      <c r="H80" s="1"/>
      <c r="I80" s="1"/>
      <c r="J80" s="1"/>
    </row>
    <row r="81" spans="2:10" ht="15.75">
      <c r="B81" s="288" t="s">
        <v>194</v>
      </c>
      <c r="C81" s="350"/>
      <c r="D81" s="85"/>
      <c r="E81" s="85"/>
      <c r="G81" s="785" t="s">
        <v>843</v>
      </c>
      <c r="H81" s="786"/>
      <c r="I81" s="786"/>
      <c r="J81" s="787"/>
    </row>
    <row r="82" spans="7:10" ht="15.75">
      <c r="G82" s="668"/>
      <c r="H82" s="669"/>
      <c r="I82" s="670"/>
      <c r="J82" s="671"/>
    </row>
    <row r="83" spans="7:10" ht="15.75">
      <c r="G83" s="672" t="str">
        <f>summ!H30</f>
        <v>  </v>
      </c>
      <c r="H83" s="669" t="str">
        <f>CONCATENATE("",E1," Fund Mill Rate")</f>
        <v>2013 Fund Mill Rate</v>
      </c>
      <c r="I83" s="670"/>
      <c r="J83" s="671"/>
    </row>
    <row r="84" spans="7:10" ht="15.75">
      <c r="G84" s="673" t="str">
        <f>summ!E30</f>
        <v>  </v>
      </c>
      <c r="H84" s="669" t="str">
        <f>CONCATENATE("",E1-1," Fund Mill Rate")</f>
        <v>2012 Fund Mill Rate</v>
      </c>
      <c r="I84" s="670"/>
      <c r="J84" s="671"/>
    </row>
    <row r="85" spans="7:10" ht="15.75">
      <c r="G85" s="674">
        <f>summ!H61</f>
        <v>42.760999999999996</v>
      </c>
      <c r="H85" s="669" t="str">
        <f>CONCATENATE("Total ",E1," Mill Rate")</f>
        <v>Total 2013 Mill Rate</v>
      </c>
      <c r="I85" s="670"/>
      <c r="J85" s="671"/>
    </row>
    <row r="86" spans="7:10" ht="15.75">
      <c r="G86" s="673">
        <f>summ!E61</f>
        <v>43.934999999999995</v>
      </c>
      <c r="H86" s="675" t="str">
        <f>CONCATENATE("Total ",E1-1," Mill Rate")</f>
        <v>Total 2012 Mill Rate</v>
      </c>
      <c r="I86" s="676"/>
      <c r="J86" s="677"/>
    </row>
    <row r="91" spans="3:4" ht="15.75" hidden="1">
      <c r="C91" s="72">
        <f>IF(C33&gt;C35,"See Tab A","")</f>
      </c>
      <c r="D91" s="72">
        <f>IF(D33&gt;D35,"See Tab C","")</f>
      </c>
    </row>
    <row r="92" spans="3:4" ht="15.75" hidden="1">
      <c r="C92" s="72">
        <f>IF(C34&lt;0,"See Tab B","")</f>
      </c>
      <c r="D92" s="72">
        <f>IF(D34&lt;0,"See Tab D","")</f>
      </c>
    </row>
    <row r="93" spans="3:4" ht="15.75" hidden="1">
      <c r="C93" s="72">
        <f>IF(C73&gt;C75,"See Tab A","")</f>
      </c>
      <c r="D93" s="72">
        <f>IF(D73&gt;D75,"See Tab C","")</f>
      </c>
    </row>
    <row r="94" spans="3:4" ht="15.75" hidden="1">
      <c r="C94" s="72">
        <f>IF(C74&lt;0,"See Tab B","")</f>
      </c>
      <c r="D94" s="72">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F76" sqref="F76"/>
    </sheetView>
  </sheetViews>
  <sheetFormatPr defaultColWidth="8.796875" defaultRowHeight="15"/>
  <cols>
    <col min="1" max="1" width="2.3984375" style="72" customWidth="1"/>
    <col min="2" max="2" width="31.09765625" style="72" customWidth="1"/>
    <col min="3" max="4" width="15.796875" style="72" customWidth="1"/>
    <col min="5" max="5" width="16.19921875" style="72" customWidth="1"/>
    <col min="6" max="6" width="7.3984375" style="72" customWidth="1"/>
    <col min="7" max="7" width="10.19921875" style="72" customWidth="1"/>
    <col min="8" max="8" width="8.8984375" style="72" customWidth="1"/>
    <col min="9" max="9" width="5" style="72" customWidth="1"/>
    <col min="10" max="10" width="10" style="72" customWidth="1"/>
    <col min="11"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242</v>
      </c>
      <c r="C3" s="334"/>
      <c r="D3" s="334"/>
      <c r="E3" s="335"/>
    </row>
    <row r="4" spans="2:5" ht="15.75">
      <c r="B4" s="84" t="s">
        <v>160</v>
      </c>
      <c r="C4" s="703" t="s">
        <v>844</v>
      </c>
      <c r="D4" s="704" t="s">
        <v>845</v>
      </c>
      <c r="E4" s="215" t="s">
        <v>846</v>
      </c>
    </row>
    <row r="5" spans="2:5" ht="15.75">
      <c r="B5" s="484">
        <f>inputPrYr!B31</f>
        <v>0</v>
      </c>
      <c r="C5" s="455" t="str">
        <f>CONCATENATE("Actual for ",E1-2,"")</f>
        <v>Actual for 2011</v>
      </c>
      <c r="D5" s="455" t="str">
        <f>CONCATENATE("Estimate for ",E1-1,"")</f>
        <v>Estimate for 2012</v>
      </c>
      <c r="E5" s="303" t="str">
        <f>CONCATENATE("Year for ",E1,"")</f>
        <v>Year for 2013</v>
      </c>
    </row>
    <row r="6" spans="2:5" ht="15.75">
      <c r="B6" s="148" t="s">
        <v>284</v>
      </c>
      <c r="C6" s="452"/>
      <c r="D6" s="456">
        <f>C34</f>
        <v>0</v>
      </c>
      <c r="E6" s="266">
        <f>D34</f>
        <v>0</v>
      </c>
    </row>
    <row r="7" spans="2:5" ht="15.75">
      <c r="B7" s="291" t="s">
        <v>286</v>
      </c>
      <c r="C7" s="306"/>
      <c r="D7" s="306"/>
      <c r="E7" s="127"/>
    </row>
    <row r="8" spans="2:5" ht="15.75">
      <c r="B8" s="148" t="s">
        <v>161</v>
      </c>
      <c r="C8" s="452"/>
      <c r="D8" s="456">
        <f>IF(inputPrYr!H31&gt;0,inputPrYr!H31,inputPrYr!E31)</f>
        <v>0</v>
      </c>
      <c r="E8" s="338" t="s">
        <v>148</v>
      </c>
    </row>
    <row r="9" spans="2:5" ht="15.75">
      <c r="B9" s="148" t="s">
        <v>162</v>
      </c>
      <c r="C9" s="452"/>
      <c r="D9" s="452"/>
      <c r="E9" s="112"/>
    </row>
    <row r="10" spans="2:5" ht="15.75">
      <c r="B10" s="148" t="s">
        <v>163</v>
      </c>
      <c r="C10" s="452"/>
      <c r="D10" s="452"/>
      <c r="E10" s="266" t="str">
        <f>mvalloc!E22</f>
        <v>  </v>
      </c>
    </row>
    <row r="11" spans="2:5" ht="15.75">
      <c r="B11" s="148" t="s">
        <v>164</v>
      </c>
      <c r="C11" s="452"/>
      <c r="D11" s="452"/>
      <c r="E11" s="266" t="str">
        <f>mvalloc!F22</f>
        <v>  </v>
      </c>
    </row>
    <row r="12" spans="2:5" ht="15.75">
      <c r="B12" s="306" t="s">
        <v>233</v>
      </c>
      <c r="C12" s="452"/>
      <c r="D12" s="452"/>
      <c r="E12" s="266" t="str">
        <f>mvalloc!G22</f>
        <v>  </v>
      </c>
    </row>
    <row r="13" spans="2:5" ht="15.75">
      <c r="B13" s="319"/>
      <c r="C13" s="452"/>
      <c r="D13" s="452"/>
      <c r="E13" s="112"/>
    </row>
    <row r="14" spans="2:5" ht="15.75">
      <c r="B14" s="319"/>
      <c r="C14" s="452"/>
      <c r="D14" s="452"/>
      <c r="E14" s="112"/>
    </row>
    <row r="15" spans="2:5" ht="15.75">
      <c r="B15" s="319"/>
      <c r="C15" s="452"/>
      <c r="D15" s="452"/>
      <c r="E15" s="112"/>
    </row>
    <row r="16" spans="2:5" ht="15.75">
      <c r="B16" s="319"/>
      <c r="C16" s="452"/>
      <c r="D16" s="452"/>
      <c r="E16" s="112"/>
    </row>
    <row r="17" spans="2:5" ht="15.75">
      <c r="B17" s="309" t="s">
        <v>165</v>
      </c>
      <c r="C17" s="452"/>
      <c r="D17" s="452"/>
      <c r="E17" s="112"/>
    </row>
    <row r="18" spans="2:5" ht="15.75">
      <c r="B18" s="310" t="s">
        <v>75</v>
      </c>
      <c r="C18" s="452"/>
      <c r="D18" s="452"/>
      <c r="E18" s="112"/>
    </row>
    <row r="19" spans="2:5" ht="15.75">
      <c r="B19" s="310" t="s">
        <v>684</v>
      </c>
      <c r="C19" s="453">
        <f>IF(C20*0.1&lt;C18,"Exceed 10% Rule","")</f>
      </c>
      <c r="D19" s="453">
        <f>IF(D20*0.1&lt;D18,"Exceed 10% Rule","")</f>
      </c>
      <c r="E19" s="345">
        <f>IF(E20*0.1+E40&lt;E18,"Exceed 10% Rule","")</f>
      </c>
    </row>
    <row r="20" spans="2:5" ht="15.75">
      <c r="B20" s="312" t="s">
        <v>166</v>
      </c>
      <c r="C20" s="454">
        <f>SUM(C8:C18)</f>
        <v>0</v>
      </c>
      <c r="D20" s="454">
        <f>SUM(D8:D18)</f>
        <v>0</v>
      </c>
      <c r="E20" s="353">
        <f>SUM(E8:E18)</f>
        <v>0</v>
      </c>
    </row>
    <row r="21" spans="2:5" ht="15.75">
      <c r="B21" s="312" t="s">
        <v>167</v>
      </c>
      <c r="C21" s="454">
        <f>C6+C20</f>
        <v>0</v>
      </c>
      <c r="D21" s="454">
        <f>D6+D20</f>
        <v>0</v>
      </c>
      <c r="E21" s="353">
        <f>E6+E20</f>
        <v>0</v>
      </c>
    </row>
    <row r="22" spans="2:5" ht="15.75">
      <c r="B22" s="148" t="s">
        <v>170</v>
      </c>
      <c r="C22" s="310"/>
      <c r="D22" s="310"/>
      <c r="E22" s="108"/>
    </row>
    <row r="23" spans="2:5" ht="15.75">
      <c r="B23" s="319"/>
      <c r="C23" s="452"/>
      <c r="D23" s="452"/>
      <c r="E23" s="112"/>
    </row>
    <row r="24" spans="2:10" ht="15.75">
      <c r="B24" s="319"/>
      <c r="C24" s="452"/>
      <c r="D24" s="452"/>
      <c r="E24" s="112"/>
      <c r="G24" s="782" t="str">
        <f>CONCATENATE("Desired Carryover Into ",E1+1,"")</f>
        <v>Desired Carryover Into 2014</v>
      </c>
      <c r="H24" s="783"/>
      <c r="I24" s="783"/>
      <c r="J24" s="784"/>
    </row>
    <row r="25" spans="2:10" ht="15.75">
      <c r="B25" s="319"/>
      <c r="C25" s="452"/>
      <c r="D25" s="452"/>
      <c r="E25" s="112"/>
      <c r="G25" s="650"/>
      <c r="H25" s="651"/>
      <c r="I25" s="652"/>
      <c r="J25" s="653"/>
    </row>
    <row r="26" spans="2:10" ht="15.75">
      <c r="B26" s="319"/>
      <c r="C26" s="452"/>
      <c r="D26" s="452"/>
      <c r="E26" s="112"/>
      <c r="G26" s="654" t="s">
        <v>690</v>
      </c>
      <c r="H26" s="652"/>
      <c r="I26" s="652"/>
      <c r="J26" s="655">
        <v>0</v>
      </c>
    </row>
    <row r="27" spans="2:10" ht="15.75">
      <c r="B27" s="319"/>
      <c r="C27" s="452"/>
      <c r="D27" s="452"/>
      <c r="E27" s="112"/>
      <c r="G27" s="650" t="s">
        <v>691</v>
      </c>
      <c r="H27" s="651"/>
      <c r="I27" s="651"/>
      <c r="J27" s="656">
        <f>IF(J26=0,"",ROUND((J26+E40-G39)/inputOth!E6*1000,3)-G44)</f>
      </c>
    </row>
    <row r="28" spans="2:10" ht="15.75">
      <c r="B28" s="319"/>
      <c r="C28" s="452"/>
      <c r="D28" s="452"/>
      <c r="E28" s="112"/>
      <c r="G28" s="657" t="str">
        <f>CONCATENATE("",E1," Tot Exp/Non-Appr Must Be:")</f>
        <v>2013 Tot Exp/Non-Appr Must Be:</v>
      </c>
      <c r="H28" s="658"/>
      <c r="I28" s="659"/>
      <c r="J28" s="660">
        <f>IF(J26&gt;0,IF(E37&lt;E21,IF(J26=G39,E37,((J26-G39)*(1-D39))+E21),E37+(J26-G39)),0)</f>
        <v>0</v>
      </c>
    </row>
    <row r="29" spans="2:10" ht="15.75">
      <c r="B29" s="319"/>
      <c r="C29" s="452"/>
      <c r="D29" s="452"/>
      <c r="E29" s="112"/>
      <c r="G29" s="661" t="s">
        <v>842</v>
      </c>
      <c r="H29" s="662"/>
      <c r="I29" s="662"/>
      <c r="J29" s="663">
        <f>IF(J26&gt;0,J28-E37,0)</f>
        <v>0</v>
      </c>
    </row>
    <row r="30" spans="2:10" ht="15.75">
      <c r="B30" s="310" t="s">
        <v>77</v>
      </c>
      <c r="C30" s="452"/>
      <c r="D30" s="452"/>
      <c r="E30" s="120">
        <f>Nhood!E21</f>
      </c>
      <c r="G30" s="1"/>
      <c r="H30" s="1"/>
      <c r="I30" s="1"/>
      <c r="J30" s="1"/>
    </row>
    <row r="31" spans="2:10" ht="15.75">
      <c r="B31" s="310" t="s">
        <v>75</v>
      </c>
      <c r="C31" s="452"/>
      <c r="D31" s="452"/>
      <c r="E31" s="112"/>
      <c r="G31" s="782" t="str">
        <f>CONCATENATE("Projected Carryover Into ",E1+1,"")</f>
        <v>Projected Carryover Into 2014</v>
      </c>
      <c r="H31" s="789"/>
      <c r="I31" s="789"/>
      <c r="J31" s="790"/>
    </row>
    <row r="32" spans="2:10" ht="15.75">
      <c r="B32" s="310" t="s">
        <v>683</v>
      </c>
      <c r="C32" s="453">
        <f>IF(C33*0.1&lt;C31,"Exceed 10% Rule","")</f>
      </c>
      <c r="D32" s="453">
        <f>IF(D33*0.1&lt;D31,"Exceed 10% Rule","")</f>
      </c>
      <c r="E32" s="345">
        <f>IF(E33*0.1&lt;E31,"Exceed 10% Rule","")</f>
      </c>
      <c r="G32" s="650"/>
      <c r="H32" s="652"/>
      <c r="I32" s="652"/>
      <c r="J32" s="678"/>
    </row>
    <row r="33" spans="2:10" ht="15.75">
      <c r="B33" s="312" t="s">
        <v>171</v>
      </c>
      <c r="C33" s="454">
        <f>SUM(C23:C31)</f>
        <v>0</v>
      </c>
      <c r="D33" s="454">
        <f>SUM(D23:D31)</f>
        <v>0</v>
      </c>
      <c r="E33" s="353">
        <f>SUM(E23:E31)</f>
        <v>0</v>
      </c>
      <c r="G33" s="679">
        <f>D34</f>
        <v>0</v>
      </c>
      <c r="H33" s="669" t="str">
        <f>CONCATENATE("",E1-1," Ending Cash Balance (est.)")</f>
        <v>2012 Ending Cash Balance (est.)</v>
      </c>
      <c r="I33" s="680"/>
      <c r="J33" s="678"/>
    </row>
    <row r="34" spans="2:10" ht="15.75">
      <c r="B34" s="148" t="s">
        <v>285</v>
      </c>
      <c r="C34" s="457">
        <f>C21-C33</f>
        <v>0</v>
      </c>
      <c r="D34" s="457">
        <f>D21-D33</f>
        <v>0</v>
      </c>
      <c r="E34" s="338" t="s">
        <v>148</v>
      </c>
      <c r="G34" s="679">
        <f>E20</f>
        <v>0</v>
      </c>
      <c r="H34" s="652" t="str">
        <f>CONCATENATE("",E1," Non-AV Receipts (est.)")</f>
        <v>2013 Non-AV Receipts (est.)</v>
      </c>
      <c r="I34" s="680"/>
      <c r="J34" s="678"/>
    </row>
    <row r="35" spans="2:11" ht="15.75">
      <c r="B35" s="288" t="str">
        <f>CONCATENATE("",E$1-2,"/",E$1-1," Budget Authority Amount:")</f>
        <v>2011/2012 Budget Authority Amount:</v>
      </c>
      <c r="C35" s="280">
        <f>inputOth!B45</f>
        <v>0</v>
      </c>
      <c r="D35" s="280">
        <f>inputPrYr!D31</f>
        <v>0</v>
      </c>
      <c r="E35" s="338" t="s">
        <v>148</v>
      </c>
      <c r="F35" s="321"/>
      <c r="G35" s="681">
        <f>IF(E39&gt;0,E38,E40)</f>
        <v>0</v>
      </c>
      <c r="H35" s="652" t="str">
        <f>CONCATENATE("",E1," Ad Valorem Tax (est.)")</f>
        <v>2013 Ad Valorem Tax (est.)</v>
      </c>
      <c r="I35" s="680"/>
      <c r="J35" s="678"/>
      <c r="K35" s="666">
        <f>IF(G35=E40,"","Note: Does not include Delinquent Taxes")</f>
      </c>
    </row>
    <row r="36" spans="2:10" ht="15.75">
      <c r="B36" s="288"/>
      <c r="C36" s="772" t="s">
        <v>687</v>
      </c>
      <c r="D36" s="773"/>
      <c r="E36" s="112"/>
      <c r="F36" s="502">
        <f>IF(E33/0.95-E33&lt;E36,"Exceeds 5%","")</f>
      </c>
      <c r="G36" s="679">
        <f>SUM(G33:G35)</f>
        <v>0</v>
      </c>
      <c r="H36" s="652" t="str">
        <f>CONCATENATE("Total ",E1," Resources Available")</f>
        <v>Total 2013 Resources Available</v>
      </c>
      <c r="I36" s="680"/>
      <c r="J36" s="678"/>
    </row>
    <row r="37" spans="2:10" ht="15.75">
      <c r="B37" s="506" t="str">
        <f>CONCATENATE(C91,"     ",D91)</f>
        <v>     </v>
      </c>
      <c r="C37" s="774" t="s">
        <v>688</v>
      </c>
      <c r="D37" s="775"/>
      <c r="E37" s="266">
        <f>E33+E36</f>
        <v>0</v>
      </c>
      <c r="G37" s="682"/>
      <c r="H37" s="652"/>
      <c r="I37" s="652"/>
      <c r="J37" s="678"/>
    </row>
    <row r="38" spans="2:10" ht="15.75">
      <c r="B38" s="506" t="str">
        <f>CONCATENATE(C92,"     ",D92)</f>
        <v>     </v>
      </c>
      <c r="C38" s="322"/>
      <c r="D38" s="240" t="s">
        <v>172</v>
      </c>
      <c r="E38" s="120">
        <f>IF(E37-E21&gt;0,E37-E21,0)</f>
        <v>0</v>
      </c>
      <c r="G38" s="681">
        <f>ROUND(C33*0.05+C33,0)</f>
        <v>0</v>
      </c>
      <c r="H38" s="652" t="str">
        <f>CONCATENATE("Less ",E1-2," Expenditures + 5%")</f>
        <v>Less 2011 Expenditures + 5%</v>
      </c>
      <c r="I38" s="680"/>
      <c r="J38" s="683"/>
    </row>
    <row r="39" spans="2:10" ht="15.75">
      <c r="B39" s="240"/>
      <c r="C39" s="504" t="s">
        <v>689</v>
      </c>
      <c r="D39" s="649">
        <f>inputOth!$E$23</f>
        <v>0.03</v>
      </c>
      <c r="E39" s="266">
        <f>ROUND(IF(D39&gt;0,($E$38*D39),0),0)</f>
        <v>0</v>
      </c>
      <c r="G39" s="684">
        <f>G36-G38</f>
        <v>0</v>
      </c>
      <c r="H39" s="685" t="str">
        <f>CONCATENATE("Projected ",E1+1," carryover (est.)")</f>
        <v>Projected 2014 carryover (est.)</v>
      </c>
      <c r="I39" s="686"/>
      <c r="J39" s="687"/>
    </row>
    <row r="40" spans="2:10" ht="15.75">
      <c r="B40" s="85"/>
      <c r="C40" s="780" t="str">
        <f>CONCATENATE("Amount of  ",$E$1-1," Ad Valorem Tax")</f>
        <v>Amount of  2012 Ad Valorem Tax</v>
      </c>
      <c r="D40" s="781"/>
      <c r="E40" s="349">
        <f>E38+E39</f>
        <v>0</v>
      </c>
      <c r="G40" s="1"/>
      <c r="H40" s="1"/>
      <c r="I40" s="1"/>
      <c r="J40" s="1"/>
    </row>
    <row r="41" spans="2:10" ht="15.75">
      <c r="B41" s="85"/>
      <c r="C41" s="328"/>
      <c r="D41" s="328"/>
      <c r="E41" s="328"/>
      <c r="G41" s="785" t="s">
        <v>843</v>
      </c>
      <c r="H41" s="786"/>
      <c r="I41" s="786"/>
      <c r="J41" s="787"/>
    </row>
    <row r="42" spans="2:10" ht="15.75">
      <c r="B42" s="84" t="s">
        <v>160</v>
      </c>
      <c r="C42" s="703" t="str">
        <f aca="true" t="shared" si="0" ref="C42:E43">C4</f>
        <v>Prior Year </v>
      </c>
      <c r="D42" s="704" t="str">
        <f t="shared" si="0"/>
        <v>Current Year </v>
      </c>
      <c r="E42" s="215" t="str">
        <f t="shared" si="0"/>
        <v>Proposed Budget </v>
      </c>
      <c r="G42" s="668"/>
      <c r="H42" s="669"/>
      <c r="I42" s="670"/>
      <c r="J42" s="671"/>
    </row>
    <row r="43" spans="2:10" ht="15.75">
      <c r="B43" s="483">
        <f>inputPrYr!B32</f>
        <v>0</v>
      </c>
      <c r="C43" s="455" t="str">
        <f t="shared" si="0"/>
        <v>Actual for 2011</v>
      </c>
      <c r="D43" s="455" t="str">
        <f t="shared" si="0"/>
        <v>Estimate for 2012</v>
      </c>
      <c r="E43" s="303" t="str">
        <f t="shared" si="0"/>
        <v>Year for 2013</v>
      </c>
      <c r="G43" s="672" t="str">
        <f>summ!H31</f>
        <v>  </v>
      </c>
      <c r="H43" s="669" t="str">
        <f>CONCATENATE("",E1," Fund Mill Rate")</f>
        <v>2013 Fund Mill Rate</v>
      </c>
      <c r="I43" s="670"/>
      <c r="J43" s="671"/>
    </row>
    <row r="44" spans="2:10" ht="15.75">
      <c r="B44" s="148" t="s">
        <v>284</v>
      </c>
      <c r="C44" s="452"/>
      <c r="D44" s="456">
        <f>C74</f>
        <v>25000</v>
      </c>
      <c r="E44" s="266">
        <f>D74</f>
        <v>34500</v>
      </c>
      <c r="G44" s="673" t="str">
        <f>summ!E31</f>
        <v>  </v>
      </c>
      <c r="H44" s="669" t="str">
        <f>CONCATENATE("",E1-1," Fund Mill Rate")</f>
        <v>2012 Fund Mill Rate</v>
      </c>
      <c r="I44" s="670"/>
      <c r="J44" s="671"/>
    </row>
    <row r="45" spans="2:10" ht="15.75">
      <c r="B45" s="304" t="s">
        <v>286</v>
      </c>
      <c r="C45" s="306"/>
      <c r="D45" s="306"/>
      <c r="E45" s="127"/>
      <c r="G45" s="674">
        <f>summ!H61</f>
        <v>42.760999999999996</v>
      </c>
      <c r="H45" s="669" t="str">
        <f>CONCATENATE("Total ",E1," Mill Rate")</f>
        <v>Total 2013 Mill Rate</v>
      </c>
      <c r="I45" s="670"/>
      <c r="J45" s="671"/>
    </row>
    <row r="46" spans="2:10" ht="15.75">
      <c r="B46" s="148" t="s">
        <v>161</v>
      </c>
      <c r="C46" s="452"/>
      <c r="D46" s="456">
        <f>IF(inputPrYr!H32&gt;0,inputPrYr!H32,inputPrYr!E32)</f>
        <v>0</v>
      </c>
      <c r="E46" s="338" t="s">
        <v>148</v>
      </c>
      <c r="G46" s="673">
        <f>summ!E61</f>
        <v>43.934999999999995</v>
      </c>
      <c r="H46" s="675" t="str">
        <f>CONCATENATE("Total ",E1-1," Mill Rate")</f>
        <v>Total 2012 Mill Rate</v>
      </c>
      <c r="I46" s="676"/>
      <c r="J46" s="677"/>
    </row>
    <row r="47" spans="2:10" ht="15.75">
      <c r="B47" s="148" t="s">
        <v>162</v>
      </c>
      <c r="C47" s="452"/>
      <c r="D47" s="452"/>
      <c r="E47" s="112"/>
      <c r="G47" s="1"/>
      <c r="H47" s="1"/>
      <c r="I47" s="1"/>
      <c r="J47" s="1"/>
    </row>
    <row r="48" spans="2:10" ht="15.75">
      <c r="B48" s="148" t="s">
        <v>163</v>
      </c>
      <c r="C48" s="452"/>
      <c r="D48" s="452"/>
      <c r="E48" s="266" t="str">
        <f>mvalloc!E23</f>
        <v>  </v>
      </c>
      <c r="G48" s="1"/>
      <c r="H48" s="1"/>
      <c r="I48" s="1"/>
      <c r="J48" s="1"/>
    </row>
    <row r="49" spans="2:10" ht="15.75">
      <c r="B49" s="148" t="s">
        <v>164</v>
      </c>
      <c r="C49" s="452"/>
      <c r="D49" s="452"/>
      <c r="E49" s="266" t="str">
        <f>mvalloc!F23</f>
        <v>  </v>
      </c>
      <c r="G49" s="1"/>
      <c r="H49" s="1"/>
      <c r="I49" s="1"/>
      <c r="J49" s="1"/>
    </row>
    <row r="50" spans="2:10" ht="15.75">
      <c r="B50" s="306" t="s">
        <v>233</v>
      </c>
      <c r="C50" s="452"/>
      <c r="D50" s="452"/>
      <c r="E50" s="266" t="str">
        <f>mvalloc!G23</f>
        <v>  </v>
      </c>
      <c r="G50" s="1"/>
      <c r="H50" s="1"/>
      <c r="I50" s="1"/>
      <c r="J50" s="1"/>
    </row>
    <row r="51" spans="2:10" ht="15.75">
      <c r="B51" s="319"/>
      <c r="C51" s="452"/>
      <c r="D51" s="452"/>
      <c r="E51" s="112"/>
      <c r="G51" s="1"/>
      <c r="H51" s="1"/>
      <c r="I51" s="1"/>
      <c r="J51" s="1"/>
    </row>
    <row r="52" spans="2:10" ht="15.75">
      <c r="B52" s="319"/>
      <c r="C52" s="452"/>
      <c r="D52" s="452"/>
      <c r="E52" s="112"/>
      <c r="G52" s="1"/>
      <c r="H52" s="1"/>
      <c r="I52" s="1"/>
      <c r="J52" s="1"/>
    </row>
    <row r="53" spans="2:10" ht="15.75">
      <c r="B53" s="319"/>
      <c r="C53" s="452"/>
      <c r="D53" s="452"/>
      <c r="E53" s="112"/>
      <c r="G53" s="1"/>
      <c r="H53" s="1"/>
      <c r="I53" s="1"/>
      <c r="J53" s="1"/>
    </row>
    <row r="54" spans="2:10" ht="15.75">
      <c r="B54" s="319"/>
      <c r="C54" s="452">
        <v>25000</v>
      </c>
      <c r="D54" s="452">
        <v>9500</v>
      </c>
      <c r="E54" s="112"/>
      <c r="G54" s="1"/>
      <c r="H54" s="1"/>
      <c r="I54" s="1"/>
      <c r="J54" s="1"/>
    </row>
    <row r="55" spans="2:10" ht="15.75">
      <c r="B55" s="319"/>
      <c r="C55" s="452"/>
      <c r="D55" s="452"/>
      <c r="E55" s="112"/>
      <c r="G55" s="1"/>
      <c r="H55" s="1"/>
      <c r="I55" s="1"/>
      <c r="J55" s="1"/>
    </row>
    <row r="56" spans="2:10" ht="15.75">
      <c r="B56" s="319"/>
      <c r="C56" s="452"/>
      <c r="D56" s="452"/>
      <c r="E56" s="112"/>
      <c r="G56" s="1"/>
      <c r="H56" s="1"/>
      <c r="I56" s="1"/>
      <c r="J56" s="1"/>
    </row>
    <row r="57" spans="2:10" ht="15.75">
      <c r="B57" s="309" t="s">
        <v>165</v>
      </c>
      <c r="C57" s="452"/>
      <c r="D57" s="452"/>
      <c r="E57" s="112"/>
      <c r="G57" s="1"/>
      <c r="H57" s="1"/>
      <c r="I57" s="1"/>
      <c r="J57" s="1"/>
    </row>
    <row r="58" spans="2:10" ht="15.75">
      <c r="B58" s="310" t="s">
        <v>75</v>
      </c>
      <c r="C58" s="452"/>
      <c r="D58" s="452"/>
      <c r="E58" s="112"/>
      <c r="G58" s="1"/>
      <c r="H58" s="1"/>
      <c r="I58" s="1"/>
      <c r="J58" s="1"/>
    </row>
    <row r="59" spans="2:10" ht="15.75">
      <c r="B59" s="310" t="s">
        <v>684</v>
      </c>
      <c r="C59" s="453">
        <f>IF(C60*0.1&lt;C58,"Exceed 10% Rule","")</f>
      </c>
      <c r="D59" s="453">
        <f>IF(D60*0.1&lt;D58,"Exceed 10% Rule","")</f>
      </c>
      <c r="E59" s="345">
        <f>IF(E60*0.1+E80&lt;E58,"Exceed 10% Rule","")</f>
      </c>
      <c r="G59" s="1"/>
      <c r="H59" s="1"/>
      <c r="I59" s="1"/>
      <c r="J59" s="1"/>
    </row>
    <row r="60" spans="2:10" ht="15.75">
      <c r="B60" s="312" t="s">
        <v>166</v>
      </c>
      <c r="C60" s="454">
        <f>SUM(C46:C58)</f>
        <v>25000</v>
      </c>
      <c r="D60" s="454">
        <f>SUM(D46:D58)</f>
        <v>9500</v>
      </c>
      <c r="E60" s="353">
        <f>SUM(E46:E58)</f>
        <v>0</v>
      </c>
      <c r="G60" s="1"/>
      <c r="H60" s="1"/>
      <c r="I60" s="1"/>
      <c r="J60" s="1"/>
    </row>
    <row r="61" spans="2:10" ht="15.75">
      <c r="B61" s="312" t="s">
        <v>167</v>
      </c>
      <c r="C61" s="454">
        <f>C44+C60</f>
        <v>25000</v>
      </c>
      <c r="D61" s="454">
        <f>D44+D60</f>
        <v>34500</v>
      </c>
      <c r="E61" s="353">
        <f>E44+E60</f>
        <v>34500</v>
      </c>
      <c r="G61" s="1"/>
      <c r="H61" s="1"/>
      <c r="I61" s="1"/>
      <c r="J61" s="1"/>
    </row>
    <row r="62" spans="2:10" ht="15.75">
      <c r="B62" s="148" t="s">
        <v>170</v>
      </c>
      <c r="C62" s="310"/>
      <c r="D62" s="310"/>
      <c r="E62" s="108"/>
      <c r="G62" s="1"/>
      <c r="H62" s="1"/>
      <c r="I62" s="1"/>
      <c r="J62" s="1"/>
    </row>
    <row r="63" spans="2:10" ht="15.75">
      <c r="B63" s="319"/>
      <c r="C63" s="452"/>
      <c r="D63" s="452"/>
      <c r="E63" s="112"/>
      <c r="G63" s="1"/>
      <c r="H63" s="1"/>
      <c r="I63" s="1"/>
      <c r="J63" s="1"/>
    </row>
    <row r="64" spans="2:10" ht="15.75">
      <c r="B64" s="319"/>
      <c r="C64" s="452"/>
      <c r="D64" s="452"/>
      <c r="E64" s="112"/>
      <c r="G64" s="782" t="str">
        <f>CONCATENATE("Desired Carryover Into ",E1+1,"")</f>
        <v>Desired Carryover Into 2014</v>
      </c>
      <c r="H64" s="783"/>
      <c r="I64" s="783"/>
      <c r="J64" s="784"/>
    </row>
    <row r="65" spans="2:10" ht="15.75">
      <c r="B65" s="319"/>
      <c r="C65" s="452"/>
      <c r="D65" s="452"/>
      <c r="E65" s="112"/>
      <c r="G65" s="650"/>
      <c r="H65" s="651"/>
      <c r="I65" s="652"/>
      <c r="J65" s="653"/>
    </row>
    <row r="66" spans="2:10" ht="15.75">
      <c r="B66" s="319"/>
      <c r="C66" s="452"/>
      <c r="D66" s="452"/>
      <c r="E66" s="112"/>
      <c r="G66" s="654" t="s">
        <v>690</v>
      </c>
      <c r="H66" s="652"/>
      <c r="I66" s="652"/>
      <c r="J66" s="655">
        <v>0</v>
      </c>
    </row>
    <row r="67" spans="2:10" ht="15.75">
      <c r="B67" s="319"/>
      <c r="C67" s="452"/>
      <c r="D67" s="452"/>
      <c r="E67" s="112"/>
      <c r="G67" s="650" t="s">
        <v>691</v>
      </c>
      <c r="H67" s="651"/>
      <c r="I67" s="651"/>
      <c r="J67" s="656">
        <f>IF(J66=0,"",ROUND((J66+E80-G79)/inputOth!E6*1000,3)-G84)</f>
      </c>
    </row>
    <row r="68" spans="2:10" ht="15.75">
      <c r="B68" s="319"/>
      <c r="C68" s="452"/>
      <c r="D68" s="452"/>
      <c r="E68" s="112"/>
      <c r="G68" s="657" t="str">
        <f>CONCATENATE("",E1," Tot Exp/Non-Appr Must Be:")</f>
        <v>2013 Tot Exp/Non-Appr Must Be:</v>
      </c>
      <c r="H68" s="658"/>
      <c r="I68" s="659"/>
      <c r="J68" s="660">
        <f>IF(J66&gt;0,IF(E77&lt;E61,IF(J66=G79,E77,((J66-G79)*(1-D79))+E61),E77+(J66-G79)),0)</f>
        <v>0</v>
      </c>
    </row>
    <row r="69" spans="2:10" ht="15.75">
      <c r="B69" s="319"/>
      <c r="C69" s="452"/>
      <c r="D69" s="452"/>
      <c r="E69" s="112"/>
      <c r="G69" s="661" t="s">
        <v>842</v>
      </c>
      <c r="H69" s="662"/>
      <c r="I69" s="662"/>
      <c r="J69" s="663">
        <f>IF(J66&gt;0,J68-E77,0)</f>
        <v>0</v>
      </c>
    </row>
    <row r="70" spans="2:10" ht="15.75">
      <c r="B70" s="310" t="s">
        <v>77</v>
      </c>
      <c r="C70" s="452"/>
      <c r="D70" s="452"/>
      <c r="E70" s="120">
        <f>Nhood!E22</f>
      </c>
      <c r="G70" s="1"/>
      <c r="H70" s="1"/>
      <c r="I70" s="1"/>
      <c r="J70" s="1"/>
    </row>
    <row r="71" spans="2:10" ht="15.75">
      <c r="B71" s="310" t="s">
        <v>75</v>
      </c>
      <c r="C71" s="452"/>
      <c r="D71" s="452"/>
      <c r="E71" s="112"/>
      <c r="G71" s="782" t="str">
        <f>CONCATENATE("Projected Carryover Into ",E1+1,"")</f>
        <v>Projected Carryover Into 2014</v>
      </c>
      <c r="H71" s="791"/>
      <c r="I71" s="791"/>
      <c r="J71" s="790"/>
    </row>
    <row r="72" spans="2:10" ht="15.75">
      <c r="B72" s="310" t="s">
        <v>683</v>
      </c>
      <c r="C72" s="453">
        <f>IF(C73*0.1&lt;C71,"Exceed 10% Rule","")</f>
      </c>
      <c r="D72" s="453">
        <f>IF(D73*0.1&lt;D71,"Exceed 10% Rule","")</f>
      </c>
      <c r="E72" s="345">
        <f>IF(E73*0.1&lt;E71,"Exceed 10% Rule","")</f>
      </c>
      <c r="G72" s="688"/>
      <c r="H72" s="651"/>
      <c r="I72" s="651"/>
      <c r="J72" s="683"/>
    </row>
    <row r="73" spans="2:10" ht="15.75">
      <c r="B73" s="312" t="s">
        <v>171</v>
      </c>
      <c r="C73" s="454">
        <f>SUM(C63:C71)</f>
        <v>0</v>
      </c>
      <c r="D73" s="454">
        <f>SUM(D63:D71)</f>
        <v>0</v>
      </c>
      <c r="E73" s="353">
        <f>SUM(E63:E71)</f>
        <v>0</v>
      </c>
      <c r="G73" s="679">
        <f>D74</f>
        <v>34500</v>
      </c>
      <c r="H73" s="669" t="str">
        <f>CONCATENATE("",E1-1," Ending Cash Balance (est.)")</f>
        <v>2012 Ending Cash Balance (est.)</v>
      </c>
      <c r="I73" s="680"/>
      <c r="J73" s="683"/>
    </row>
    <row r="74" spans="2:10" ht="15.75">
      <c r="B74" s="148" t="s">
        <v>285</v>
      </c>
      <c r="C74" s="457">
        <f>C61-C73</f>
        <v>25000</v>
      </c>
      <c r="D74" s="457">
        <f>D61-D73</f>
        <v>34500</v>
      </c>
      <c r="E74" s="338" t="s">
        <v>148</v>
      </c>
      <c r="G74" s="679">
        <f>E60</f>
        <v>0</v>
      </c>
      <c r="H74" s="652" t="str">
        <f>CONCATENATE("",E1," Non-AV Receipts (est.)")</f>
        <v>2013 Non-AV Receipts (est.)</v>
      </c>
      <c r="I74" s="680"/>
      <c r="J74" s="683"/>
    </row>
    <row r="75" spans="2:11" ht="15.75">
      <c r="B75" s="288" t="str">
        <f>CONCATENATE("",E$1-2,"/",E$1-1," Budget Authority Amount:")</f>
        <v>2011/2012 Budget Authority Amount:</v>
      </c>
      <c r="C75" s="280">
        <f>inputOth!B46</f>
        <v>0</v>
      </c>
      <c r="D75" s="280">
        <f>inputPrYr!D32</f>
        <v>0</v>
      </c>
      <c r="E75" s="338" t="s">
        <v>148</v>
      </c>
      <c r="F75" s="321"/>
      <c r="G75" s="681">
        <f>IF(E79&gt;0,E78,E80)</f>
        <v>0</v>
      </c>
      <c r="H75" s="652" t="str">
        <f>CONCATENATE("",E1," Ad Valorem Tax (est.)")</f>
        <v>2013 Ad Valorem Tax (est.)</v>
      </c>
      <c r="I75" s="680"/>
      <c r="J75" s="683"/>
      <c r="K75" s="666">
        <f>IF(G75=E80,"","Note: Does not include Delinquent Taxes")</f>
      </c>
    </row>
    <row r="76" spans="2:10" ht="15.75">
      <c r="B76" s="288"/>
      <c r="C76" s="772" t="s">
        <v>687</v>
      </c>
      <c r="D76" s="773"/>
      <c r="E76" s="112"/>
      <c r="F76" s="502">
        <f>IF(E73/0.95-E73&lt;E76,"Exceeds 5%","")</f>
      </c>
      <c r="G76" s="689">
        <f>SUM(G73:G75)</f>
        <v>34500</v>
      </c>
      <c r="H76" s="652" t="str">
        <f>CONCATENATE("Total ",E1," Resources Available")</f>
        <v>Total 2013 Resources Available</v>
      </c>
      <c r="I76" s="690"/>
      <c r="J76" s="683"/>
    </row>
    <row r="77" spans="2:10" ht="15.75">
      <c r="B77" s="505" t="str">
        <f>CONCATENATE(C93,"     ",D93)</f>
        <v>     </v>
      </c>
      <c r="C77" s="774" t="s">
        <v>688</v>
      </c>
      <c r="D77" s="775"/>
      <c r="E77" s="266">
        <f>E73+E76</f>
        <v>0</v>
      </c>
      <c r="G77" s="691"/>
      <c r="H77" s="692"/>
      <c r="I77" s="651"/>
      <c r="J77" s="683"/>
    </row>
    <row r="78" spans="2:10" ht="15.75">
      <c r="B78" s="505" t="str">
        <f>CONCATENATE(C94,"     ",D94)</f>
        <v>     </v>
      </c>
      <c r="C78" s="322"/>
      <c r="D78" s="240" t="s">
        <v>172</v>
      </c>
      <c r="E78" s="120">
        <f>IF(E77-E61&gt;0,E77-E61,0)</f>
        <v>0</v>
      </c>
      <c r="G78" s="693">
        <f>ROUND(C73*0.05+C73,0)</f>
        <v>0</v>
      </c>
      <c r="H78" s="652" t="str">
        <f>CONCATENATE("Less ",E1-2," Expenditures + 5%")</f>
        <v>Less 2011 Expenditures + 5%</v>
      </c>
      <c r="I78" s="690"/>
      <c r="J78" s="683"/>
    </row>
    <row r="79" spans="2:10" ht="15.75">
      <c r="B79" s="240"/>
      <c r="C79" s="504" t="s">
        <v>689</v>
      </c>
      <c r="D79" s="649">
        <f>inputOth!$E$23</f>
        <v>0.03</v>
      </c>
      <c r="E79" s="266">
        <f>ROUND(IF(D79&gt;0,($E$78*D79),0),0)</f>
        <v>0</v>
      </c>
      <c r="G79" s="694">
        <f>G76-G78</f>
        <v>34500</v>
      </c>
      <c r="H79" s="685" t="str">
        <f>CONCATENATE("Projected ",E1+1," carryover (est.)")</f>
        <v>Projected 2014 carryover (est.)</v>
      </c>
      <c r="I79" s="695"/>
      <c r="J79" s="696"/>
    </row>
    <row r="80" spans="2:10" ht="15.75">
      <c r="B80" s="85"/>
      <c r="C80" s="780" t="str">
        <f>CONCATENATE("Amount of  ",$E$1-1," Ad Valorem Tax")</f>
        <v>Amount of  2012 Ad Valorem Tax</v>
      </c>
      <c r="D80" s="781"/>
      <c r="E80" s="349">
        <f>E78+E79</f>
        <v>0</v>
      </c>
      <c r="G80" s="1"/>
      <c r="H80" s="1"/>
      <c r="I80" s="1"/>
      <c r="J80" s="1"/>
    </row>
    <row r="81" spans="2:10" ht="15.75">
      <c r="B81" s="288" t="s">
        <v>194</v>
      </c>
      <c r="C81" s="350"/>
      <c r="D81" s="85"/>
      <c r="E81" s="85"/>
      <c r="G81" s="785" t="s">
        <v>843</v>
      </c>
      <c r="H81" s="786"/>
      <c r="I81" s="786"/>
      <c r="J81" s="787"/>
    </row>
    <row r="82" spans="7:10" ht="15.75">
      <c r="G82" s="668"/>
      <c r="H82" s="669"/>
      <c r="I82" s="670"/>
      <c r="J82" s="671"/>
    </row>
    <row r="83" spans="7:10" ht="15.75">
      <c r="G83" s="672" t="str">
        <f>summ!H32</f>
        <v>  </v>
      </c>
      <c r="H83" s="669" t="str">
        <f>CONCATENATE("",E1," Fund Mill Rate")</f>
        <v>2013 Fund Mill Rate</v>
      </c>
      <c r="I83" s="670"/>
      <c r="J83" s="671"/>
    </row>
    <row r="84" spans="7:10" ht="15.75">
      <c r="G84" s="673" t="str">
        <f>summ!E32</f>
        <v>  </v>
      </c>
      <c r="H84" s="669" t="str">
        <f>CONCATENATE("",E1-1," Fund Mill Rate")</f>
        <v>2012 Fund Mill Rate</v>
      </c>
      <c r="I84" s="670"/>
      <c r="J84" s="671"/>
    </row>
    <row r="85" spans="7:10" ht="15.75">
      <c r="G85" s="674">
        <f>summ!H61</f>
        <v>42.760999999999996</v>
      </c>
      <c r="H85" s="669" t="str">
        <f>CONCATENATE("Total ",E1," Mill Rate")</f>
        <v>Total 2013 Mill Rate</v>
      </c>
      <c r="I85" s="670"/>
      <c r="J85" s="671"/>
    </row>
    <row r="86" spans="7:10" ht="15.75">
      <c r="G86" s="673">
        <f>summ!E61</f>
        <v>43.934999999999995</v>
      </c>
      <c r="H86" s="675" t="str">
        <f>CONCATENATE("Total ",E1-1," Mill Rate")</f>
        <v>Total 2012 Mill Rate</v>
      </c>
      <c r="I86" s="676"/>
      <c r="J86" s="677"/>
    </row>
    <row r="91" spans="3:4" ht="15.75" hidden="1">
      <c r="C91" s="72">
        <f>IF(C33&gt;C35,"See Tab A","")</f>
      </c>
      <c r="D91" s="72">
        <f>IF(D33&gt;D35,"See Tab C","")</f>
      </c>
    </row>
    <row r="92" spans="3:4" ht="15.75" hidden="1">
      <c r="C92" s="72">
        <f>IF(C34&lt;0,"See Tab B","")</f>
      </c>
      <c r="D92" s="72">
        <f>IF(D34&lt;0,"See Tab D","")</f>
      </c>
    </row>
    <row r="93" spans="3:4" ht="15.75" hidden="1">
      <c r="C93" s="72">
        <f>IF(C73&gt;C75,"See Tab A","")</f>
      </c>
      <c r="D93" s="72">
        <f>IF(D73&gt;D75,"See Tab C","")</f>
      </c>
    </row>
    <row r="94" spans="3:4" ht="15.75" hidden="1">
      <c r="C94" s="72">
        <f>IF(C74&lt;0,"See Tab B","")</f>
      </c>
      <c r="D94" s="72">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F76" sqref="F76"/>
    </sheetView>
  </sheetViews>
  <sheetFormatPr defaultColWidth="8.796875" defaultRowHeight="15"/>
  <cols>
    <col min="1" max="1" width="2.3984375" style="72" customWidth="1"/>
    <col min="2" max="2" width="31.09765625" style="72" customWidth="1"/>
    <col min="3" max="4" width="15.796875" style="72" customWidth="1"/>
    <col min="5" max="5" width="16.19921875" style="72" customWidth="1"/>
    <col min="6" max="6" width="7.3984375" style="72" customWidth="1"/>
    <col min="7" max="7" width="10.19921875" style="72" customWidth="1"/>
    <col min="8" max="8" width="8.8984375" style="72" customWidth="1"/>
    <col min="9" max="9" width="5" style="72" customWidth="1"/>
    <col min="10" max="10" width="10" style="72" customWidth="1"/>
    <col min="11"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242</v>
      </c>
      <c r="C3" s="334"/>
      <c r="D3" s="334"/>
      <c r="E3" s="335"/>
    </row>
    <row r="4" spans="2:5" ht="15.75">
      <c r="B4" s="84" t="s">
        <v>160</v>
      </c>
      <c r="C4" s="703" t="s">
        <v>844</v>
      </c>
      <c r="D4" s="704" t="s">
        <v>845</v>
      </c>
      <c r="E4" s="215" t="s">
        <v>846</v>
      </c>
    </row>
    <row r="5" spans="2:5" ht="15.75">
      <c r="B5" s="484">
        <f>inputPrYr!B33</f>
        <v>0</v>
      </c>
      <c r="C5" s="455" t="str">
        <f>CONCATENATE("Actual for ",E1-2,"")</f>
        <v>Actual for 2011</v>
      </c>
      <c r="D5" s="455" t="str">
        <f>CONCATENATE("Estimate for ",E1-1,"")</f>
        <v>Estimate for 2012</v>
      </c>
      <c r="E5" s="303" t="str">
        <f>CONCATENATE("Year for ",E1,"")</f>
        <v>Year for 2013</v>
      </c>
    </row>
    <row r="6" spans="2:5" ht="15.75">
      <c r="B6" s="148" t="s">
        <v>284</v>
      </c>
      <c r="C6" s="452"/>
      <c r="D6" s="456">
        <f>C34</f>
        <v>0</v>
      </c>
      <c r="E6" s="266">
        <f>D34</f>
        <v>0</v>
      </c>
    </row>
    <row r="7" spans="2:5" ht="15.75">
      <c r="B7" s="291" t="s">
        <v>286</v>
      </c>
      <c r="C7" s="306"/>
      <c r="D7" s="306"/>
      <c r="E7" s="127"/>
    </row>
    <row r="8" spans="2:5" ht="15.75">
      <c r="B8" s="148" t="s">
        <v>161</v>
      </c>
      <c r="C8" s="452"/>
      <c r="D8" s="456">
        <f>IF(inputPrYr!H33&gt;0,inputPrYr!H33,inputPrYr!E33)</f>
        <v>0</v>
      </c>
      <c r="E8" s="338" t="s">
        <v>148</v>
      </c>
    </row>
    <row r="9" spans="2:5" ht="15.75">
      <c r="B9" s="148" t="s">
        <v>162</v>
      </c>
      <c r="C9" s="452"/>
      <c r="D9" s="452"/>
      <c r="E9" s="112"/>
    </row>
    <row r="10" spans="2:5" ht="15.75">
      <c r="B10" s="148" t="s">
        <v>163</v>
      </c>
      <c r="C10" s="452"/>
      <c r="D10" s="452"/>
      <c r="E10" s="266" t="str">
        <f>mvalloc!E24</f>
        <v>  </v>
      </c>
    </row>
    <row r="11" spans="2:5" ht="15.75">
      <c r="B11" s="148" t="s">
        <v>164</v>
      </c>
      <c r="C11" s="452"/>
      <c r="D11" s="452"/>
      <c r="E11" s="266" t="str">
        <f>mvalloc!F24</f>
        <v>  </v>
      </c>
    </row>
    <row r="12" spans="2:5" ht="15.75">
      <c r="B12" s="306" t="s">
        <v>233</v>
      </c>
      <c r="C12" s="452"/>
      <c r="D12" s="452"/>
      <c r="E12" s="266" t="str">
        <f>mvalloc!G24</f>
        <v>  </v>
      </c>
    </row>
    <row r="13" spans="2:5" ht="15.75">
      <c r="B13" s="319"/>
      <c r="C13" s="452"/>
      <c r="D13" s="452"/>
      <c r="E13" s="112"/>
    </row>
    <row r="14" spans="2:5" ht="15.75">
      <c r="B14" s="319"/>
      <c r="C14" s="452"/>
      <c r="D14" s="452"/>
      <c r="E14" s="112"/>
    </row>
    <row r="15" spans="2:5" ht="15.75">
      <c r="B15" s="319"/>
      <c r="C15" s="452"/>
      <c r="D15" s="452"/>
      <c r="E15" s="112"/>
    </row>
    <row r="16" spans="2:5" ht="15.75">
      <c r="B16" s="319"/>
      <c r="C16" s="452"/>
      <c r="D16" s="452"/>
      <c r="E16" s="112"/>
    </row>
    <row r="17" spans="2:5" ht="15.75">
      <c r="B17" s="309" t="s">
        <v>165</v>
      </c>
      <c r="C17" s="452"/>
      <c r="D17" s="452"/>
      <c r="E17" s="112"/>
    </row>
    <row r="18" spans="2:5" ht="15.75">
      <c r="B18" s="310" t="s">
        <v>75</v>
      </c>
      <c r="C18" s="452"/>
      <c r="D18" s="452"/>
      <c r="E18" s="112"/>
    </row>
    <row r="19" spans="2:5" ht="15.75">
      <c r="B19" s="310" t="s">
        <v>684</v>
      </c>
      <c r="C19" s="453">
        <f>IF(C20*0.1&lt;C18,"Exceed 10% Rule","")</f>
      </c>
      <c r="D19" s="453">
        <f>IF(D20*0.1&lt;D18,"Exceed 10% Rule","")</f>
      </c>
      <c r="E19" s="345">
        <f>IF(E20*0.1+E40&lt;E18,"Exceed 10% Rule","")</f>
      </c>
    </row>
    <row r="20" spans="2:5" ht="15.75">
      <c r="B20" s="312" t="s">
        <v>166</v>
      </c>
      <c r="C20" s="454">
        <f>SUM(C8:C18)</f>
        <v>0</v>
      </c>
      <c r="D20" s="454">
        <f>SUM(D8:D18)</f>
        <v>0</v>
      </c>
      <c r="E20" s="353">
        <f>SUM(E8:E18)</f>
        <v>0</v>
      </c>
    </row>
    <row r="21" spans="2:5" ht="15.75">
      <c r="B21" s="312" t="s">
        <v>167</v>
      </c>
      <c r="C21" s="454">
        <f>C6+C20</f>
        <v>0</v>
      </c>
      <c r="D21" s="454">
        <f>D6+D20</f>
        <v>0</v>
      </c>
      <c r="E21" s="353">
        <f>E6+E20</f>
        <v>0</v>
      </c>
    </row>
    <row r="22" spans="2:5" ht="15.75">
      <c r="B22" s="148" t="s">
        <v>170</v>
      </c>
      <c r="C22" s="310"/>
      <c r="D22" s="310"/>
      <c r="E22" s="108"/>
    </row>
    <row r="23" spans="2:5" ht="15.75">
      <c r="B23" s="319"/>
      <c r="C23" s="452"/>
      <c r="D23" s="452"/>
      <c r="E23" s="112"/>
    </row>
    <row r="24" spans="2:10" ht="15.75">
      <c r="B24" s="319"/>
      <c r="C24" s="452"/>
      <c r="D24" s="452"/>
      <c r="E24" s="112"/>
      <c r="G24" s="782" t="str">
        <f>CONCATENATE("Desired Carryover Into ",E1+1,"")</f>
        <v>Desired Carryover Into 2014</v>
      </c>
      <c r="H24" s="783"/>
      <c r="I24" s="783"/>
      <c r="J24" s="784"/>
    </row>
    <row r="25" spans="2:10" ht="15.75">
      <c r="B25" s="319"/>
      <c r="C25" s="452"/>
      <c r="D25" s="452"/>
      <c r="E25" s="112"/>
      <c r="G25" s="650"/>
      <c r="H25" s="651"/>
      <c r="I25" s="652"/>
      <c r="J25" s="653"/>
    </row>
    <row r="26" spans="2:10" ht="15.75">
      <c r="B26" s="319"/>
      <c r="C26" s="452"/>
      <c r="D26" s="452"/>
      <c r="E26" s="112"/>
      <c r="G26" s="654" t="s">
        <v>690</v>
      </c>
      <c r="H26" s="652"/>
      <c r="I26" s="652"/>
      <c r="J26" s="655">
        <v>0</v>
      </c>
    </row>
    <row r="27" spans="2:10" ht="15.75">
      <c r="B27" s="319"/>
      <c r="C27" s="452"/>
      <c r="D27" s="452"/>
      <c r="E27" s="112"/>
      <c r="G27" s="650" t="s">
        <v>691</v>
      </c>
      <c r="H27" s="651"/>
      <c r="I27" s="651"/>
      <c r="J27" s="656">
        <f>IF(J26=0,"",ROUND((J26+E40-G39)/inputOth!E6*1000,3)-G44)</f>
      </c>
    </row>
    <row r="28" spans="2:10" ht="15.75">
      <c r="B28" s="319"/>
      <c r="C28" s="452"/>
      <c r="D28" s="452"/>
      <c r="E28" s="112"/>
      <c r="G28" s="657" t="str">
        <f>CONCATENATE("",E1," Tot Exp/Non-Appr Must Be:")</f>
        <v>2013 Tot Exp/Non-Appr Must Be:</v>
      </c>
      <c r="H28" s="658"/>
      <c r="I28" s="659"/>
      <c r="J28" s="660">
        <f>IF(J26&gt;0,IF(E37&lt;E21,IF(J26=G39,E37,((J26-G39)*(1-D39))+E21),E37+(J26-G39)),0)</f>
        <v>0</v>
      </c>
    </row>
    <row r="29" spans="2:10" ht="15.75">
      <c r="B29" s="319"/>
      <c r="C29" s="452"/>
      <c r="D29" s="452"/>
      <c r="E29" s="112"/>
      <c r="G29" s="661" t="s">
        <v>842</v>
      </c>
      <c r="H29" s="662"/>
      <c r="I29" s="662"/>
      <c r="J29" s="663">
        <f>IF(J26&gt;0,J28-E37,0)</f>
        <v>0</v>
      </c>
    </row>
    <row r="30" spans="2:10" ht="15.75">
      <c r="B30" s="310" t="s">
        <v>77</v>
      </c>
      <c r="C30" s="452"/>
      <c r="D30" s="452"/>
      <c r="E30" s="120">
        <f>Nhood!E23</f>
      </c>
      <c r="G30" s="1"/>
      <c r="H30" s="1"/>
      <c r="I30" s="1"/>
      <c r="J30" s="1"/>
    </row>
    <row r="31" spans="2:10" ht="15.75">
      <c r="B31" s="310" t="s">
        <v>75</v>
      </c>
      <c r="C31" s="452"/>
      <c r="D31" s="452"/>
      <c r="E31" s="112"/>
      <c r="G31" s="782" t="str">
        <f>CONCATENATE("Projected Carryover Into ",E1+1,"")</f>
        <v>Projected Carryover Into 2014</v>
      </c>
      <c r="H31" s="789"/>
      <c r="I31" s="789"/>
      <c r="J31" s="790"/>
    </row>
    <row r="32" spans="2:10" ht="15.75">
      <c r="B32" s="310" t="s">
        <v>683</v>
      </c>
      <c r="C32" s="453">
        <f>IF(C33*0.1&lt;C31,"Exceed 10% Rule","")</f>
      </c>
      <c r="D32" s="453">
        <f>IF(D33*0.1&lt;D31,"Exceed 10% Rule","")</f>
      </c>
      <c r="E32" s="345">
        <f>IF(E33*0.1&lt;E31,"Exceed 10% Rule","")</f>
      </c>
      <c r="G32" s="650"/>
      <c r="H32" s="652"/>
      <c r="I32" s="652"/>
      <c r="J32" s="678"/>
    </row>
    <row r="33" spans="2:10" ht="15.75">
      <c r="B33" s="312" t="s">
        <v>171</v>
      </c>
      <c r="C33" s="454">
        <f>SUM(C23:C31)</f>
        <v>0</v>
      </c>
      <c r="D33" s="454">
        <f>SUM(D23:D31)</f>
        <v>0</v>
      </c>
      <c r="E33" s="353">
        <f>SUM(E23:E31)</f>
        <v>0</v>
      </c>
      <c r="G33" s="679">
        <f>D34</f>
        <v>0</v>
      </c>
      <c r="H33" s="669" t="str">
        <f>CONCATENATE("",E1-1," Ending Cash Balance (est.)")</f>
        <v>2012 Ending Cash Balance (est.)</v>
      </c>
      <c r="I33" s="680"/>
      <c r="J33" s="678"/>
    </row>
    <row r="34" spans="2:10" ht="15.75">
      <c r="B34" s="148" t="s">
        <v>285</v>
      </c>
      <c r="C34" s="457">
        <f>C21-C33</f>
        <v>0</v>
      </c>
      <c r="D34" s="457">
        <f>D21-D33</f>
        <v>0</v>
      </c>
      <c r="E34" s="338" t="s">
        <v>148</v>
      </c>
      <c r="G34" s="679">
        <f>E20</f>
        <v>0</v>
      </c>
      <c r="H34" s="652" t="str">
        <f>CONCATENATE("",E1," Non-AV Receipts (est.)")</f>
        <v>2013 Non-AV Receipts (est.)</v>
      </c>
      <c r="I34" s="680"/>
      <c r="J34" s="678"/>
    </row>
    <row r="35" spans="2:11" ht="15.75">
      <c r="B35" s="288" t="str">
        <f>CONCATENATE("",E$1-2,"/",E$1-1," Budget Authority Amount:")</f>
        <v>2011/2012 Budget Authority Amount:</v>
      </c>
      <c r="C35" s="280">
        <f>inputOth!B47</f>
        <v>0</v>
      </c>
      <c r="D35" s="280">
        <f>inputPrYr!D33</f>
        <v>0</v>
      </c>
      <c r="E35" s="338" t="s">
        <v>148</v>
      </c>
      <c r="F35" s="321"/>
      <c r="G35" s="681">
        <f>IF(E39&gt;0,E38,E40)</f>
        <v>0</v>
      </c>
      <c r="H35" s="652" t="str">
        <f>CONCATENATE("",E1," Ad Valorem Tax (est.)")</f>
        <v>2013 Ad Valorem Tax (est.)</v>
      </c>
      <c r="I35" s="680"/>
      <c r="J35" s="678"/>
      <c r="K35" s="666">
        <f>IF(G35=E40,"","Note: Does not include Delinquent Taxes")</f>
      </c>
    </row>
    <row r="36" spans="2:10" ht="15.75">
      <c r="B36" s="288"/>
      <c r="C36" s="772" t="s">
        <v>687</v>
      </c>
      <c r="D36" s="773"/>
      <c r="E36" s="112"/>
      <c r="F36" s="502">
        <f>IF(E33/0.95-E33&lt;E36,"Exceeds 5%","")</f>
      </c>
      <c r="G36" s="679">
        <f>SUM(G33:G35)</f>
        <v>0</v>
      </c>
      <c r="H36" s="652" t="str">
        <f>CONCATENATE("Total ",E1," Resources Available")</f>
        <v>Total 2013 Resources Available</v>
      </c>
      <c r="I36" s="680"/>
      <c r="J36" s="678"/>
    </row>
    <row r="37" spans="2:10" ht="15.75">
      <c r="B37" s="506" t="str">
        <f>CONCATENATE(C91,"     ",D91)</f>
        <v>     </v>
      </c>
      <c r="C37" s="774" t="s">
        <v>688</v>
      </c>
      <c r="D37" s="775"/>
      <c r="E37" s="266">
        <f>E33+E36</f>
        <v>0</v>
      </c>
      <c r="G37" s="682"/>
      <c r="H37" s="652"/>
      <c r="I37" s="652"/>
      <c r="J37" s="678"/>
    </row>
    <row r="38" spans="2:10" ht="15.75">
      <c r="B38" s="506" t="str">
        <f>CONCATENATE(C92,"     ",D92)</f>
        <v>     </v>
      </c>
      <c r="C38" s="322"/>
      <c r="D38" s="240" t="s">
        <v>172</v>
      </c>
      <c r="E38" s="120">
        <f>IF(E37-E21&gt;0,E37-E21,0)</f>
        <v>0</v>
      </c>
      <c r="G38" s="681">
        <f>ROUND(C33*0.05+C33,0)</f>
        <v>0</v>
      </c>
      <c r="H38" s="652" t="str">
        <f>CONCATENATE("Less ",E1-2," Expenditures + 5%")</f>
        <v>Less 2011 Expenditures + 5%</v>
      </c>
      <c r="I38" s="680"/>
      <c r="J38" s="683"/>
    </row>
    <row r="39" spans="2:10" ht="15.75">
      <c r="B39" s="240"/>
      <c r="C39" s="504" t="s">
        <v>689</v>
      </c>
      <c r="D39" s="649">
        <f>inputOth!$E$23</f>
        <v>0.03</v>
      </c>
      <c r="E39" s="266">
        <f>ROUND(IF(D39&gt;0,($E$38*D39),0),0)</f>
        <v>0</v>
      </c>
      <c r="G39" s="684">
        <f>G36-G38</f>
        <v>0</v>
      </c>
      <c r="H39" s="685" t="str">
        <f>CONCATENATE("Projected ",E1+1," carryover (est.)")</f>
        <v>Projected 2014 carryover (est.)</v>
      </c>
      <c r="I39" s="686"/>
      <c r="J39" s="687"/>
    </row>
    <row r="40" spans="2:10" ht="15.75">
      <c r="B40" s="85"/>
      <c r="C40" s="780" t="str">
        <f>CONCATENATE("Amount of  ",$E$1-1," Ad Valorem Tax")</f>
        <v>Amount of  2012 Ad Valorem Tax</v>
      </c>
      <c r="D40" s="781"/>
      <c r="E40" s="349">
        <f>E38+E39</f>
        <v>0</v>
      </c>
      <c r="G40" s="1"/>
      <c r="H40" s="1"/>
      <c r="I40" s="1"/>
      <c r="J40" s="1"/>
    </row>
    <row r="41" spans="2:10" ht="15.75">
      <c r="B41" s="84"/>
      <c r="C41" s="328"/>
      <c r="D41" s="328"/>
      <c r="E41" s="328"/>
      <c r="G41" s="785" t="s">
        <v>843</v>
      </c>
      <c r="H41" s="786"/>
      <c r="I41" s="786"/>
      <c r="J41" s="787"/>
    </row>
    <row r="42" spans="2:10" ht="15.75">
      <c r="B42" s="84" t="s">
        <v>160</v>
      </c>
      <c r="C42" s="703" t="str">
        <f aca="true" t="shared" si="0" ref="C42:E43">C4</f>
        <v>Prior Year </v>
      </c>
      <c r="D42" s="704" t="str">
        <f t="shared" si="0"/>
        <v>Current Year </v>
      </c>
      <c r="E42" s="215" t="str">
        <f t="shared" si="0"/>
        <v>Proposed Budget </v>
      </c>
      <c r="G42" s="668"/>
      <c r="H42" s="669"/>
      <c r="I42" s="670"/>
      <c r="J42" s="671"/>
    </row>
    <row r="43" spans="2:10" ht="15.75">
      <c r="B43" s="483">
        <f>inputPrYr!B34</f>
        <v>0</v>
      </c>
      <c r="C43" s="455" t="str">
        <f t="shared" si="0"/>
        <v>Actual for 2011</v>
      </c>
      <c r="D43" s="455" t="str">
        <f t="shared" si="0"/>
        <v>Estimate for 2012</v>
      </c>
      <c r="E43" s="303" t="str">
        <f t="shared" si="0"/>
        <v>Year for 2013</v>
      </c>
      <c r="G43" s="672" t="str">
        <f>summ!H33</f>
        <v>  </v>
      </c>
      <c r="H43" s="669" t="str">
        <f>CONCATENATE("",E1," Fund Mill Rate")</f>
        <v>2013 Fund Mill Rate</v>
      </c>
      <c r="I43" s="670"/>
      <c r="J43" s="671"/>
    </row>
    <row r="44" spans="2:10" ht="15.75">
      <c r="B44" s="148" t="s">
        <v>284</v>
      </c>
      <c r="C44" s="452"/>
      <c r="D44" s="456">
        <f>C74</f>
        <v>0</v>
      </c>
      <c r="E44" s="266">
        <f>D74</f>
        <v>0</v>
      </c>
      <c r="G44" s="673" t="str">
        <f>summ!E33</f>
        <v>  </v>
      </c>
      <c r="H44" s="669" t="str">
        <f>CONCATENATE("",E1-1," Fund Mill Rate")</f>
        <v>2012 Fund Mill Rate</v>
      </c>
      <c r="I44" s="670"/>
      <c r="J44" s="671"/>
    </row>
    <row r="45" spans="2:10" ht="15.75">
      <c r="B45" s="304" t="s">
        <v>286</v>
      </c>
      <c r="C45" s="306"/>
      <c r="D45" s="306"/>
      <c r="E45" s="127"/>
      <c r="G45" s="674">
        <f>summ!H61</f>
        <v>42.760999999999996</v>
      </c>
      <c r="H45" s="669" t="str">
        <f>CONCATENATE("Total ",E1," Mill Rate")</f>
        <v>Total 2013 Mill Rate</v>
      </c>
      <c r="I45" s="670"/>
      <c r="J45" s="671"/>
    </row>
    <row r="46" spans="2:10" ht="15.75">
      <c r="B46" s="148" t="s">
        <v>161</v>
      </c>
      <c r="C46" s="452"/>
      <c r="D46" s="456">
        <f>IF(inputPrYr!H34&gt;0,inputPrYr!H34,inputPrYr!E34)</f>
        <v>0</v>
      </c>
      <c r="E46" s="338" t="s">
        <v>148</v>
      </c>
      <c r="G46" s="673">
        <f>summ!E61</f>
        <v>43.934999999999995</v>
      </c>
      <c r="H46" s="675" t="str">
        <f>CONCATENATE("Total ",E1-1," Mill Rate")</f>
        <v>Total 2012 Mill Rate</v>
      </c>
      <c r="I46" s="676"/>
      <c r="J46" s="677"/>
    </row>
    <row r="47" spans="2:10" ht="15.75">
      <c r="B47" s="148" t="s">
        <v>162</v>
      </c>
      <c r="C47" s="452"/>
      <c r="D47" s="452"/>
      <c r="E47" s="112"/>
      <c r="G47" s="1"/>
      <c r="H47" s="1"/>
      <c r="I47" s="1"/>
      <c r="J47" s="1"/>
    </row>
    <row r="48" spans="2:10" ht="15.75">
      <c r="B48" s="148" t="s">
        <v>163</v>
      </c>
      <c r="C48" s="452"/>
      <c r="D48" s="452"/>
      <c r="E48" s="266" t="str">
        <f>mvalloc!E25</f>
        <v>  </v>
      </c>
      <c r="G48" s="1"/>
      <c r="H48" s="1"/>
      <c r="I48" s="1"/>
      <c r="J48" s="1"/>
    </row>
    <row r="49" spans="2:10" ht="15.75">
      <c r="B49" s="148" t="s">
        <v>164</v>
      </c>
      <c r="C49" s="452"/>
      <c r="D49" s="452"/>
      <c r="E49" s="266" t="str">
        <f>mvalloc!F25</f>
        <v>  </v>
      </c>
      <c r="G49" s="1"/>
      <c r="H49" s="1"/>
      <c r="I49" s="1"/>
      <c r="J49" s="1"/>
    </row>
    <row r="50" spans="2:10" ht="15.75">
      <c r="B50" s="306" t="s">
        <v>233</v>
      </c>
      <c r="C50" s="452"/>
      <c r="D50" s="452"/>
      <c r="E50" s="266" t="str">
        <f>mvalloc!G25</f>
        <v>  </v>
      </c>
      <c r="G50" s="1"/>
      <c r="H50" s="1"/>
      <c r="I50" s="1"/>
      <c r="J50" s="1"/>
    </row>
    <row r="51" spans="2:10" ht="15.75">
      <c r="B51" s="319"/>
      <c r="C51" s="452"/>
      <c r="D51" s="452"/>
      <c r="E51" s="112"/>
      <c r="G51" s="1"/>
      <c r="H51" s="1"/>
      <c r="I51" s="1"/>
      <c r="J51" s="1"/>
    </row>
    <row r="52" spans="2:10" ht="15.75">
      <c r="B52" s="319"/>
      <c r="C52" s="452"/>
      <c r="D52" s="452"/>
      <c r="E52" s="112"/>
      <c r="G52" s="1"/>
      <c r="H52" s="1"/>
      <c r="I52" s="1"/>
      <c r="J52" s="1"/>
    </row>
    <row r="53" spans="2:10" ht="15.75">
      <c r="B53" s="319"/>
      <c r="C53" s="452"/>
      <c r="D53" s="452"/>
      <c r="E53" s="112"/>
      <c r="G53" s="1"/>
      <c r="H53" s="1"/>
      <c r="I53" s="1"/>
      <c r="J53" s="1"/>
    </row>
    <row r="54" spans="2:10" ht="15.75">
      <c r="B54" s="319"/>
      <c r="C54" s="452"/>
      <c r="D54" s="452"/>
      <c r="E54" s="112"/>
      <c r="G54" s="1"/>
      <c r="H54" s="1"/>
      <c r="I54" s="1"/>
      <c r="J54" s="1"/>
    </row>
    <row r="55" spans="2:10" ht="15.75">
      <c r="B55" s="319"/>
      <c r="C55" s="452"/>
      <c r="D55" s="452"/>
      <c r="E55" s="112"/>
      <c r="G55" s="1"/>
      <c r="H55" s="1"/>
      <c r="I55" s="1"/>
      <c r="J55" s="1"/>
    </row>
    <row r="56" spans="2:10" ht="15.75">
      <c r="B56" s="309"/>
      <c r="C56" s="452"/>
      <c r="D56" s="452"/>
      <c r="E56" s="112"/>
      <c r="G56" s="1"/>
      <c r="H56" s="1"/>
      <c r="I56" s="1"/>
      <c r="J56" s="1"/>
    </row>
    <row r="57" spans="2:10" ht="15.75">
      <c r="B57" s="309" t="s">
        <v>165</v>
      </c>
      <c r="C57" s="452"/>
      <c r="D57" s="452"/>
      <c r="E57" s="477"/>
      <c r="G57" s="1"/>
      <c r="H57" s="1"/>
      <c r="I57" s="1"/>
      <c r="J57" s="1"/>
    </row>
    <row r="58" spans="2:10" ht="15.75">
      <c r="B58" s="310" t="s">
        <v>75</v>
      </c>
      <c r="C58" s="452"/>
      <c r="D58" s="452"/>
      <c r="E58" s="112"/>
      <c r="G58" s="1"/>
      <c r="H58" s="1"/>
      <c r="I58" s="1"/>
      <c r="J58" s="1"/>
    </row>
    <row r="59" spans="2:10" ht="15.75">
      <c r="B59" s="310" t="s">
        <v>684</v>
      </c>
      <c r="C59" s="453">
        <f>IF(C60*0.1&lt;C58,"Exceed 10% Rule","")</f>
      </c>
      <c r="D59" s="453">
        <f>IF(D60*0.1&lt;D58,"Exceed 10% Rule","")</f>
      </c>
      <c r="E59" s="345">
        <f>IF(E60*0.1+E80&lt;E58,"Exceed 10% Rule","")</f>
      </c>
      <c r="G59" s="1"/>
      <c r="H59" s="1"/>
      <c r="I59" s="1"/>
      <c r="J59" s="1"/>
    </row>
    <row r="60" spans="2:10" ht="15.75">
      <c r="B60" s="312" t="s">
        <v>166</v>
      </c>
      <c r="C60" s="454">
        <f>SUM(C46:C58)</f>
        <v>0</v>
      </c>
      <c r="D60" s="454">
        <f>SUM(D46:D58)</f>
        <v>0</v>
      </c>
      <c r="E60" s="353">
        <f>SUM(E46:E58)</f>
        <v>0</v>
      </c>
      <c r="G60" s="1"/>
      <c r="H60" s="1"/>
      <c r="I60" s="1"/>
      <c r="J60" s="1"/>
    </row>
    <row r="61" spans="2:10" ht="15.75">
      <c r="B61" s="312" t="s">
        <v>167</v>
      </c>
      <c r="C61" s="454">
        <f>C44+C60</f>
        <v>0</v>
      </c>
      <c r="D61" s="454">
        <f>D44+D60</f>
        <v>0</v>
      </c>
      <c r="E61" s="353">
        <f>E44+E60</f>
        <v>0</v>
      </c>
      <c r="G61" s="1"/>
      <c r="H61" s="1"/>
      <c r="I61" s="1"/>
      <c r="J61" s="1"/>
    </row>
    <row r="62" spans="2:10" ht="15.75">
      <c r="B62" s="148" t="s">
        <v>170</v>
      </c>
      <c r="C62" s="310"/>
      <c r="D62" s="310"/>
      <c r="E62" s="108"/>
      <c r="G62" s="1"/>
      <c r="H62" s="1"/>
      <c r="I62" s="1"/>
      <c r="J62" s="1"/>
    </row>
    <row r="63" spans="2:10" ht="15.75">
      <c r="B63" s="319"/>
      <c r="C63" s="452"/>
      <c r="D63" s="452"/>
      <c r="E63" s="112"/>
      <c r="G63" s="1"/>
      <c r="H63" s="1"/>
      <c r="I63" s="1"/>
      <c r="J63" s="1"/>
    </row>
    <row r="64" spans="2:10" ht="15.75">
      <c r="B64" s="319"/>
      <c r="C64" s="452"/>
      <c r="D64" s="452"/>
      <c r="E64" s="112"/>
      <c r="G64" s="782" t="str">
        <f>CONCATENATE("Desired Carryover Into ",E1+1,"")</f>
        <v>Desired Carryover Into 2014</v>
      </c>
      <c r="H64" s="783"/>
      <c r="I64" s="783"/>
      <c r="J64" s="784"/>
    </row>
    <row r="65" spans="2:10" ht="15.75">
      <c r="B65" s="319"/>
      <c r="C65" s="452"/>
      <c r="D65" s="452"/>
      <c r="E65" s="112"/>
      <c r="G65" s="650"/>
      <c r="H65" s="651"/>
      <c r="I65" s="652"/>
      <c r="J65" s="653"/>
    </row>
    <row r="66" spans="2:10" ht="15.75">
      <c r="B66" s="319"/>
      <c r="C66" s="452"/>
      <c r="D66" s="452"/>
      <c r="E66" s="112"/>
      <c r="G66" s="654" t="s">
        <v>690</v>
      </c>
      <c r="H66" s="652"/>
      <c r="I66" s="652"/>
      <c r="J66" s="655">
        <v>0</v>
      </c>
    </row>
    <row r="67" spans="2:10" ht="15.75">
      <c r="B67" s="319"/>
      <c r="C67" s="452"/>
      <c r="D67" s="452"/>
      <c r="E67" s="112"/>
      <c r="G67" s="650" t="s">
        <v>691</v>
      </c>
      <c r="H67" s="651"/>
      <c r="I67" s="651"/>
      <c r="J67" s="656">
        <f>IF(J66=0,"",ROUND((J66+E80-G79)/inputOth!E6*1000,3)-G84)</f>
      </c>
    </row>
    <row r="68" spans="2:10" ht="15.75">
      <c r="B68" s="319"/>
      <c r="C68" s="452"/>
      <c r="D68" s="452"/>
      <c r="E68" s="112"/>
      <c r="G68" s="657" t="str">
        <f>CONCATENATE("",E1," Tot Exp/Non-Appr Must Be:")</f>
        <v>2013 Tot Exp/Non-Appr Must Be:</v>
      </c>
      <c r="H68" s="658"/>
      <c r="I68" s="659"/>
      <c r="J68" s="660">
        <f>IF(J66&gt;0,IF(E77&lt;E61,IF(J66=G79,E77,((J66-G79)*(1-D79))+E61),E77+(J66-G79)),0)</f>
        <v>0</v>
      </c>
    </row>
    <row r="69" spans="2:10" ht="15.75">
      <c r="B69" s="319"/>
      <c r="C69" s="452"/>
      <c r="D69" s="452"/>
      <c r="E69" s="112"/>
      <c r="G69" s="661" t="s">
        <v>842</v>
      </c>
      <c r="H69" s="662"/>
      <c r="I69" s="662"/>
      <c r="J69" s="663">
        <f>IF(J66&gt;0,J68-E77,0)</f>
        <v>0</v>
      </c>
    </row>
    <row r="70" spans="2:10" ht="15.75">
      <c r="B70" s="310" t="s">
        <v>77</v>
      </c>
      <c r="C70" s="452"/>
      <c r="D70" s="452"/>
      <c r="E70" s="120">
        <f>Nhood!E24</f>
      </c>
      <c r="G70" s="1"/>
      <c r="H70" s="1"/>
      <c r="I70" s="1"/>
      <c r="J70" s="1"/>
    </row>
    <row r="71" spans="2:10" ht="15.75">
      <c r="B71" s="310" t="s">
        <v>75</v>
      </c>
      <c r="C71" s="452"/>
      <c r="D71" s="452"/>
      <c r="E71" s="112"/>
      <c r="G71" s="782" t="str">
        <f>CONCATENATE("Projected Carryover Into ",E1+1,"")</f>
        <v>Projected Carryover Into 2014</v>
      </c>
      <c r="H71" s="791"/>
      <c r="I71" s="791"/>
      <c r="J71" s="790"/>
    </row>
    <row r="72" spans="2:10" ht="15.75">
      <c r="B72" s="310" t="s">
        <v>683</v>
      </c>
      <c r="C72" s="453">
        <f>IF(C73*0.1&lt;C71,"Exceed 10% Rule","")</f>
      </c>
      <c r="D72" s="453">
        <f>IF(D73*0.1&lt;D71,"Exceed 10% Rule","")</f>
      </c>
      <c r="E72" s="345">
        <f>IF(E73*0.1&lt;E71,"Exceed 10% Rule","")</f>
      </c>
      <c r="G72" s="688"/>
      <c r="H72" s="651"/>
      <c r="I72" s="651"/>
      <c r="J72" s="683"/>
    </row>
    <row r="73" spans="2:10" ht="15.75">
      <c r="B73" s="312" t="s">
        <v>171</v>
      </c>
      <c r="C73" s="454">
        <f>SUM(C63:C71)</f>
        <v>0</v>
      </c>
      <c r="D73" s="454">
        <f>SUM(D63:D71)</f>
        <v>0</v>
      </c>
      <c r="E73" s="353">
        <f>SUM(E63:E71)</f>
        <v>0</v>
      </c>
      <c r="G73" s="679">
        <f>D74</f>
        <v>0</v>
      </c>
      <c r="H73" s="669" t="str">
        <f>CONCATENATE("",E1-1," Ending Cash Balance (est.)")</f>
        <v>2012 Ending Cash Balance (est.)</v>
      </c>
      <c r="I73" s="680"/>
      <c r="J73" s="683"/>
    </row>
    <row r="74" spans="2:10" ht="15.75">
      <c r="B74" s="148" t="s">
        <v>285</v>
      </c>
      <c r="C74" s="457">
        <f>C61-C73</f>
        <v>0</v>
      </c>
      <c r="D74" s="457">
        <f>D61-D73</f>
        <v>0</v>
      </c>
      <c r="E74" s="338" t="s">
        <v>148</v>
      </c>
      <c r="G74" s="679">
        <f>E60</f>
        <v>0</v>
      </c>
      <c r="H74" s="652" t="str">
        <f>CONCATENATE("",E1," Non-AV Receipts (est.)")</f>
        <v>2013 Non-AV Receipts (est.)</v>
      </c>
      <c r="I74" s="680"/>
      <c r="J74" s="683"/>
    </row>
    <row r="75" spans="2:11" ht="15.75">
      <c r="B75" s="288" t="str">
        <f>CONCATENATE("",E$1-2,"/",E$1-1," Budget Authority Amount:")</f>
        <v>2011/2012 Budget Authority Amount:</v>
      </c>
      <c r="C75" s="280">
        <f>inputOth!B48</f>
        <v>0</v>
      </c>
      <c r="D75" s="280">
        <f>inputPrYr!D34</f>
        <v>0</v>
      </c>
      <c r="E75" s="338" t="s">
        <v>148</v>
      </c>
      <c r="F75" s="321"/>
      <c r="G75" s="681">
        <f>IF(E79&gt;0,E78,E80)</f>
        <v>0</v>
      </c>
      <c r="H75" s="652" t="str">
        <f>CONCATENATE("",E1," Ad Valorem Tax (est.)")</f>
        <v>2013 Ad Valorem Tax (est.)</v>
      </c>
      <c r="I75" s="680"/>
      <c r="J75" s="683"/>
      <c r="K75" s="666">
        <f>IF(G75=E80,"","Note: Does not include Delinquent Taxes")</f>
      </c>
    </row>
    <row r="76" spans="2:10" ht="15.75">
      <c r="B76" s="288"/>
      <c r="C76" s="772" t="s">
        <v>687</v>
      </c>
      <c r="D76" s="773"/>
      <c r="E76" s="112"/>
      <c r="F76" s="502">
        <f>IF(E73/0.95-E73&lt;E76,"Exceeds 5%","")</f>
      </c>
      <c r="G76" s="689">
        <f>SUM(G73:G75)</f>
        <v>0</v>
      </c>
      <c r="H76" s="652" t="str">
        <f>CONCATENATE("Total ",E1," Resources Available")</f>
        <v>Total 2013 Resources Available</v>
      </c>
      <c r="I76" s="690"/>
      <c r="J76" s="683"/>
    </row>
    <row r="77" spans="2:10" ht="15.75">
      <c r="B77" s="505" t="str">
        <f>CONCATENATE(C93,"     ",D93)</f>
        <v>     </v>
      </c>
      <c r="C77" s="774" t="s">
        <v>688</v>
      </c>
      <c r="D77" s="775"/>
      <c r="E77" s="266">
        <f>E73+E76</f>
        <v>0</v>
      </c>
      <c r="G77" s="691"/>
      <c r="H77" s="692"/>
      <c r="I77" s="651"/>
      <c r="J77" s="683"/>
    </row>
    <row r="78" spans="2:10" ht="15.75">
      <c r="B78" s="505" t="str">
        <f>CONCATENATE(C94,"     ",D94)</f>
        <v>     </v>
      </c>
      <c r="C78" s="322"/>
      <c r="D78" s="240" t="s">
        <v>172</v>
      </c>
      <c r="E78" s="120">
        <f>IF(E77-E61&gt;0,E77-E61,0)</f>
        <v>0</v>
      </c>
      <c r="G78" s="693">
        <f>ROUND(C73*0.05+C73,0)</f>
        <v>0</v>
      </c>
      <c r="H78" s="652" t="str">
        <f>CONCATENATE("Less ",E1-2," Expenditures + 5%")</f>
        <v>Less 2011 Expenditures + 5%</v>
      </c>
      <c r="I78" s="690"/>
      <c r="J78" s="683"/>
    </row>
    <row r="79" spans="2:10" ht="15.75">
      <c r="B79" s="240"/>
      <c r="C79" s="504" t="s">
        <v>689</v>
      </c>
      <c r="D79" s="649">
        <f>inputOth!$E$23</f>
        <v>0.03</v>
      </c>
      <c r="E79" s="266">
        <f>ROUND(IF(D79&gt;0,($E$78*D79),0),0)</f>
        <v>0</v>
      </c>
      <c r="G79" s="694">
        <f>G76-G78</f>
        <v>0</v>
      </c>
      <c r="H79" s="685" t="str">
        <f>CONCATENATE("Projected ",E1+1," carryover (est.)")</f>
        <v>Projected 2014 carryover (est.)</v>
      </c>
      <c r="I79" s="695"/>
      <c r="J79" s="696"/>
    </row>
    <row r="80" spans="2:10" ht="15.75">
      <c r="B80" s="85"/>
      <c r="C80" s="780" t="str">
        <f>CONCATENATE("Amount of  ",$E$1-1," Ad Valorem Tax")</f>
        <v>Amount of  2012 Ad Valorem Tax</v>
      </c>
      <c r="D80" s="781"/>
      <c r="E80" s="349">
        <f>E78+E79</f>
        <v>0</v>
      </c>
      <c r="G80" s="1"/>
      <c r="H80" s="1"/>
      <c r="I80" s="1"/>
      <c r="J80" s="1"/>
    </row>
    <row r="81" spans="2:10" ht="15.75">
      <c r="B81" s="288" t="s">
        <v>194</v>
      </c>
      <c r="C81" s="350"/>
      <c r="D81" s="85"/>
      <c r="E81" s="85"/>
      <c r="G81" s="785" t="s">
        <v>843</v>
      </c>
      <c r="H81" s="786"/>
      <c r="I81" s="786"/>
      <c r="J81" s="787"/>
    </row>
    <row r="82" spans="7:10" ht="15.75">
      <c r="G82" s="668"/>
      <c r="H82" s="669"/>
      <c r="I82" s="670"/>
      <c r="J82" s="671"/>
    </row>
    <row r="83" spans="7:10" ht="15.75">
      <c r="G83" s="672" t="str">
        <f>summ!H34</f>
        <v>  </v>
      </c>
      <c r="H83" s="669" t="str">
        <f>CONCATENATE("",E1," Fund Mill Rate")</f>
        <v>2013 Fund Mill Rate</v>
      </c>
      <c r="I83" s="670"/>
      <c r="J83" s="671"/>
    </row>
    <row r="84" spans="7:10" ht="15.75">
      <c r="G84" s="673" t="str">
        <f>summ!E34</f>
        <v>  </v>
      </c>
      <c r="H84" s="669" t="str">
        <f>CONCATENATE("",E1-1," Fund Mill Rate")</f>
        <v>2012 Fund Mill Rate</v>
      </c>
      <c r="I84" s="670"/>
      <c r="J84" s="671"/>
    </row>
    <row r="85" spans="7:10" ht="15.75">
      <c r="G85" s="674">
        <f>summ!H61</f>
        <v>42.760999999999996</v>
      </c>
      <c r="H85" s="669" t="str">
        <f>CONCATENATE("Total ",E1," Mill Rate")</f>
        <v>Total 2013 Mill Rate</v>
      </c>
      <c r="I85" s="670"/>
      <c r="J85" s="671"/>
    </row>
    <row r="86" spans="7:10" ht="15.75">
      <c r="G86" s="673">
        <f>summ!E61</f>
        <v>43.934999999999995</v>
      </c>
      <c r="H86" s="675" t="str">
        <f>CONCATENATE("Total ",E1-1," Mill Rate")</f>
        <v>Total 2012 Mill Rate</v>
      </c>
      <c r="I86" s="676"/>
      <c r="J86" s="677"/>
    </row>
    <row r="91" spans="3:4" ht="15.75" hidden="1">
      <c r="C91" s="72">
        <f>IF(C33&gt;C35,"See Tab A","")</f>
      </c>
      <c r="D91" s="72">
        <f>IF(D33&gt;D35,"See Tab C","")</f>
      </c>
    </row>
    <row r="92" spans="3:4" ht="15.75" hidden="1">
      <c r="C92" s="72">
        <f>IF(C34&lt;0,"See Tab B","")</f>
      </c>
      <c r="D92" s="72">
        <f>IF(D34&lt;0,"See Tab D","")</f>
      </c>
    </row>
    <row r="93" spans="3:4" ht="15.75" hidden="1">
      <c r="C93" s="72">
        <f>IF(C73&gt;C75,"See Tab A","")</f>
      </c>
      <c r="D93" s="72">
        <f>IF(D73&gt;D75,"See Tab C","")</f>
      </c>
    </row>
    <row r="94" spans="3:4" ht="15.75" hidden="1">
      <c r="C94" s="72">
        <f>IF(C74&lt;0,"See Tab B","")</f>
      </c>
      <c r="D94" s="72">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F76" sqref="F76"/>
    </sheetView>
  </sheetViews>
  <sheetFormatPr defaultColWidth="8.796875" defaultRowHeight="15"/>
  <cols>
    <col min="1" max="1" width="2.3984375" style="72" customWidth="1"/>
    <col min="2" max="2" width="31.09765625" style="72" customWidth="1"/>
    <col min="3" max="4" width="15.796875" style="72" customWidth="1"/>
    <col min="5" max="5" width="16.19921875" style="72" customWidth="1"/>
    <col min="6" max="6" width="7.3984375" style="72" customWidth="1"/>
    <col min="7" max="7" width="10.19921875" style="72" customWidth="1"/>
    <col min="8" max="8" width="8.8984375" style="72" customWidth="1"/>
    <col min="9" max="9" width="5" style="72" customWidth="1"/>
    <col min="10" max="10" width="10" style="72" customWidth="1"/>
    <col min="11"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242</v>
      </c>
      <c r="C3" s="334"/>
      <c r="D3" s="334"/>
      <c r="E3" s="335"/>
    </row>
    <row r="4" spans="2:5" ht="15.75">
      <c r="B4" s="84" t="s">
        <v>160</v>
      </c>
      <c r="C4" s="703" t="s">
        <v>844</v>
      </c>
      <c r="D4" s="704" t="s">
        <v>845</v>
      </c>
      <c r="E4" s="215" t="s">
        <v>846</v>
      </c>
    </row>
    <row r="5" spans="2:5" ht="15.75">
      <c r="B5" s="484">
        <f>inputPrYr!B35</f>
        <v>0</v>
      </c>
      <c r="C5" s="455" t="str">
        <f>CONCATENATE("Actual for ",E1-2,"")</f>
        <v>Actual for 2011</v>
      </c>
      <c r="D5" s="455" t="str">
        <f>CONCATENATE("Estimate for ",E1-1,"")</f>
        <v>Estimate for 2012</v>
      </c>
      <c r="E5" s="303" t="str">
        <f>CONCATENATE("Year for ",E1,"")</f>
        <v>Year for 2013</v>
      </c>
    </row>
    <row r="6" spans="2:5" ht="15.75">
      <c r="B6" s="148" t="s">
        <v>284</v>
      </c>
      <c r="C6" s="452"/>
      <c r="D6" s="456">
        <f>C34</f>
        <v>0</v>
      </c>
      <c r="E6" s="266">
        <f>D34</f>
        <v>0</v>
      </c>
    </row>
    <row r="7" spans="2:5" ht="15.75">
      <c r="B7" s="291" t="s">
        <v>286</v>
      </c>
      <c r="C7" s="306"/>
      <c r="D7" s="306"/>
      <c r="E7" s="127"/>
    </row>
    <row r="8" spans="2:5" ht="15.75">
      <c r="B8" s="148" t="s">
        <v>161</v>
      </c>
      <c r="C8" s="452"/>
      <c r="D8" s="456">
        <f>IF(inputPrYr!H35&gt;0,inputPrYr!H35,inputPrYr!E35)</f>
        <v>0</v>
      </c>
      <c r="E8" s="338" t="s">
        <v>148</v>
      </c>
    </row>
    <row r="9" spans="2:5" ht="15.75">
      <c r="B9" s="148" t="s">
        <v>162</v>
      </c>
      <c r="C9" s="452"/>
      <c r="D9" s="452"/>
      <c r="E9" s="112"/>
    </row>
    <row r="10" spans="2:5" ht="15.75">
      <c r="B10" s="148" t="s">
        <v>163</v>
      </c>
      <c r="C10" s="452"/>
      <c r="D10" s="452"/>
      <c r="E10" s="266" t="str">
        <f>mvalloc!E26</f>
        <v>  </v>
      </c>
    </row>
    <row r="11" spans="2:5" ht="15.75">
      <c r="B11" s="148" t="s">
        <v>164</v>
      </c>
      <c r="C11" s="452"/>
      <c r="D11" s="452"/>
      <c r="E11" s="266" t="str">
        <f>mvalloc!F26</f>
        <v>  </v>
      </c>
    </row>
    <row r="12" spans="2:5" ht="15.75">
      <c r="B12" s="306" t="s">
        <v>233</v>
      </c>
      <c r="C12" s="452"/>
      <c r="D12" s="452"/>
      <c r="E12" s="266" t="str">
        <f>mvalloc!G26</f>
        <v>  </v>
      </c>
    </row>
    <row r="13" spans="2:5" ht="15.75">
      <c r="B13" s="319"/>
      <c r="C13" s="452"/>
      <c r="D13" s="452"/>
      <c r="E13" s="112"/>
    </row>
    <row r="14" spans="2:5" ht="15.75">
      <c r="B14" s="319"/>
      <c r="C14" s="452"/>
      <c r="D14" s="452"/>
      <c r="E14" s="112"/>
    </row>
    <row r="15" spans="2:5" ht="15.75">
      <c r="B15" s="319"/>
      <c r="C15" s="452"/>
      <c r="D15" s="452"/>
      <c r="E15" s="112"/>
    </row>
    <row r="16" spans="2:5" ht="15.75">
      <c r="B16" s="319"/>
      <c r="C16" s="452"/>
      <c r="D16" s="452"/>
      <c r="E16" s="112"/>
    </row>
    <row r="17" spans="2:5" ht="15.75">
      <c r="B17" s="309" t="s">
        <v>165</v>
      </c>
      <c r="C17" s="452"/>
      <c r="D17" s="452"/>
      <c r="E17" s="112"/>
    </row>
    <row r="18" spans="2:5" ht="15.75">
      <c r="B18" s="310" t="s">
        <v>75</v>
      </c>
      <c r="C18" s="452"/>
      <c r="D18" s="452"/>
      <c r="E18" s="112"/>
    </row>
    <row r="19" spans="2:5" ht="15.75">
      <c r="B19" s="310" t="s">
        <v>684</v>
      </c>
      <c r="C19" s="453">
        <f>IF(C20*0.1&lt;C18,"Exceed 10% Rule","")</f>
      </c>
      <c r="D19" s="453">
        <f>IF(D20*0.1&lt;D18,"Exceed 10% Rule","")</f>
      </c>
      <c r="E19" s="345">
        <f>IF(E20*0.1+E40&lt;E18,"Exceed 10% Rule","")</f>
      </c>
    </row>
    <row r="20" spans="2:5" ht="15.75">
      <c r="B20" s="312" t="s">
        <v>166</v>
      </c>
      <c r="C20" s="454">
        <f>SUM(C8:C18)</f>
        <v>0</v>
      </c>
      <c r="D20" s="454">
        <f>SUM(D8:D18)</f>
        <v>0</v>
      </c>
      <c r="E20" s="353">
        <f>SUM(E8:E18)</f>
        <v>0</v>
      </c>
    </row>
    <row r="21" spans="2:5" ht="15.75">
      <c r="B21" s="312" t="s">
        <v>167</v>
      </c>
      <c r="C21" s="454">
        <f>C6+C20</f>
        <v>0</v>
      </c>
      <c r="D21" s="454">
        <f>D6+D20</f>
        <v>0</v>
      </c>
      <c r="E21" s="353">
        <f>E6+E20</f>
        <v>0</v>
      </c>
    </row>
    <row r="22" spans="2:5" ht="15.75">
      <c r="B22" s="148" t="s">
        <v>170</v>
      </c>
      <c r="C22" s="310"/>
      <c r="D22" s="310"/>
      <c r="E22" s="108"/>
    </row>
    <row r="23" spans="2:5" ht="15.75">
      <c r="B23" s="319"/>
      <c r="C23" s="452"/>
      <c r="D23" s="452"/>
      <c r="E23" s="112"/>
    </row>
    <row r="24" spans="2:10" ht="15.75">
      <c r="B24" s="319"/>
      <c r="C24" s="452"/>
      <c r="D24" s="452"/>
      <c r="E24" s="112"/>
      <c r="G24" s="782" t="str">
        <f>CONCATENATE("Desired Carryover Into ",E1+1,"")</f>
        <v>Desired Carryover Into 2014</v>
      </c>
      <c r="H24" s="783"/>
      <c r="I24" s="783"/>
      <c r="J24" s="784"/>
    </row>
    <row r="25" spans="2:10" ht="15.75">
      <c r="B25" s="319"/>
      <c r="C25" s="452"/>
      <c r="D25" s="452"/>
      <c r="E25" s="112"/>
      <c r="G25" s="650"/>
      <c r="H25" s="651"/>
      <c r="I25" s="652"/>
      <c r="J25" s="653"/>
    </row>
    <row r="26" spans="2:10" ht="15.75">
      <c r="B26" s="319"/>
      <c r="C26" s="452"/>
      <c r="D26" s="452"/>
      <c r="E26" s="112"/>
      <c r="G26" s="654" t="s">
        <v>690</v>
      </c>
      <c r="H26" s="652"/>
      <c r="I26" s="652"/>
      <c r="J26" s="655">
        <v>0</v>
      </c>
    </row>
    <row r="27" spans="2:10" ht="15.75">
      <c r="B27" s="319"/>
      <c r="C27" s="452"/>
      <c r="D27" s="452"/>
      <c r="E27" s="112"/>
      <c r="G27" s="650" t="s">
        <v>691</v>
      </c>
      <c r="H27" s="651"/>
      <c r="I27" s="651"/>
      <c r="J27" s="656">
        <f>IF(J26=0,"",ROUND((J26+E40-G39)/inputOth!E6*1000,3)-G44)</f>
      </c>
    </row>
    <row r="28" spans="2:10" ht="15.75">
      <c r="B28" s="319"/>
      <c r="C28" s="452"/>
      <c r="D28" s="452"/>
      <c r="E28" s="112"/>
      <c r="G28" s="657" t="str">
        <f>CONCATENATE("",E1," Tot Exp/Non-Appr Must Be:")</f>
        <v>2013 Tot Exp/Non-Appr Must Be:</v>
      </c>
      <c r="H28" s="658"/>
      <c r="I28" s="659"/>
      <c r="J28" s="660">
        <f>IF(J26&gt;0,IF(E37&lt;E21,IF(J26=G39,E37,((J26-G39)*(1-D39))+E21),E37+(J26-G39)),0)</f>
        <v>0</v>
      </c>
    </row>
    <row r="29" spans="2:10" ht="15.75">
      <c r="B29" s="319"/>
      <c r="C29" s="452"/>
      <c r="D29" s="452"/>
      <c r="E29" s="112"/>
      <c r="G29" s="661" t="s">
        <v>842</v>
      </c>
      <c r="H29" s="662"/>
      <c r="I29" s="662"/>
      <c r="J29" s="663">
        <f>IF(J26&gt;0,J28-E37,0)</f>
        <v>0</v>
      </c>
    </row>
    <row r="30" spans="2:10" ht="15.75">
      <c r="B30" s="310" t="s">
        <v>77</v>
      </c>
      <c r="C30" s="452"/>
      <c r="D30" s="452"/>
      <c r="E30" s="120">
        <f>Nhood!E25</f>
      </c>
      <c r="G30" s="1"/>
      <c r="H30" s="1"/>
      <c r="I30" s="1"/>
      <c r="J30" s="1"/>
    </row>
    <row r="31" spans="2:10" ht="15.75">
      <c r="B31" s="310" t="s">
        <v>75</v>
      </c>
      <c r="C31" s="452"/>
      <c r="D31" s="452"/>
      <c r="E31" s="112"/>
      <c r="G31" s="782" t="str">
        <f>CONCATENATE("Projected Carryover Into ",E1+1,"")</f>
        <v>Projected Carryover Into 2014</v>
      </c>
      <c r="H31" s="789"/>
      <c r="I31" s="789"/>
      <c r="J31" s="790"/>
    </row>
    <row r="32" spans="2:10" ht="15.75">
      <c r="B32" s="310" t="s">
        <v>683</v>
      </c>
      <c r="C32" s="453">
        <f>IF(C33*0.1&lt;C31,"Exceed 10% Rule","")</f>
      </c>
      <c r="D32" s="453">
        <f>IF(D33*0.1&lt;D31,"Exceed 10% Rule","")</f>
      </c>
      <c r="E32" s="345">
        <f>IF(E33*0.1&lt;E31,"Exceed 10% Rule","")</f>
      </c>
      <c r="G32" s="650"/>
      <c r="H32" s="652"/>
      <c r="I32" s="652"/>
      <c r="J32" s="678"/>
    </row>
    <row r="33" spans="2:10" ht="15.75">
      <c r="B33" s="312" t="s">
        <v>171</v>
      </c>
      <c r="C33" s="454">
        <f>SUM(C23:C31)</f>
        <v>0</v>
      </c>
      <c r="D33" s="454">
        <f>SUM(D23:D31)</f>
        <v>0</v>
      </c>
      <c r="E33" s="353">
        <f>SUM(E23:E31)</f>
        <v>0</v>
      </c>
      <c r="G33" s="679">
        <f>D34</f>
        <v>0</v>
      </c>
      <c r="H33" s="669" t="str">
        <f>CONCATENATE("",E1-1," Ending Cash Balance (est.)")</f>
        <v>2012 Ending Cash Balance (est.)</v>
      </c>
      <c r="I33" s="680"/>
      <c r="J33" s="678"/>
    </row>
    <row r="34" spans="2:10" ht="15.75">
      <c r="B34" s="148" t="s">
        <v>285</v>
      </c>
      <c r="C34" s="457">
        <f>C21-C33</f>
        <v>0</v>
      </c>
      <c r="D34" s="457">
        <f>D21-D33</f>
        <v>0</v>
      </c>
      <c r="E34" s="338" t="s">
        <v>148</v>
      </c>
      <c r="G34" s="679">
        <f>E20</f>
        <v>0</v>
      </c>
      <c r="H34" s="652" t="str">
        <f>CONCATENATE("",E1," Non-AV Receipts (est.)")</f>
        <v>2013 Non-AV Receipts (est.)</v>
      </c>
      <c r="I34" s="680"/>
      <c r="J34" s="678"/>
    </row>
    <row r="35" spans="2:11" ht="15.75">
      <c r="B35" s="288" t="str">
        <f>CONCATENATE("",E$1-2,"/",E$1-1," Budget Authority Amount:")</f>
        <v>2011/2012 Budget Authority Amount:</v>
      </c>
      <c r="C35" s="280">
        <f>inputOth!B49</f>
        <v>0</v>
      </c>
      <c r="D35" s="280">
        <f>inputPrYr!D35</f>
        <v>0</v>
      </c>
      <c r="E35" s="338" t="s">
        <v>148</v>
      </c>
      <c r="F35" s="321"/>
      <c r="G35" s="681">
        <f>IF(E39&gt;0,E38,E40)</f>
        <v>0</v>
      </c>
      <c r="H35" s="652" t="str">
        <f>CONCATENATE("",E1," Ad Valorem Tax (est.)")</f>
        <v>2013 Ad Valorem Tax (est.)</v>
      </c>
      <c r="I35" s="680"/>
      <c r="J35" s="678"/>
      <c r="K35" s="666">
        <f>IF(G35=E40,"","Note: Does not include Delinquent Taxes")</f>
      </c>
    </row>
    <row r="36" spans="2:10" ht="15.75">
      <c r="B36" s="288"/>
      <c r="C36" s="772" t="s">
        <v>687</v>
      </c>
      <c r="D36" s="773"/>
      <c r="E36" s="112"/>
      <c r="F36" s="502">
        <f>IF(E33/0.95-E33&lt;E36,"Exceeds 5%","")</f>
      </c>
      <c r="G36" s="679">
        <f>SUM(G33:G35)</f>
        <v>0</v>
      </c>
      <c r="H36" s="652" t="str">
        <f>CONCATENATE("Total ",E1," Resources Available")</f>
        <v>Total 2013 Resources Available</v>
      </c>
      <c r="I36" s="680"/>
      <c r="J36" s="678"/>
    </row>
    <row r="37" spans="2:10" ht="15.75">
      <c r="B37" s="506" t="str">
        <f>CONCATENATE(C91,"     ",D91)</f>
        <v>     </v>
      </c>
      <c r="C37" s="774" t="s">
        <v>688</v>
      </c>
      <c r="D37" s="775"/>
      <c r="E37" s="266">
        <f>E33+E36</f>
        <v>0</v>
      </c>
      <c r="G37" s="682"/>
      <c r="H37" s="652"/>
      <c r="I37" s="652"/>
      <c r="J37" s="678"/>
    </row>
    <row r="38" spans="2:10" ht="15.75">
      <c r="B38" s="506" t="str">
        <f>CONCATENATE(C92,"     ",D92)</f>
        <v>     </v>
      </c>
      <c r="C38" s="322"/>
      <c r="D38" s="240" t="s">
        <v>172</v>
      </c>
      <c r="E38" s="120">
        <f>IF(E37-E21&gt;0,E37-E21,0)</f>
        <v>0</v>
      </c>
      <c r="G38" s="681">
        <f>ROUND(C33*0.05+C33,0)</f>
        <v>0</v>
      </c>
      <c r="H38" s="652" t="str">
        <f>CONCATENATE("Less ",E1-2," Expenditures + 5%")</f>
        <v>Less 2011 Expenditures + 5%</v>
      </c>
      <c r="I38" s="680"/>
      <c r="J38" s="683"/>
    </row>
    <row r="39" spans="2:10" ht="15.75">
      <c r="B39" s="240"/>
      <c r="C39" s="504" t="s">
        <v>689</v>
      </c>
      <c r="D39" s="649">
        <f>inputOth!$E$23</f>
        <v>0.03</v>
      </c>
      <c r="E39" s="266">
        <f>ROUND(IF(D39&gt;0,($E$38*D39),0),0)</f>
        <v>0</v>
      </c>
      <c r="G39" s="684">
        <f>G36-G38</f>
        <v>0</v>
      </c>
      <c r="H39" s="685" t="str">
        <f>CONCATENATE("Projected ",E1+1," carryover (est.)")</f>
        <v>Projected 2014 carryover (est.)</v>
      </c>
      <c r="I39" s="686"/>
      <c r="J39" s="687"/>
    </row>
    <row r="40" spans="2:10" ht="15.75">
      <c r="B40" s="85"/>
      <c r="C40" s="780" t="str">
        <f>CONCATENATE("Amount of  ",$E$1-1," Ad Valorem Tax")</f>
        <v>Amount of  2012 Ad Valorem Tax</v>
      </c>
      <c r="D40" s="781"/>
      <c r="E40" s="349">
        <f>E38+E39</f>
        <v>0</v>
      </c>
      <c r="G40" s="1"/>
      <c r="H40" s="1"/>
      <c r="I40" s="1"/>
      <c r="J40" s="1"/>
    </row>
    <row r="41" spans="2:10" ht="15.75">
      <c r="B41" s="85"/>
      <c r="C41" s="328"/>
      <c r="D41" s="328"/>
      <c r="E41" s="328"/>
      <c r="G41" s="785" t="s">
        <v>843</v>
      </c>
      <c r="H41" s="786"/>
      <c r="I41" s="786"/>
      <c r="J41" s="787"/>
    </row>
    <row r="42" spans="2:10" ht="15.75">
      <c r="B42" s="84" t="s">
        <v>160</v>
      </c>
      <c r="C42" s="703" t="str">
        <f aca="true" t="shared" si="0" ref="C42:E43">C4</f>
        <v>Prior Year </v>
      </c>
      <c r="D42" s="704" t="str">
        <f t="shared" si="0"/>
        <v>Current Year </v>
      </c>
      <c r="E42" s="215" t="str">
        <f t="shared" si="0"/>
        <v>Proposed Budget </v>
      </c>
      <c r="G42" s="668"/>
      <c r="H42" s="669"/>
      <c r="I42" s="670"/>
      <c r="J42" s="671"/>
    </row>
    <row r="43" spans="2:10" ht="15.75">
      <c r="B43" s="483">
        <f>inputPrYr!B36</f>
        <v>0</v>
      </c>
      <c r="C43" s="455" t="str">
        <f t="shared" si="0"/>
        <v>Actual for 2011</v>
      </c>
      <c r="D43" s="455" t="str">
        <f t="shared" si="0"/>
        <v>Estimate for 2012</v>
      </c>
      <c r="E43" s="303" t="str">
        <f t="shared" si="0"/>
        <v>Year for 2013</v>
      </c>
      <c r="G43" s="672" t="str">
        <f>summ!H35</f>
        <v>  </v>
      </c>
      <c r="H43" s="669" t="str">
        <f>CONCATENATE("",E1," Fund Mill Rate")</f>
        <v>2013 Fund Mill Rate</v>
      </c>
      <c r="I43" s="670"/>
      <c r="J43" s="671"/>
    </row>
    <row r="44" spans="2:10" ht="15.75">
      <c r="B44" s="148" t="s">
        <v>284</v>
      </c>
      <c r="C44" s="452"/>
      <c r="D44" s="456">
        <f>C74</f>
        <v>0</v>
      </c>
      <c r="E44" s="266">
        <f>D74</f>
        <v>0</v>
      </c>
      <c r="G44" s="673" t="str">
        <f>summ!E35</f>
        <v>  </v>
      </c>
      <c r="H44" s="669" t="str">
        <f>CONCATENATE("",E1-1," Fund Mill Rate")</f>
        <v>2012 Fund Mill Rate</v>
      </c>
      <c r="I44" s="670"/>
      <c r="J44" s="671"/>
    </row>
    <row r="45" spans="2:10" ht="15.75">
      <c r="B45" s="304" t="s">
        <v>286</v>
      </c>
      <c r="C45" s="306"/>
      <c r="D45" s="306"/>
      <c r="E45" s="127"/>
      <c r="G45" s="674">
        <f>summ!H61</f>
        <v>42.760999999999996</v>
      </c>
      <c r="H45" s="669" t="str">
        <f>CONCATENATE("Total ",E1," Mill Rate")</f>
        <v>Total 2013 Mill Rate</v>
      </c>
      <c r="I45" s="670"/>
      <c r="J45" s="671"/>
    </row>
    <row r="46" spans="2:10" ht="15.75">
      <c r="B46" s="148" t="s">
        <v>161</v>
      </c>
      <c r="C46" s="452"/>
      <c r="D46" s="456">
        <f>IF(inputPrYr!H36&gt;0,inputPrYr!H36,inputPrYr!E36)</f>
        <v>0</v>
      </c>
      <c r="E46" s="338" t="s">
        <v>148</v>
      </c>
      <c r="G46" s="673">
        <f>summ!E61</f>
        <v>43.934999999999995</v>
      </c>
      <c r="H46" s="675" t="str">
        <f>CONCATENATE("Total ",E1-1," Mill Rate")</f>
        <v>Total 2012 Mill Rate</v>
      </c>
      <c r="I46" s="676"/>
      <c r="J46" s="677"/>
    </row>
    <row r="47" spans="2:10" ht="15.75">
      <c r="B47" s="148" t="s">
        <v>162</v>
      </c>
      <c r="C47" s="452"/>
      <c r="D47" s="452"/>
      <c r="E47" s="112"/>
      <c r="G47" s="1"/>
      <c r="H47" s="1"/>
      <c r="I47" s="1"/>
      <c r="J47" s="1"/>
    </row>
    <row r="48" spans="2:10" ht="15.75">
      <c r="B48" s="148" t="s">
        <v>163</v>
      </c>
      <c r="C48" s="452"/>
      <c r="D48" s="452"/>
      <c r="E48" s="266" t="str">
        <f>mvalloc!E27</f>
        <v>  </v>
      </c>
      <c r="G48" s="1"/>
      <c r="H48" s="1"/>
      <c r="I48" s="1"/>
      <c r="J48" s="1"/>
    </row>
    <row r="49" spans="2:10" ht="15.75">
      <c r="B49" s="148" t="s">
        <v>164</v>
      </c>
      <c r="C49" s="452"/>
      <c r="D49" s="452"/>
      <c r="E49" s="266" t="str">
        <f>mvalloc!F27</f>
        <v>  </v>
      </c>
      <c r="G49" s="1"/>
      <c r="H49" s="1"/>
      <c r="I49" s="1"/>
      <c r="J49" s="1"/>
    </row>
    <row r="50" spans="2:10" ht="15.75">
      <c r="B50" s="306" t="s">
        <v>233</v>
      </c>
      <c r="C50" s="452"/>
      <c r="D50" s="452"/>
      <c r="E50" s="266" t="str">
        <f>mvalloc!G27</f>
        <v>  </v>
      </c>
      <c r="G50" s="1"/>
      <c r="H50" s="1"/>
      <c r="I50" s="1"/>
      <c r="J50" s="1"/>
    </row>
    <row r="51" spans="2:10" ht="15.75">
      <c r="B51" s="319"/>
      <c r="C51" s="452"/>
      <c r="D51" s="452"/>
      <c r="E51" s="112"/>
      <c r="G51" s="1"/>
      <c r="H51" s="1"/>
      <c r="I51" s="1"/>
      <c r="J51" s="1"/>
    </row>
    <row r="52" spans="2:10" ht="15.75">
      <c r="B52" s="319"/>
      <c r="C52" s="452"/>
      <c r="D52" s="452"/>
      <c r="E52" s="112"/>
      <c r="G52" s="1"/>
      <c r="H52" s="1"/>
      <c r="I52" s="1"/>
      <c r="J52" s="1"/>
    </row>
    <row r="53" spans="2:10" ht="15.75">
      <c r="B53" s="319"/>
      <c r="C53" s="452"/>
      <c r="D53" s="452"/>
      <c r="E53" s="112"/>
      <c r="G53" s="1"/>
      <c r="H53" s="1"/>
      <c r="I53" s="1"/>
      <c r="J53" s="1"/>
    </row>
    <row r="54" spans="2:10" ht="15.75">
      <c r="B54" s="319"/>
      <c r="C54" s="452"/>
      <c r="D54" s="452"/>
      <c r="E54" s="112"/>
      <c r="G54" s="1"/>
      <c r="H54" s="1"/>
      <c r="I54" s="1"/>
      <c r="J54" s="1"/>
    </row>
    <row r="55" spans="2:10" ht="15.75">
      <c r="B55" s="319"/>
      <c r="C55" s="452"/>
      <c r="D55" s="452"/>
      <c r="E55" s="112"/>
      <c r="G55" s="1"/>
      <c r="H55" s="1"/>
      <c r="I55" s="1"/>
      <c r="J55" s="1"/>
    </row>
    <row r="56" spans="2:10" ht="15.75">
      <c r="B56" s="319"/>
      <c r="C56" s="452"/>
      <c r="D56" s="452"/>
      <c r="E56" s="112"/>
      <c r="G56" s="1"/>
      <c r="H56" s="1"/>
      <c r="I56" s="1"/>
      <c r="J56" s="1"/>
    </row>
    <row r="57" spans="2:10" ht="15.75">
      <c r="B57" s="309" t="s">
        <v>165</v>
      </c>
      <c r="C57" s="452"/>
      <c r="D57" s="452"/>
      <c r="E57" s="112"/>
      <c r="G57" s="1"/>
      <c r="H57" s="1"/>
      <c r="I57" s="1"/>
      <c r="J57" s="1"/>
    </row>
    <row r="58" spans="2:10" ht="15.75">
      <c r="B58" s="310" t="s">
        <v>75</v>
      </c>
      <c r="C58" s="452"/>
      <c r="D58" s="452"/>
      <c r="E58" s="112"/>
      <c r="G58" s="1"/>
      <c r="H58" s="1"/>
      <c r="I58" s="1"/>
      <c r="J58" s="1"/>
    </row>
    <row r="59" spans="2:10" ht="15.75">
      <c r="B59" s="310" t="s">
        <v>684</v>
      </c>
      <c r="C59" s="453">
        <f>IF(C60*0.1&lt;C58,"Exceed 10% Rule","")</f>
      </c>
      <c r="D59" s="453">
        <f>IF(D60*0.1&lt;D58,"Exceed 10% Rule","")</f>
      </c>
      <c r="E59" s="345">
        <f>IF(E60*0.1+E80&lt;E58,"Exceed 10% Rule","")</f>
      </c>
      <c r="G59" s="1"/>
      <c r="H59" s="1"/>
      <c r="I59" s="1"/>
      <c r="J59" s="1"/>
    </row>
    <row r="60" spans="2:10" ht="15.75">
      <c r="B60" s="312" t="s">
        <v>166</v>
      </c>
      <c r="C60" s="454">
        <f>SUM(C46:C58)</f>
        <v>0</v>
      </c>
      <c r="D60" s="454">
        <f>SUM(D46:D58)</f>
        <v>0</v>
      </c>
      <c r="E60" s="353">
        <f>SUM(E46:E58)</f>
        <v>0</v>
      </c>
      <c r="G60" s="1"/>
      <c r="H60" s="1"/>
      <c r="I60" s="1"/>
      <c r="J60" s="1"/>
    </row>
    <row r="61" spans="2:10" ht="15.75">
      <c r="B61" s="312" t="s">
        <v>167</v>
      </c>
      <c r="C61" s="454">
        <f>C44+C60</f>
        <v>0</v>
      </c>
      <c r="D61" s="454">
        <f>D44+D60</f>
        <v>0</v>
      </c>
      <c r="E61" s="353">
        <f>E44+E60</f>
        <v>0</v>
      </c>
      <c r="G61" s="1"/>
      <c r="H61" s="1"/>
      <c r="I61" s="1"/>
      <c r="J61" s="1"/>
    </row>
    <row r="62" spans="2:10" ht="15.75">
      <c r="B62" s="148" t="s">
        <v>170</v>
      </c>
      <c r="C62" s="310"/>
      <c r="D62" s="310"/>
      <c r="E62" s="108"/>
      <c r="G62" s="1"/>
      <c r="H62" s="1"/>
      <c r="I62" s="1"/>
      <c r="J62" s="1"/>
    </row>
    <row r="63" spans="2:10" ht="15.75">
      <c r="B63" s="319"/>
      <c r="C63" s="452"/>
      <c r="D63" s="452"/>
      <c r="E63" s="112"/>
      <c r="G63" s="1"/>
      <c r="H63" s="1"/>
      <c r="I63" s="1"/>
      <c r="J63" s="1"/>
    </row>
    <row r="64" spans="2:10" ht="15.75">
      <c r="B64" s="319"/>
      <c r="C64" s="452"/>
      <c r="D64" s="452"/>
      <c r="E64" s="112"/>
      <c r="G64" s="782" t="str">
        <f>CONCATENATE("Desired Carryover Into ",E1+1,"")</f>
        <v>Desired Carryover Into 2014</v>
      </c>
      <c r="H64" s="783"/>
      <c r="I64" s="783"/>
      <c r="J64" s="784"/>
    </row>
    <row r="65" spans="2:10" ht="15.75">
      <c r="B65" s="319"/>
      <c r="C65" s="452"/>
      <c r="D65" s="452"/>
      <c r="E65" s="112"/>
      <c r="G65" s="650"/>
      <c r="H65" s="651"/>
      <c r="I65" s="652"/>
      <c r="J65" s="653"/>
    </row>
    <row r="66" spans="2:10" ht="15.75">
      <c r="B66" s="319"/>
      <c r="C66" s="452"/>
      <c r="D66" s="452"/>
      <c r="E66" s="112"/>
      <c r="G66" s="654" t="s">
        <v>690</v>
      </c>
      <c r="H66" s="652"/>
      <c r="I66" s="652"/>
      <c r="J66" s="655">
        <v>0</v>
      </c>
    </row>
    <row r="67" spans="2:10" ht="15.75">
      <c r="B67" s="319"/>
      <c r="C67" s="452"/>
      <c r="D67" s="452"/>
      <c r="E67" s="112"/>
      <c r="G67" s="650" t="s">
        <v>691</v>
      </c>
      <c r="H67" s="651"/>
      <c r="I67" s="651"/>
      <c r="J67" s="656">
        <f>IF(J66=0,"",ROUND((J66+E80-G79)/inputOth!E6*1000,3)-G84)</f>
      </c>
    </row>
    <row r="68" spans="2:10" ht="15.75">
      <c r="B68" s="319"/>
      <c r="C68" s="452"/>
      <c r="D68" s="452"/>
      <c r="E68" s="112"/>
      <c r="G68" s="657" t="str">
        <f>CONCATENATE("",E1," Tot Exp/Non-Appr Must Be:")</f>
        <v>2013 Tot Exp/Non-Appr Must Be:</v>
      </c>
      <c r="H68" s="658"/>
      <c r="I68" s="659"/>
      <c r="J68" s="660">
        <f>IF(J66&gt;0,IF(E77&lt;E61,IF(J66=G79,E77,((J66-G79)*(1-D79))+E61),E77+(J66-G79)),0)</f>
        <v>0</v>
      </c>
    </row>
    <row r="69" spans="2:10" ht="15.75">
      <c r="B69" s="319"/>
      <c r="C69" s="452"/>
      <c r="D69" s="452"/>
      <c r="E69" s="112"/>
      <c r="G69" s="661" t="s">
        <v>842</v>
      </c>
      <c r="H69" s="662"/>
      <c r="I69" s="662"/>
      <c r="J69" s="663">
        <f>IF(J66&gt;0,J68-E77,0)</f>
        <v>0</v>
      </c>
    </row>
    <row r="70" spans="2:10" ht="15.75">
      <c r="B70" s="310" t="s">
        <v>77</v>
      </c>
      <c r="C70" s="452"/>
      <c r="D70" s="452"/>
      <c r="E70" s="120">
        <f>Nhood!E26</f>
      </c>
      <c r="G70" s="1"/>
      <c r="H70" s="1"/>
      <c r="I70" s="1"/>
      <c r="J70" s="1"/>
    </row>
    <row r="71" spans="2:10" ht="15.75">
      <c r="B71" s="310" t="s">
        <v>75</v>
      </c>
      <c r="C71" s="452"/>
      <c r="D71" s="452"/>
      <c r="E71" s="112"/>
      <c r="G71" s="782" t="str">
        <f>CONCATENATE("Projected Carryover Into ",E1+1,"")</f>
        <v>Projected Carryover Into 2014</v>
      </c>
      <c r="H71" s="791"/>
      <c r="I71" s="791"/>
      <c r="J71" s="790"/>
    </row>
    <row r="72" spans="2:10" ht="15.75">
      <c r="B72" s="310" t="s">
        <v>683</v>
      </c>
      <c r="C72" s="453">
        <f>IF(C73*0.1&lt;C71,"Exceed 10% Rule","")</f>
      </c>
      <c r="D72" s="453">
        <f>IF(D73*0.1&lt;D71,"Exceed 10% Rule","")</f>
      </c>
      <c r="E72" s="345">
        <f>IF(E73*0.1&lt;E71,"Exceed 10% Rule","")</f>
      </c>
      <c r="G72" s="688"/>
      <c r="H72" s="651"/>
      <c r="I72" s="651"/>
      <c r="J72" s="683"/>
    </row>
    <row r="73" spans="2:10" ht="15.75">
      <c r="B73" s="312" t="s">
        <v>171</v>
      </c>
      <c r="C73" s="454">
        <f>SUM(C63:C71)</f>
        <v>0</v>
      </c>
      <c r="D73" s="454">
        <f>SUM(D63:D71)</f>
        <v>0</v>
      </c>
      <c r="E73" s="353">
        <f>SUM(E63:E71)</f>
        <v>0</v>
      </c>
      <c r="G73" s="679">
        <f>D74</f>
        <v>0</v>
      </c>
      <c r="H73" s="669" t="str">
        <f>CONCATENATE("",E1-1," Ending Cash Balance (est.)")</f>
        <v>2012 Ending Cash Balance (est.)</v>
      </c>
      <c r="I73" s="680"/>
      <c r="J73" s="683"/>
    </row>
    <row r="74" spans="2:10" ht="15.75">
      <c r="B74" s="148" t="s">
        <v>285</v>
      </c>
      <c r="C74" s="457">
        <f>C61-C73</f>
        <v>0</v>
      </c>
      <c r="D74" s="457">
        <f>D61-D73</f>
        <v>0</v>
      </c>
      <c r="E74" s="338" t="s">
        <v>148</v>
      </c>
      <c r="G74" s="679">
        <f>E60</f>
        <v>0</v>
      </c>
      <c r="H74" s="652" t="str">
        <f>CONCATENATE("",E1," Non-AV Receipts (est.)")</f>
        <v>2013 Non-AV Receipts (est.)</v>
      </c>
      <c r="I74" s="680"/>
      <c r="J74" s="683"/>
    </row>
    <row r="75" spans="2:11" ht="15.75">
      <c r="B75" s="288" t="str">
        <f>CONCATENATE("",E$1-2,"/",E$1-1," Budget Authority Amount:")</f>
        <v>2011/2012 Budget Authority Amount:</v>
      </c>
      <c r="C75" s="280">
        <f>inputOth!B50</f>
        <v>0</v>
      </c>
      <c r="D75" s="280">
        <f>inputPrYr!D36</f>
        <v>0</v>
      </c>
      <c r="E75" s="338" t="s">
        <v>148</v>
      </c>
      <c r="F75" s="321"/>
      <c r="G75" s="681">
        <f>IF(E79&gt;0,E78,E80)</f>
        <v>0</v>
      </c>
      <c r="H75" s="652" t="str">
        <f>CONCATENATE("",E1," Ad Valorem Tax (est.)")</f>
        <v>2013 Ad Valorem Tax (est.)</v>
      </c>
      <c r="I75" s="680"/>
      <c r="J75" s="683"/>
      <c r="K75" s="666">
        <f>IF(G75=E80,"","Note: Does not include Delinquent Taxes")</f>
      </c>
    </row>
    <row r="76" spans="2:10" ht="15.75">
      <c r="B76" s="288"/>
      <c r="C76" s="772" t="s">
        <v>687</v>
      </c>
      <c r="D76" s="773"/>
      <c r="E76" s="112"/>
      <c r="F76" s="502">
        <f>IF(E73/0.95-E73&lt;E76,"Exceeds 5%","")</f>
      </c>
      <c r="G76" s="689">
        <f>SUM(G73:G75)</f>
        <v>0</v>
      </c>
      <c r="H76" s="652" t="str">
        <f>CONCATENATE("Total ",E1," Resources Available")</f>
        <v>Total 2013 Resources Available</v>
      </c>
      <c r="I76" s="690"/>
      <c r="J76" s="683"/>
    </row>
    <row r="77" spans="2:10" ht="15.75">
      <c r="B77" s="505" t="str">
        <f>CONCATENATE(C93,"     ",D93)</f>
        <v>     </v>
      </c>
      <c r="C77" s="774" t="s">
        <v>688</v>
      </c>
      <c r="D77" s="775"/>
      <c r="E77" s="266">
        <f>E73+E76</f>
        <v>0</v>
      </c>
      <c r="G77" s="691"/>
      <c r="H77" s="692"/>
      <c r="I77" s="651"/>
      <c r="J77" s="683"/>
    </row>
    <row r="78" spans="2:10" ht="15.75">
      <c r="B78" s="505" t="str">
        <f>CONCATENATE(C94,"     ",D94)</f>
        <v>     </v>
      </c>
      <c r="C78" s="322"/>
      <c r="D78" s="240" t="s">
        <v>172</v>
      </c>
      <c r="E78" s="120">
        <f>IF(E77-E61&gt;0,E77-E61,0)</f>
        <v>0</v>
      </c>
      <c r="G78" s="693">
        <f>ROUND(C73*0.05+C73,0)</f>
        <v>0</v>
      </c>
      <c r="H78" s="652" t="str">
        <f>CONCATENATE("Less ",E1-2," Expenditures + 5%")</f>
        <v>Less 2011 Expenditures + 5%</v>
      </c>
      <c r="I78" s="690"/>
      <c r="J78" s="683"/>
    </row>
    <row r="79" spans="2:10" ht="15.75">
      <c r="B79" s="240"/>
      <c r="C79" s="504" t="s">
        <v>689</v>
      </c>
      <c r="D79" s="649">
        <f>inputOth!$E$23</f>
        <v>0.03</v>
      </c>
      <c r="E79" s="266">
        <f>ROUND(IF(D79&gt;0,($E$78*D79),0),0)</f>
        <v>0</v>
      </c>
      <c r="G79" s="694">
        <f>G76-G78</f>
        <v>0</v>
      </c>
      <c r="H79" s="685" t="str">
        <f>CONCATENATE("Projected ",E1+1," carryover (est.)")</f>
        <v>Projected 2014 carryover (est.)</v>
      </c>
      <c r="I79" s="695"/>
      <c r="J79" s="696"/>
    </row>
    <row r="80" spans="2:10" ht="15.75">
      <c r="B80" s="85"/>
      <c r="C80" s="780" t="str">
        <f>CONCATENATE("Amount of  ",$E$1-1," Ad Valorem Tax")</f>
        <v>Amount of  2012 Ad Valorem Tax</v>
      </c>
      <c r="D80" s="781"/>
      <c r="E80" s="349">
        <f>E78+E79</f>
        <v>0</v>
      </c>
      <c r="G80" s="1"/>
      <c r="H80" s="1"/>
      <c r="I80" s="1"/>
      <c r="J80" s="1"/>
    </row>
    <row r="81" spans="2:10" ht="15.75">
      <c r="B81" s="288" t="s">
        <v>194</v>
      </c>
      <c r="C81" s="350"/>
      <c r="D81" s="85"/>
      <c r="E81" s="85"/>
      <c r="G81" s="785" t="s">
        <v>843</v>
      </c>
      <c r="H81" s="786"/>
      <c r="I81" s="786"/>
      <c r="J81" s="787"/>
    </row>
    <row r="82" spans="7:10" ht="15.75">
      <c r="G82" s="668"/>
      <c r="H82" s="669"/>
      <c r="I82" s="670"/>
      <c r="J82" s="671"/>
    </row>
    <row r="83" spans="7:10" ht="15.75">
      <c r="G83" s="672" t="str">
        <f>summ!H36</f>
        <v>  </v>
      </c>
      <c r="H83" s="669" t="str">
        <f>CONCATENATE("",E1," Fund Mill Rate")</f>
        <v>2013 Fund Mill Rate</v>
      </c>
      <c r="I83" s="670"/>
      <c r="J83" s="671"/>
    </row>
    <row r="84" spans="7:10" ht="15.75">
      <c r="G84" s="673" t="str">
        <f>summ!E36</f>
        <v>  </v>
      </c>
      <c r="H84" s="669" t="str">
        <f>CONCATENATE("",E1-1," Fund Mill Rate")</f>
        <v>2012 Fund Mill Rate</v>
      </c>
      <c r="I84" s="670"/>
      <c r="J84" s="671"/>
    </row>
    <row r="85" spans="7:10" ht="15.75">
      <c r="G85" s="674">
        <f>summ!H61</f>
        <v>42.760999999999996</v>
      </c>
      <c r="H85" s="669" t="str">
        <f>CONCATENATE("Total ",E1," Mill Rate")</f>
        <v>Total 2013 Mill Rate</v>
      </c>
      <c r="I85" s="670"/>
      <c r="J85" s="671"/>
    </row>
    <row r="86" spans="7:10" ht="15.75">
      <c r="G86" s="673">
        <f>summ!E61</f>
        <v>43.934999999999995</v>
      </c>
      <c r="H86" s="675" t="str">
        <f>CONCATENATE("Total ",E1-1," Mill Rate")</f>
        <v>Total 2012 Mill Rate</v>
      </c>
      <c r="I86" s="676"/>
      <c r="J86" s="677"/>
    </row>
    <row r="91" spans="3:4" ht="15.75" hidden="1">
      <c r="C91" s="72">
        <f>IF(C33&gt;C35,"See Tab A","")</f>
      </c>
      <c r="D91" s="72">
        <f>IF(D33&gt;D35,"See Tab C","")</f>
      </c>
    </row>
    <row r="92" spans="3:4" ht="15.75" hidden="1">
      <c r="C92" s="72">
        <f>IF(C34&lt;0,"See Tab B","")</f>
      </c>
      <c r="D92" s="72">
        <f>IF(D34&lt;0,"See Tab D","")</f>
      </c>
    </row>
    <row r="93" spans="3:4" ht="15.75" hidden="1">
      <c r="C93" s="72">
        <f>IF(C73&gt;C75,"See Tab A","")</f>
      </c>
      <c r="D93" s="72">
        <f>IF(D73&gt;D75,"See Tab C","")</f>
      </c>
    </row>
    <row r="94" spans="3:4" ht="15.75" hidden="1">
      <c r="C94" s="72">
        <f>IF(C74&lt;0,"See Tab B","")</f>
      </c>
      <c r="D94" s="72">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F76" sqref="F76"/>
    </sheetView>
  </sheetViews>
  <sheetFormatPr defaultColWidth="8.796875" defaultRowHeight="15"/>
  <cols>
    <col min="1" max="1" width="2.3984375" style="72" customWidth="1"/>
    <col min="2" max="2" width="31.09765625" style="72" customWidth="1"/>
    <col min="3" max="4" width="15.796875" style="72" customWidth="1"/>
    <col min="5" max="5" width="16.19921875" style="72" customWidth="1"/>
    <col min="6" max="6" width="8.8984375" style="72" customWidth="1"/>
    <col min="7" max="7" width="10.19921875" style="72" customWidth="1"/>
    <col min="8" max="8" width="8.8984375" style="72" customWidth="1"/>
    <col min="9" max="9" width="5" style="72" customWidth="1"/>
    <col min="10" max="10" width="10" style="72" customWidth="1"/>
    <col min="11" max="16384" width="8.8984375" style="72" customWidth="1"/>
  </cols>
  <sheetData>
    <row r="1" spans="2:5" ht="15.75">
      <c r="B1" s="228">
        <f>inputPrYr!C3</f>
        <v>0</v>
      </c>
      <c r="C1" s="85"/>
      <c r="D1" s="85"/>
      <c r="E1" s="287">
        <f>inputPrYr!C4</f>
        <v>2013</v>
      </c>
    </row>
    <row r="2" spans="2:5" ht="15.75">
      <c r="B2" s="152"/>
      <c r="C2" s="334"/>
      <c r="D2" s="334"/>
      <c r="E2" s="335"/>
    </row>
    <row r="3" spans="2:5" ht="15.75">
      <c r="B3" s="702" t="s">
        <v>242</v>
      </c>
      <c r="C3" s="328"/>
      <c r="D3" s="328"/>
      <c r="E3" s="328"/>
    </row>
    <row r="4" spans="2:5" ht="15.75">
      <c r="B4" s="84" t="s">
        <v>160</v>
      </c>
      <c r="C4" s="703" t="s">
        <v>844</v>
      </c>
      <c r="D4" s="704" t="s">
        <v>845</v>
      </c>
      <c r="E4" s="215" t="s">
        <v>846</v>
      </c>
    </row>
    <row r="5" spans="2:5" ht="15.75">
      <c r="B5" s="228">
        <f>inputPrYr!B37</f>
        <v>0</v>
      </c>
      <c r="C5" s="455" t="str">
        <f>CONCATENATE("Actual for ",E1-2,"")</f>
        <v>Actual for 2011</v>
      </c>
      <c r="D5" s="455" t="str">
        <f>CONCATENATE("Estimate for ",E1-1,"")</f>
        <v>Estimate for 2012</v>
      </c>
      <c r="E5" s="303" t="str">
        <f>CONCATENATE("Year for ",E1,"")</f>
        <v>Year for 2013</v>
      </c>
    </row>
    <row r="6" spans="2:5" ht="15.75">
      <c r="B6" s="148" t="s">
        <v>284</v>
      </c>
      <c r="C6" s="452"/>
      <c r="D6" s="456">
        <f>C34</f>
        <v>0</v>
      </c>
      <c r="E6" s="266">
        <f>D34</f>
        <v>0</v>
      </c>
    </row>
    <row r="7" spans="2:5" ht="15.75">
      <c r="B7" s="291" t="s">
        <v>286</v>
      </c>
      <c r="C7" s="306"/>
      <c r="D7" s="306"/>
      <c r="E7" s="127"/>
    </row>
    <row r="8" spans="2:5" ht="15.75">
      <c r="B8" s="148" t="s">
        <v>161</v>
      </c>
      <c r="C8" s="452"/>
      <c r="D8" s="456">
        <f>IF(inputPrYr!H37&gt;0,inputPrYr!H37,inputPrYr!E37)</f>
        <v>0</v>
      </c>
      <c r="E8" s="338" t="s">
        <v>148</v>
      </c>
    </row>
    <row r="9" spans="2:5" ht="15.75">
      <c r="B9" s="148" t="s">
        <v>162</v>
      </c>
      <c r="C9" s="452"/>
      <c r="D9" s="452"/>
      <c r="E9" s="112"/>
    </row>
    <row r="10" spans="2:5" ht="15.75">
      <c r="B10" s="148" t="s">
        <v>163</v>
      </c>
      <c r="C10" s="452"/>
      <c r="D10" s="452"/>
      <c r="E10" s="266" t="str">
        <f>mvalloc!E28</f>
        <v>  </v>
      </c>
    </row>
    <row r="11" spans="2:5" ht="15.75">
      <c r="B11" s="148" t="s">
        <v>164</v>
      </c>
      <c r="C11" s="452"/>
      <c r="D11" s="452"/>
      <c r="E11" s="266" t="str">
        <f>mvalloc!F28</f>
        <v>  </v>
      </c>
    </row>
    <row r="12" spans="2:5" ht="15.75">
      <c r="B12" s="306" t="s">
        <v>233</v>
      </c>
      <c r="C12" s="452"/>
      <c r="D12" s="452"/>
      <c r="E12" s="266" t="str">
        <f>mvalloc!G28</f>
        <v>  </v>
      </c>
    </row>
    <row r="13" spans="2:5" ht="15.75">
      <c r="B13" s="319"/>
      <c r="C13" s="452"/>
      <c r="D13" s="452"/>
      <c r="E13" s="112"/>
    </row>
    <row r="14" spans="2:5" ht="15.75">
      <c r="B14" s="319"/>
      <c r="C14" s="452"/>
      <c r="D14" s="452"/>
      <c r="E14" s="112"/>
    </row>
    <row r="15" spans="2:5" ht="15.75">
      <c r="B15" s="319"/>
      <c r="C15" s="452"/>
      <c r="D15" s="452"/>
      <c r="E15" s="112"/>
    </row>
    <row r="16" spans="2:5" ht="15.75">
      <c r="B16" s="319"/>
      <c r="C16" s="452"/>
      <c r="D16" s="452"/>
      <c r="E16" s="112"/>
    </row>
    <row r="17" spans="2:5" ht="15.75">
      <c r="B17" s="309" t="s">
        <v>165</v>
      </c>
      <c r="C17" s="452"/>
      <c r="D17" s="452"/>
      <c r="E17" s="112"/>
    </row>
    <row r="18" spans="2:5" ht="15.75">
      <c r="B18" s="310" t="s">
        <v>75</v>
      </c>
      <c r="C18" s="452"/>
      <c r="D18" s="452"/>
      <c r="E18" s="112"/>
    </row>
    <row r="19" spans="2:5" ht="15.75">
      <c r="B19" s="310" t="s">
        <v>76</v>
      </c>
      <c r="C19" s="453">
        <f>IF(C20*0.1&lt;C18,"Exceed 10% Rule","")</f>
      </c>
      <c r="D19" s="453">
        <f>IF(D20*0.1&lt;D18,"Exceed 10% Rule","")</f>
      </c>
      <c r="E19" s="345">
        <f>IF(E20*0.1+E40&lt;E18,"Exceed 10% Rule","")</f>
      </c>
    </row>
    <row r="20" spans="2:5" ht="15.75">
      <c r="B20" s="312" t="s">
        <v>166</v>
      </c>
      <c r="C20" s="454">
        <f>SUM(C8:C18)</f>
        <v>0</v>
      </c>
      <c r="D20" s="454">
        <f>SUM(D8:D18)</f>
        <v>0</v>
      </c>
      <c r="E20" s="353">
        <f>SUM(E8:E18)</f>
        <v>0</v>
      </c>
    </row>
    <row r="21" spans="2:5" ht="15.75">
      <c r="B21" s="312" t="s">
        <v>167</v>
      </c>
      <c r="C21" s="454">
        <f>C6+C20</f>
        <v>0</v>
      </c>
      <c r="D21" s="454">
        <f>D6+D20</f>
        <v>0</v>
      </c>
      <c r="E21" s="353">
        <f>E6+E20</f>
        <v>0</v>
      </c>
    </row>
    <row r="22" spans="2:5" ht="15.75">
      <c r="B22" s="148" t="s">
        <v>170</v>
      </c>
      <c r="C22" s="310"/>
      <c r="D22" s="310"/>
      <c r="E22" s="108"/>
    </row>
    <row r="23" spans="2:5" ht="15.75">
      <c r="B23" s="319"/>
      <c r="C23" s="452"/>
      <c r="D23" s="452"/>
      <c r="E23" s="112"/>
    </row>
    <row r="24" spans="2:10" ht="15.75">
      <c r="B24" s="319"/>
      <c r="C24" s="452"/>
      <c r="D24" s="452"/>
      <c r="E24" s="112"/>
      <c r="G24" s="782" t="str">
        <f>CONCATENATE("Desired Carryover Into ",E1+1,"")</f>
        <v>Desired Carryover Into 2014</v>
      </c>
      <c r="H24" s="783"/>
      <c r="I24" s="783"/>
      <c r="J24" s="784"/>
    </row>
    <row r="25" spans="2:10" ht="15.75">
      <c r="B25" s="319"/>
      <c r="C25" s="452"/>
      <c r="D25" s="452"/>
      <c r="E25" s="112"/>
      <c r="G25" s="650"/>
      <c r="H25" s="651"/>
      <c r="I25" s="652"/>
      <c r="J25" s="653"/>
    </row>
    <row r="26" spans="2:10" ht="15.75">
      <c r="B26" s="319"/>
      <c r="C26" s="452"/>
      <c r="D26" s="452"/>
      <c r="E26" s="112"/>
      <c r="G26" s="654" t="s">
        <v>690</v>
      </c>
      <c r="H26" s="652"/>
      <c r="I26" s="652"/>
      <c r="J26" s="655">
        <v>0</v>
      </c>
    </row>
    <row r="27" spans="2:10" ht="15.75">
      <c r="B27" s="319"/>
      <c r="C27" s="452"/>
      <c r="D27" s="452"/>
      <c r="E27" s="112"/>
      <c r="G27" s="650" t="s">
        <v>691</v>
      </c>
      <c r="H27" s="651"/>
      <c r="I27" s="651"/>
      <c r="J27" s="656">
        <f>IF(J26=0,"",ROUND((J26+E40-G39)/inputOth!E6*1000,3)-G44)</f>
      </c>
    </row>
    <row r="28" spans="2:10" ht="15.75">
      <c r="B28" s="319"/>
      <c r="C28" s="452"/>
      <c r="D28" s="452"/>
      <c r="E28" s="112"/>
      <c r="G28" s="657" t="str">
        <f>CONCATENATE("",E1," Tot Exp/Non-Appr Must Be:")</f>
        <v>2013 Tot Exp/Non-Appr Must Be:</v>
      </c>
      <c r="H28" s="658"/>
      <c r="I28" s="659"/>
      <c r="J28" s="660">
        <f>IF(J26&gt;0,IF(E37&lt;E21,IF(J26=G39,E37,((J26-G39)*(1-D39))+E21),E37+(J26-G39)),0)</f>
        <v>0</v>
      </c>
    </row>
    <row r="29" spans="2:10" ht="15.75">
      <c r="B29" s="319"/>
      <c r="C29" s="452"/>
      <c r="D29" s="452"/>
      <c r="E29" s="112"/>
      <c r="G29" s="661" t="s">
        <v>842</v>
      </c>
      <c r="H29" s="662"/>
      <c r="I29" s="662"/>
      <c r="J29" s="663">
        <f>IF(J26&gt;0,J28-E37,0)</f>
        <v>0</v>
      </c>
    </row>
    <row r="30" spans="2:10" ht="15.75">
      <c r="B30" s="310" t="s">
        <v>77</v>
      </c>
      <c r="C30" s="452"/>
      <c r="D30" s="452"/>
      <c r="E30" s="120">
        <f>Nhood!E27</f>
      </c>
      <c r="G30" s="1"/>
      <c r="H30" s="1"/>
      <c r="I30" s="1"/>
      <c r="J30" s="1"/>
    </row>
    <row r="31" spans="2:10" ht="15.75">
      <c r="B31" s="310" t="s">
        <v>75</v>
      </c>
      <c r="C31" s="452"/>
      <c r="D31" s="452"/>
      <c r="E31" s="112"/>
      <c r="G31" s="782" t="str">
        <f>CONCATENATE("Projected Carryover Into ",E1+1,"")</f>
        <v>Projected Carryover Into 2014</v>
      </c>
      <c r="H31" s="789"/>
      <c r="I31" s="789"/>
      <c r="J31" s="790"/>
    </row>
    <row r="32" spans="2:10" ht="15.75">
      <c r="B32" s="310" t="s">
        <v>78</v>
      </c>
      <c r="C32" s="453">
        <f>IF(C33*0.1&lt;C31,"Exceed 10% Rule","")</f>
      </c>
      <c r="D32" s="453">
        <f>IF(D33*0.1&lt;D31,"Exceed 10% Rule","")</f>
      </c>
      <c r="E32" s="345">
        <f>IF(E33*0.1&lt;E31,"Exceed 10% Rule","")</f>
      </c>
      <c r="G32" s="650"/>
      <c r="H32" s="652"/>
      <c r="I32" s="652"/>
      <c r="J32" s="678"/>
    </row>
    <row r="33" spans="2:10" ht="15.75">
      <c r="B33" s="312" t="s">
        <v>171</v>
      </c>
      <c r="C33" s="454">
        <f>SUM(C23:C31)</f>
        <v>0</v>
      </c>
      <c r="D33" s="454">
        <f>SUM(D23:D31)</f>
        <v>0</v>
      </c>
      <c r="E33" s="353">
        <f>SUM(E23:E31)</f>
        <v>0</v>
      </c>
      <c r="G33" s="679">
        <f>D34</f>
        <v>0</v>
      </c>
      <c r="H33" s="669" t="str">
        <f>CONCATENATE("",E1-1," Ending Cash Balance (est.)")</f>
        <v>2012 Ending Cash Balance (est.)</v>
      </c>
      <c r="I33" s="680"/>
      <c r="J33" s="678"/>
    </row>
    <row r="34" spans="2:10" ht="15.75">
      <c r="B34" s="148" t="s">
        <v>285</v>
      </c>
      <c r="C34" s="457">
        <f>C21-C33</f>
        <v>0</v>
      </c>
      <c r="D34" s="457">
        <f>D21-D33</f>
        <v>0</v>
      </c>
      <c r="E34" s="338" t="s">
        <v>148</v>
      </c>
      <c r="G34" s="679">
        <f>E20</f>
        <v>0</v>
      </c>
      <c r="H34" s="652" t="str">
        <f>CONCATENATE("",E1," Non-AV Receipts (est.)")</f>
        <v>2013 Non-AV Receipts (est.)</v>
      </c>
      <c r="I34" s="680"/>
      <c r="J34" s="678"/>
    </row>
    <row r="35" spans="2:11" ht="15.75">
      <c r="B35" s="288" t="str">
        <f>CONCATENATE("",$E$1-2,"/",$E$1-1," Budget Authority Amount:")</f>
        <v>2011/2012 Budget Authority Amount:</v>
      </c>
      <c r="C35" s="280">
        <f>inputOth!B51</f>
        <v>0</v>
      </c>
      <c r="D35" s="280">
        <f>inputPrYr!D37</f>
        <v>0</v>
      </c>
      <c r="E35" s="338" t="s">
        <v>148</v>
      </c>
      <c r="F35" s="321"/>
      <c r="G35" s="681">
        <f>IF(E39&gt;0,E38,E40)</f>
        <v>0</v>
      </c>
      <c r="H35" s="652" t="str">
        <f>CONCATENATE("",E1," Ad Valorem Tax (est.)")</f>
        <v>2013 Ad Valorem Tax (est.)</v>
      </c>
      <c r="I35" s="680"/>
      <c r="J35" s="678"/>
      <c r="K35" s="666">
        <f>IF(G35=E40,"","Note: Does not include Delinquent Taxes")</f>
      </c>
    </row>
    <row r="36" spans="2:10" ht="15.75">
      <c r="B36" s="288"/>
      <c r="C36" s="772" t="s">
        <v>687</v>
      </c>
      <c r="D36" s="773"/>
      <c r="E36" s="112"/>
      <c r="F36" s="502">
        <f>IF(E33/0.95-E33&lt;E36,"Exceeds 5%","")</f>
      </c>
      <c r="G36" s="679">
        <f>SUM(G33:G35)</f>
        <v>0</v>
      </c>
      <c r="H36" s="652" t="str">
        <f>CONCATENATE("Total ",E1," Resources Available")</f>
        <v>Total 2013 Resources Available</v>
      </c>
      <c r="I36" s="680"/>
      <c r="J36" s="678"/>
    </row>
    <row r="37" spans="2:10" ht="15.75">
      <c r="B37" s="705" t="str">
        <f>CONCATENATE(C88,"     ",D88)</f>
        <v>     </v>
      </c>
      <c r="C37" s="774" t="s">
        <v>688</v>
      </c>
      <c r="D37" s="775"/>
      <c r="E37" s="266">
        <f>E33+E36</f>
        <v>0</v>
      </c>
      <c r="G37" s="682"/>
      <c r="H37" s="652"/>
      <c r="I37" s="652"/>
      <c r="J37" s="678"/>
    </row>
    <row r="38" spans="2:10" ht="15.75">
      <c r="B38" s="705" t="str">
        <f>CONCATENATE(C89,"      ",D89)</f>
        <v>      </v>
      </c>
      <c r="C38" s="322"/>
      <c r="D38" s="240" t="s">
        <v>172</v>
      </c>
      <c r="E38" s="120">
        <f>IF(E37-E21&gt;0,E37-E21,0)</f>
        <v>0</v>
      </c>
      <c r="G38" s="681">
        <f>ROUND(C33*0.05+C33,0)</f>
        <v>0</v>
      </c>
      <c r="H38" s="652" t="str">
        <f>CONCATENATE("Less ",E1-2," Expenditures + 5%")</f>
        <v>Less 2011 Expenditures + 5%</v>
      </c>
      <c r="I38" s="680"/>
      <c r="J38" s="683"/>
    </row>
    <row r="39" spans="2:10" ht="15.75">
      <c r="B39" s="240"/>
      <c r="C39" s="504" t="s">
        <v>689</v>
      </c>
      <c r="D39" s="649">
        <f>inputOth!$E$23</f>
        <v>0.03</v>
      </c>
      <c r="E39" s="266">
        <f>ROUND(IF(D39&gt;0,(E38*D39),0),0)</f>
        <v>0</v>
      </c>
      <c r="G39" s="684">
        <f>G36-G38</f>
        <v>0</v>
      </c>
      <c r="H39" s="685" t="str">
        <f>CONCATENATE("Projected ",E1+1," carryover (est.)")</f>
        <v>Projected 2014 carryover (est.)</v>
      </c>
      <c r="I39" s="686"/>
      <c r="J39" s="687"/>
    </row>
    <row r="40" spans="2:10" ht="15.75">
      <c r="B40" s="85"/>
      <c r="C40" s="780" t="str">
        <f>CONCATENATE("Amount of  ",$E$1-1," Ad Valorem Tax")</f>
        <v>Amount of  2012 Ad Valorem Tax</v>
      </c>
      <c r="D40" s="781"/>
      <c r="E40" s="349">
        <f>E38+E39</f>
        <v>0</v>
      </c>
      <c r="G40" s="1"/>
      <c r="H40" s="1"/>
      <c r="I40" s="1"/>
      <c r="J40" s="1"/>
    </row>
    <row r="41" spans="2:10" ht="15.75">
      <c r="B41" s="85"/>
      <c r="C41" s="633"/>
      <c r="D41" s="85"/>
      <c r="E41" s="85"/>
      <c r="G41" s="785" t="s">
        <v>843</v>
      </c>
      <c r="H41" s="786"/>
      <c r="I41" s="786"/>
      <c r="J41" s="787"/>
    </row>
    <row r="42" spans="2:10" ht="15.75">
      <c r="B42" s="85"/>
      <c r="C42" s="633"/>
      <c r="D42" s="85"/>
      <c r="E42" s="85"/>
      <c r="G42" s="668"/>
      <c r="H42" s="669"/>
      <c r="I42" s="670"/>
      <c r="J42" s="671"/>
    </row>
    <row r="43" spans="2:10" ht="15.75">
      <c r="B43" s="85"/>
      <c r="C43" s="328"/>
      <c r="D43" s="328"/>
      <c r="E43" s="328"/>
      <c r="G43" s="672" t="str">
        <f>summ!H37</f>
        <v>  </v>
      </c>
      <c r="H43" s="669" t="str">
        <f>CONCATENATE("",E1," Fund Mill Rate")</f>
        <v>2013 Fund Mill Rate</v>
      </c>
      <c r="I43" s="670"/>
      <c r="J43" s="671"/>
    </row>
    <row r="44" spans="2:10" ht="15.75">
      <c r="B44" s="84" t="s">
        <v>160</v>
      </c>
      <c r="C44" s="703" t="str">
        <f aca="true" t="shared" si="0" ref="C44:E45">C4</f>
        <v>Prior Year </v>
      </c>
      <c r="D44" s="704" t="str">
        <f t="shared" si="0"/>
        <v>Current Year </v>
      </c>
      <c r="E44" s="215" t="str">
        <f t="shared" si="0"/>
        <v>Proposed Budget </v>
      </c>
      <c r="G44" s="673" t="str">
        <f>summ!E37</f>
        <v>  </v>
      </c>
      <c r="H44" s="669" t="str">
        <f>CONCATENATE("",E1-1," Fund Mill Rate")</f>
        <v>2012 Fund Mill Rate</v>
      </c>
      <c r="I44" s="670"/>
      <c r="J44" s="671"/>
    </row>
    <row r="45" spans="2:10" ht="15.75">
      <c r="B45" s="706">
        <f>inputPrYr!$B$38</f>
        <v>0</v>
      </c>
      <c r="C45" s="455" t="str">
        <f t="shared" si="0"/>
        <v>Actual for 2011</v>
      </c>
      <c r="D45" s="455" t="str">
        <f t="shared" si="0"/>
        <v>Estimate for 2012</v>
      </c>
      <c r="E45" s="316" t="str">
        <f t="shared" si="0"/>
        <v>Year for 2013</v>
      </c>
      <c r="G45" s="674">
        <f>summ!H61</f>
        <v>42.760999999999996</v>
      </c>
      <c r="H45" s="669" t="str">
        <f>CONCATENATE("Total ",E1," Mill Rate")</f>
        <v>Total 2013 Mill Rate</v>
      </c>
      <c r="I45" s="670"/>
      <c r="J45" s="671"/>
    </row>
    <row r="46" spans="2:10" ht="15.75">
      <c r="B46" s="148" t="s">
        <v>284</v>
      </c>
      <c r="C46" s="452"/>
      <c r="D46" s="456">
        <f>C74</f>
        <v>0</v>
      </c>
      <c r="E46" s="266">
        <f>D74</f>
        <v>0</v>
      </c>
      <c r="G46" s="673">
        <f>summ!E61</f>
        <v>43.934999999999995</v>
      </c>
      <c r="H46" s="675" t="str">
        <f>CONCATENATE("Total ",E1-1," Mill Rate")</f>
        <v>Total 2012 Mill Rate</v>
      </c>
      <c r="I46" s="676"/>
      <c r="J46" s="677"/>
    </row>
    <row r="47" spans="2:10" ht="15.75">
      <c r="B47" s="304" t="s">
        <v>286</v>
      </c>
      <c r="C47" s="306"/>
      <c r="D47" s="306"/>
      <c r="E47" s="127"/>
      <c r="G47" s="1"/>
      <c r="H47" s="1"/>
      <c r="I47" s="1"/>
      <c r="J47" s="1"/>
    </row>
    <row r="48" spans="2:10" ht="15.75">
      <c r="B48" s="148" t="s">
        <v>161</v>
      </c>
      <c r="C48" s="452"/>
      <c r="D48" s="456">
        <f>IF(inputPrYr!H38&gt;0,inputPrYr!H38,inputPrYr!E38)</f>
        <v>0</v>
      </c>
      <c r="E48" s="338" t="s">
        <v>148</v>
      </c>
      <c r="G48" s="1"/>
      <c r="H48" s="1"/>
      <c r="I48" s="1"/>
      <c r="J48" s="1"/>
    </row>
    <row r="49" spans="2:10" ht="15.75">
      <c r="B49" s="148" t="s">
        <v>162</v>
      </c>
      <c r="C49" s="452"/>
      <c r="D49" s="452"/>
      <c r="E49" s="112"/>
      <c r="G49" s="1"/>
      <c r="H49" s="1"/>
      <c r="I49" s="1"/>
      <c r="J49" s="1"/>
    </row>
    <row r="50" spans="2:10" ht="15.75">
      <c r="B50" s="148" t="s">
        <v>163</v>
      </c>
      <c r="C50" s="452"/>
      <c r="D50" s="452"/>
      <c r="E50" s="266" t="str">
        <f>mvalloc!E29</f>
        <v>  </v>
      </c>
      <c r="G50" s="1"/>
      <c r="H50" s="1"/>
      <c r="I50" s="1"/>
      <c r="J50" s="1"/>
    </row>
    <row r="51" spans="2:10" ht="15.75">
      <c r="B51" s="148" t="s">
        <v>164</v>
      </c>
      <c r="C51" s="452"/>
      <c r="D51" s="452"/>
      <c r="E51" s="266" t="str">
        <f>mvalloc!F29</f>
        <v>  </v>
      </c>
      <c r="G51" s="1"/>
      <c r="H51" s="1"/>
      <c r="I51" s="1"/>
      <c r="J51" s="1"/>
    </row>
    <row r="52" spans="2:10" ht="15.75">
      <c r="B52" s="306" t="s">
        <v>233</v>
      </c>
      <c r="C52" s="452"/>
      <c r="D52" s="452"/>
      <c r="E52" s="266" t="str">
        <f>mvalloc!G29</f>
        <v>  </v>
      </c>
      <c r="G52" s="1"/>
      <c r="H52" s="1"/>
      <c r="I52" s="1"/>
      <c r="J52" s="1"/>
    </row>
    <row r="53" spans="2:10" ht="15.75">
      <c r="B53" s="319"/>
      <c r="C53" s="452"/>
      <c r="D53" s="452"/>
      <c r="E53" s="112"/>
      <c r="G53" s="1"/>
      <c r="H53" s="1"/>
      <c r="I53" s="1"/>
      <c r="J53" s="1"/>
    </row>
    <row r="54" spans="2:10" ht="15.75">
      <c r="B54" s="319"/>
      <c r="C54" s="452"/>
      <c r="D54" s="452"/>
      <c r="E54" s="112"/>
      <c r="G54" s="1"/>
      <c r="H54" s="1"/>
      <c r="I54" s="1"/>
      <c r="J54" s="1"/>
    </row>
    <row r="55" spans="2:10" ht="15.75">
      <c r="B55" s="319"/>
      <c r="C55" s="452"/>
      <c r="D55" s="452"/>
      <c r="E55" s="112"/>
      <c r="G55" s="1"/>
      <c r="H55" s="1"/>
      <c r="I55" s="1"/>
      <c r="J55" s="1"/>
    </row>
    <row r="56" spans="2:10" ht="15.75">
      <c r="B56" s="319"/>
      <c r="C56" s="452"/>
      <c r="D56" s="452"/>
      <c r="E56" s="112"/>
      <c r="G56" s="1"/>
      <c r="H56" s="1"/>
      <c r="I56" s="1"/>
      <c r="J56" s="1"/>
    </row>
    <row r="57" spans="2:10" ht="15.75">
      <c r="B57" s="309" t="s">
        <v>165</v>
      </c>
      <c r="C57" s="452"/>
      <c r="D57" s="452"/>
      <c r="E57" s="112"/>
      <c r="G57" s="1"/>
      <c r="H57" s="1"/>
      <c r="I57" s="1"/>
      <c r="J57" s="1"/>
    </row>
    <row r="58" spans="2:10" ht="15.75">
      <c r="B58" s="310" t="s">
        <v>75</v>
      </c>
      <c r="C58" s="452"/>
      <c r="D58" s="452"/>
      <c r="E58" s="112"/>
      <c r="G58" s="1"/>
      <c r="H58" s="1"/>
      <c r="I58" s="1"/>
      <c r="J58" s="1"/>
    </row>
    <row r="59" spans="2:10" ht="15.75">
      <c r="B59" s="310" t="s">
        <v>76</v>
      </c>
      <c r="C59" s="453">
        <f>IF(C60*0.1&lt;C58,"Exceed 10% Rule","")</f>
      </c>
      <c r="D59" s="453">
        <f>IF(D60*0.1&lt;D58,"Exceed 10% Rule","")</f>
      </c>
      <c r="E59" s="345">
        <f>IF(E60*0.1+E80&lt;E58,"Exceed 10% Rule","")</f>
      </c>
      <c r="G59" s="1"/>
      <c r="H59" s="1"/>
      <c r="I59" s="1"/>
      <c r="J59" s="1"/>
    </row>
    <row r="60" spans="2:10" ht="15.75">
      <c r="B60" s="312" t="s">
        <v>166</v>
      </c>
      <c r="C60" s="454">
        <f>SUM(C48:C58)</f>
        <v>0</v>
      </c>
      <c r="D60" s="454">
        <f>SUM(D48:D58)</f>
        <v>0</v>
      </c>
      <c r="E60" s="353">
        <f>SUM(E48:E58)</f>
        <v>0</v>
      </c>
      <c r="G60" s="1"/>
      <c r="H60" s="1"/>
      <c r="I60" s="1"/>
      <c r="J60" s="1"/>
    </row>
    <row r="61" spans="2:10" ht="15.75">
      <c r="B61" s="312" t="s">
        <v>167</v>
      </c>
      <c r="C61" s="454">
        <f>C46+C60</f>
        <v>0</v>
      </c>
      <c r="D61" s="454">
        <f>D46+D60</f>
        <v>0</v>
      </c>
      <c r="E61" s="353">
        <f>E46+E60</f>
        <v>0</v>
      </c>
      <c r="G61" s="1"/>
      <c r="H61" s="1"/>
      <c r="I61" s="1"/>
      <c r="J61" s="1"/>
    </row>
    <row r="62" spans="2:10" ht="15.75">
      <c r="B62" s="148" t="s">
        <v>170</v>
      </c>
      <c r="C62" s="310"/>
      <c r="D62" s="310"/>
      <c r="E62" s="108"/>
      <c r="G62" s="1"/>
      <c r="H62" s="1"/>
      <c r="I62" s="1"/>
      <c r="J62" s="1"/>
    </row>
    <row r="63" spans="2:10" ht="15.75">
      <c r="B63" s="319"/>
      <c r="C63" s="452"/>
      <c r="D63" s="452"/>
      <c r="E63" s="112"/>
      <c r="G63" s="1"/>
      <c r="H63" s="1"/>
      <c r="I63" s="1"/>
      <c r="J63" s="1"/>
    </row>
    <row r="64" spans="2:10" ht="15.75">
      <c r="B64" s="319"/>
      <c r="C64" s="452"/>
      <c r="D64" s="452"/>
      <c r="E64" s="112"/>
      <c r="G64" s="782" t="str">
        <f>CONCATENATE("Desired Carryover Into ",E1+1,"")</f>
        <v>Desired Carryover Into 2014</v>
      </c>
      <c r="H64" s="783"/>
      <c r="I64" s="783"/>
      <c r="J64" s="784"/>
    </row>
    <row r="65" spans="2:10" ht="15.75">
      <c r="B65" s="319"/>
      <c r="C65" s="452"/>
      <c r="D65" s="452"/>
      <c r="E65" s="112"/>
      <c r="G65" s="650"/>
      <c r="H65" s="651"/>
      <c r="I65" s="652"/>
      <c r="J65" s="653"/>
    </row>
    <row r="66" spans="2:10" ht="15.75">
      <c r="B66" s="319"/>
      <c r="C66" s="452"/>
      <c r="D66" s="452"/>
      <c r="E66" s="112"/>
      <c r="G66" s="654" t="s">
        <v>690</v>
      </c>
      <c r="H66" s="652"/>
      <c r="I66" s="652"/>
      <c r="J66" s="655">
        <v>0</v>
      </c>
    </row>
    <row r="67" spans="2:10" ht="15.75">
      <c r="B67" s="319"/>
      <c r="C67" s="452"/>
      <c r="D67" s="452"/>
      <c r="E67" s="112"/>
      <c r="G67" s="650" t="s">
        <v>691</v>
      </c>
      <c r="H67" s="651"/>
      <c r="I67" s="651"/>
      <c r="J67" s="656">
        <f>IF(J66=0,"",ROUND((J66+E80-G79)/inputOth!E6*1000,3)-G84)</f>
      </c>
    </row>
    <row r="68" spans="2:10" ht="15.75">
      <c r="B68" s="319"/>
      <c r="C68" s="452"/>
      <c r="D68" s="452"/>
      <c r="E68" s="112"/>
      <c r="G68" s="657" t="str">
        <f>CONCATENATE("",E1," Tot Exp/Non-Appr Must Be:")</f>
        <v>2013 Tot Exp/Non-Appr Must Be:</v>
      </c>
      <c r="H68" s="658"/>
      <c r="I68" s="659"/>
      <c r="J68" s="660">
        <f>IF(J66&gt;0,IF(E77&lt;E61,IF(J66=G79,E77,((J66-G79)*(1-D79))+E61),E77+(J66-G79)),0)</f>
        <v>0</v>
      </c>
    </row>
    <row r="69" spans="2:10" ht="15.75">
      <c r="B69" s="319"/>
      <c r="C69" s="452"/>
      <c r="D69" s="452"/>
      <c r="E69" s="112"/>
      <c r="G69" s="661" t="s">
        <v>842</v>
      </c>
      <c r="H69" s="662"/>
      <c r="I69" s="662"/>
      <c r="J69" s="663">
        <f>IF(J66&gt;0,J68-E77,0)</f>
        <v>0</v>
      </c>
    </row>
    <row r="70" spans="2:10" ht="15.75">
      <c r="B70" s="310" t="s">
        <v>77</v>
      </c>
      <c r="C70" s="452"/>
      <c r="D70" s="452"/>
      <c r="E70" s="120">
        <f>Nhood!E28</f>
      </c>
      <c r="G70" s="1"/>
      <c r="H70" s="1"/>
      <c r="I70" s="1"/>
      <c r="J70" s="1"/>
    </row>
    <row r="71" spans="2:10" ht="15.75">
      <c r="B71" s="310" t="s">
        <v>75</v>
      </c>
      <c r="C71" s="452"/>
      <c r="D71" s="452"/>
      <c r="E71" s="112"/>
      <c r="G71" s="782" t="str">
        <f>CONCATENATE("Projected Carryover Into ",E1+1,"")</f>
        <v>Projected Carryover Into 2014</v>
      </c>
      <c r="H71" s="791"/>
      <c r="I71" s="791"/>
      <c r="J71" s="790"/>
    </row>
    <row r="72" spans="2:10" ht="15.75">
      <c r="B72" s="310" t="s">
        <v>78</v>
      </c>
      <c r="C72" s="453">
        <f>IF(C73*0.1&lt;C71,"Exceed 10% Rule","")</f>
      </c>
      <c r="D72" s="453">
        <f>IF(D73*0.1&lt;D71,"Exceed 10% Rule","")</f>
      </c>
      <c r="E72" s="345">
        <f>IF(E73*0.1&lt;E71,"Exceed 10% Rule","")</f>
      </c>
      <c r="G72" s="688"/>
      <c r="H72" s="651"/>
      <c r="I72" s="651"/>
      <c r="J72" s="683"/>
    </row>
    <row r="73" spans="2:10" ht="15.75">
      <c r="B73" s="312" t="s">
        <v>171</v>
      </c>
      <c r="C73" s="454">
        <f>SUM(C63:C71)</f>
        <v>0</v>
      </c>
      <c r="D73" s="454">
        <f>SUM(D63:D71)</f>
        <v>0</v>
      </c>
      <c r="E73" s="353">
        <f>SUM(E63:E71)</f>
        <v>0</v>
      </c>
      <c r="G73" s="679">
        <f>D74</f>
        <v>0</v>
      </c>
      <c r="H73" s="669" t="str">
        <f>CONCATENATE("",E1-1," Ending Cash Balance (est.)")</f>
        <v>2012 Ending Cash Balance (est.)</v>
      </c>
      <c r="I73" s="680"/>
      <c r="J73" s="683"/>
    </row>
    <row r="74" spans="2:10" ht="15.75">
      <c r="B74" s="148" t="s">
        <v>285</v>
      </c>
      <c r="C74" s="457">
        <f>C61-C73</f>
        <v>0</v>
      </c>
      <c r="D74" s="457">
        <f>D61-D73</f>
        <v>0</v>
      </c>
      <c r="E74" s="338" t="s">
        <v>148</v>
      </c>
      <c r="G74" s="679">
        <f>E60</f>
        <v>0</v>
      </c>
      <c r="H74" s="652" t="str">
        <f>CONCATENATE("",E1," Non-AV Receipts (est.)")</f>
        <v>2013 Non-AV Receipts (est.)</v>
      </c>
      <c r="I74" s="680"/>
      <c r="J74" s="683"/>
    </row>
    <row r="75" spans="2:11" ht="15.75">
      <c r="B75" s="288" t="str">
        <f>CONCATENATE("",$E$1-2,"/",$E$1-1," Budget Authority Amount:")</f>
        <v>2011/2012 Budget Authority Amount:</v>
      </c>
      <c r="C75" s="280">
        <f>inputOth!B52</f>
        <v>0</v>
      </c>
      <c r="D75" s="280">
        <f>inputPrYr!D38</f>
        <v>0</v>
      </c>
      <c r="E75" s="338" t="s">
        <v>148</v>
      </c>
      <c r="F75" s="321"/>
      <c r="G75" s="681">
        <f>IF(E79&gt;0,E78,E80)</f>
        <v>0</v>
      </c>
      <c r="H75" s="652" t="str">
        <f>CONCATENATE("",E1," Ad Valorem Tax (est.)")</f>
        <v>2013 Ad Valorem Tax (est.)</v>
      </c>
      <c r="I75" s="680"/>
      <c r="J75" s="683"/>
      <c r="K75" s="666">
        <f>IF(G75=E80,"","Note: Does not include Delinquent Taxes")</f>
      </c>
    </row>
    <row r="76" spans="2:10" ht="15.75">
      <c r="B76" s="288"/>
      <c r="C76" s="772" t="s">
        <v>687</v>
      </c>
      <c r="D76" s="773"/>
      <c r="E76" s="112"/>
      <c r="F76" s="502">
        <f>IF(E73/0.95-E73&lt;E76,"Exceeds 5%","")</f>
      </c>
      <c r="G76" s="689">
        <f>SUM(G73:G75)</f>
        <v>0</v>
      </c>
      <c r="H76" s="652" t="str">
        <f>CONCATENATE("Total ",E1," Resources Available")</f>
        <v>Total 2013 Resources Available</v>
      </c>
      <c r="I76" s="690"/>
      <c r="J76" s="683"/>
    </row>
    <row r="77" spans="2:10" ht="15.75">
      <c r="B77" s="705" t="str">
        <f>CONCATENATE(C90,"      ",D90)</f>
        <v>      </v>
      </c>
      <c r="C77" s="774" t="s">
        <v>688</v>
      </c>
      <c r="D77" s="775"/>
      <c r="E77" s="266">
        <f>E73+E76</f>
        <v>0</v>
      </c>
      <c r="G77" s="691"/>
      <c r="H77" s="692"/>
      <c r="I77" s="651"/>
      <c r="J77" s="683"/>
    </row>
    <row r="78" spans="2:10" ht="15.75">
      <c r="B78" s="705" t="str">
        <f>CONCATENATE(C91,"      ",D91)</f>
        <v>      </v>
      </c>
      <c r="C78" s="322"/>
      <c r="D78" s="240" t="s">
        <v>172</v>
      </c>
      <c r="E78" s="120">
        <f>IF(E77-E61&gt;0,E77-E61,0)</f>
        <v>0</v>
      </c>
      <c r="G78" s="693">
        <f>ROUND(C73*0.05+C73,0)</f>
        <v>0</v>
      </c>
      <c r="H78" s="652" t="str">
        <f>CONCATENATE("Less ",E1-2," Expenditures + 5%")</f>
        <v>Less 2011 Expenditures + 5%</v>
      </c>
      <c r="I78" s="690"/>
      <c r="J78" s="683"/>
    </row>
    <row r="79" spans="2:10" ht="15.75">
      <c r="B79" s="240"/>
      <c r="C79" s="504" t="s">
        <v>689</v>
      </c>
      <c r="D79" s="649">
        <f>inputOth!$E$23</f>
        <v>0.03</v>
      </c>
      <c r="E79" s="266">
        <f>ROUND(IF(D79&gt;0,(E78*D79),0),0)</f>
        <v>0</v>
      </c>
      <c r="G79" s="694">
        <f>G76-G78</f>
        <v>0</v>
      </c>
      <c r="H79" s="685" t="str">
        <f>CONCATENATE("Projected ",E1+1," carryover (est.)")</f>
        <v>Projected 2014 carryover (est.)</v>
      </c>
      <c r="I79" s="695"/>
      <c r="J79" s="696"/>
    </row>
    <row r="80" spans="2:10" ht="15.75">
      <c r="B80" s="85"/>
      <c r="C80" s="780" t="str">
        <f>CONCATENATE("Amount of  ",$E$1-1," Ad Valorem Tax")</f>
        <v>Amount of  2012 Ad Valorem Tax</v>
      </c>
      <c r="D80" s="781"/>
      <c r="E80" s="349">
        <f>E78+E79</f>
        <v>0</v>
      </c>
      <c r="G80" s="1"/>
      <c r="H80" s="1"/>
      <c r="I80" s="1"/>
      <c r="J80" s="1"/>
    </row>
    <row r="81" spans="2:10" ht="15.75">
      <c r="B81" s="323" t="s">
        <v>194</v>
      </c>
      <c r="C81" s="350"/>
      <c r="D81" s="85"/>
      <c r="E81" s="85"/>
      <c r="G81" s="785" t="s">
        <v>843</v>
      </c>
      <c r="H81" s="786"/>
      <c r="I81" s="786"/>
      <c r="J81" s="787"/>
    </row>
    <row r="82" spans="7:10" ht="15.75">
      <c r="G82" s="668"/>
      <c r="H82" s="669"/>
      <c r="I82" s="670"/>
      <c r="J82" s="671"/>
    </row>
    <row r="83" spans="7:10" ht="15.75">
      <c r="G83" s="672" t="str">
        <f>summ!H38</f>
        <v>  </v>
      </c>
      <c r="H83" s="669" t="str">
        <f>CONCATENATE("",E1," Fund Mill Rate")</f>
        <v>2013 Fund Mill Rate</v>
      </c>
      <c r="I83" s="670"/>
      <c r="J83" s="671"/>
    </row>
    <row r="84" spans="7:10" ht="15.75">
      <c r="G84" s="673" t="str">
        <f>summ!E38</f>
        <v>  </v>
      </c>
      <c r="H84" s="669" t="str">
        <f>CONCATENATE("",E1-1," Fund Mill Rate")</f>
        <v>2012 Fund Mill Rate</v>
      </c>
      <c r="I84" s="670"/>
      <c r="J84" s="671"/>
    </row>
    <row r="85" spans="7:10" ht="15.75">
      <c r="G85" s="674">
        <f>summ!H61</f>
        <v>42.760999999999996</v>
      </c>
      <c r="H85" s="669" t="str">
        <f>CONCATENATE("Total ",E1," Mill Rate")</f>
        <v>Total 2013 Mill Rate</v>
      </c>
      <c r="I85" s="670"/>
      <c r="J85" s="671"/>
    </row>
    <row r="86" spans="7:10" ht="15.75">
      <c r="G86" s="673">
        <f>summ!E61</f>
        <v>43.934999999999995</v>
      </c>
      <c r="H86" s="675" t="str">
        <f>CONCATENATE("Total ",E1-1," Mill Rate")</f>
        <v>Total 2012 Mill Rate</v>
      </c>
      <c r="I86" s="676"/>
      <c r="J86" s="677"/>
    </row>
    <row r="88" spans="3:4" ht="15.75" hidden="1">
      <c r="C88" s="72">
        <f>IF(C33&gt;C35,"See Tab A","")</f>
      </c>
      <c r="D88" s="72">
        <f>IF(D33&gt;D35,"See Tab C","")</f>
      </c>
    </row>
    <row r="89" spans="3:4" ht="15.75" hidden="1">
      <c r="C89" s="72">
        <f>IF(C34&lt;0,"See Tab B","")</f>
      </c>
      <c r="D89" s="72">
        <f>IF(D34&lt;0,"See Tab D","")</f>
      </c>
    </row>
    <row r="90" spans="3:4" ht="15.75" hidden="1">
      <c r="C90" s="72">
        <f>IF(C73&gt;C75,"See Tab A","")</f>
      </c>
      <c r="D90" s="72">
        <f>IF(D73&gt;D75,"See Tab C","")</f>
      </c>
    </row>
    <row r="91" spans="3:4" ht="15.75" hidden="1">
      <c r="C91" s="72">
        <f>IF(C74&lt;0,"See Tab B","")</f>
      </c>
      <c r="D91" s="72">
        <f>IF(D74&lt;0,"See Tab D","")</f>
      </c>
    </row>
  </sheetData>
  <sheetProtection sheet="1"/>
  <mergeCells count="12">
    <mergeCell ref="G64:J64"/>
    <mergeCell ref="C37:D37"/>
    <mergeCell ref="C77:D77"/>
    <mergeCell ref="G71:J71"/>
    <mergeCell ref="C76:D76"/>
    <mergeCell ref="C80:D80"/>
    <mergeCell ref="G81:J81"/>
    <mergeCell ref="G24:J24"/>
    <mergeCell ref="G31:J31"/>
    <mergeCell ref="C36:D36"/>
    <mergeCell ref="C40:D40"/>
    <mergeCell ref="G41:J41"/>
  </mergeCells>
  <conditionalFormatting sqref="E36">
    <cfRule type="cellIs" priority="20" dxfId="408" operator="greaterThan" stopIfTrue="1">
      <formula>$E$33/0.95-$E$33</formula>
    </cfRule>
  </conditionalFormatting>
  <conditionalFormatting sqref="E76">
    <cfRule type="cellIs" priority="19" dxfId="408" operator="greaterThan" stopIfTrue="1">
      <formula>$E$73/0.95-$E$73</formula>
    </cfRule>
  </conditionalFormatting>
  <conditionalFormatting sqref="E71">
    <cfRule type="cellIs" priority="18" dxfId="408" operator="greaterThan" stopIfTrue="1">
      <formula>$E$73*0.1</formula>
    </cfRule>
  </conditionalFormatting>
  <conditionalFormatting sqref="C18">
    <cfRule type="cellIs" priority="17" dxfId="408" operator="greaterThan" stopIfTrue="1">
      <formula>$C$20*0.1</formula>
    </cfRule>
  </conditionalFormatting>
  <conditionalFormatting sqref="D18">
    <cfRule type="cellIs" priority="16" dxfId="408" operator="greaterThan" stopIfTrue="1">
      <formula>$D$20*0.1</formula>
    </cfRule>
  </conditionalFormatting>
  <conditionalFormatting sqref="E31">
    <cfRule type="cellIs" priority="15" dxfId="408" operator="greaterThan" stopIfTrue="1">
      <formula>$E$33*0.1</formula>
    </cfRule>
  </conditionalFormatting>
  <conditionalFormatting sqref="E18">
    <cfRule type="cellIs" priority="14" dxfId="408" operator="greaterThan" stopIfTrue="1">
      <formula>$E$20*0.1+E40</formula>
    </cfRule>
  </conditionalFormatting>
  <conditionalFormatting sqref="E58">
    <cfRule type="cellIs" priority="13" dxfId="408" operator="greaterThan" stopIfTrue="1">
      <formula>$E$60*0.1+E80</formula>
    </cfRule>
  </conditionalFormatting>
  <conditionalFormatting sqref="C71">
    <cfRule type="cellIs" priority="12" dxfId="2" operator="greaterThan" stopIfTrue="1">
      <formula>$C$73*0.1</formula>
    </cfRule>
  </conditionalFormatting>
  <conditionalFormatting sqref="D71">
    <cfRule type="cellIs" priority="11" dxfId="2" operator="greaterThan" stopIfTrue="1">
      <formula>$D$73*0.1</formula>
    </cfRule>
  </conditionalFormatting>
  <conditionalFormatting sqref="D58">
    <cfRule type="cellIs" priority="10" dxfId="2" operator="greaterThan" stopIfTrue="1">
      <formula>$D$60*0.1</formula>
    </cfRule>
  </conditionalFormatting>
  <conditionalFormatting sqref="C58">
    <cfRule type="cellIs" priority="9" dxfId="2" operator="greaterThan" stopIfTrue="1">
      <formula>$C$60*0.1</formula>
    </cfRule>
  </conditionalFormatting>
  <conditionalFormatting sqref="C31">
    <cfRule type="cellIs" priority="8" dxfId="2" operator="greaterThan" stopIfTrue="1">
      <formula>$C$33*0.1</formula>
    </cfRule>
  </conditionalFormatting>
  <conditionalFormatting sqref="D31">
    <cfRule type="cellIs" priority="7" dxfId="2" operator="greaterThan" stopIfTrue="1">
      <formula>$D$33*0.1</formula>
    </cfRule>
  </conditionalFormatting>
  <conditionalFormatting sqref="C33">
    <cfRule type="cellIs" priority="6" dxfId="2" operator="greaterThan" stopIfTrue="1">
      <formula>$C$35</formula>
    </cfRule>
  </conditionalFormatting>
  <conditionalFormatting sqref="D33">
    <cfRule type="cellIs" priority="5" dxfId="2" operator="greaterThan" stopIfTrue="1">
      <formula>$D$35</formula>
    </cfRule>
  </conditionalFormatting>
  <conditionalFormatting sqref="C74 C34">
    <cfRule type="cellIs" priority="4" dxfId="2" operator="lessThan" stopIfTrue="1">
      <formula>0</formula>
    </cfRule>
  </conditionalFormatting>
  <conditionalFormatting sqref="C73">
    <cfRule type="cellIs" priority="3" dxfId="2" operator="greaterThan" stopIfTrue="1">
      <formula>$C$75</formula>
    </cfRule>
  </conditionalFormatting>
  <conditionalFormatting sqref="D73">
    <cfRule type="cellIs" priority="2" dxfId="2" operator="greaterThan" stopIfTrue="1">
      <formula>$D$75</formula>
    </cfRule>
  </conditionalFormatting>
  <conditionalFormatting sqref="D74 D34">
    <cfRule type="cellIs" priority="1" dxfId="0" operator="lessThan" stopIfTrue="1">
      <formula>0</formula>
    </cfRule>
  </conditionalFormatting>
  <printOptions/>
  <pageMargins left="1.12" right="0.5" top="0.74" bottom="0.34" header="0.5" footer="0"/>
  <pageSetup blackAndWhite="1" fitToHeight="1" fitToWidth="1" horizontalDpi="300" verticalDpi="300" orientation="portrait" scale="59" r:id="rId1"/>
  <headerFooter alignWithMargins="0">
    <oddHeader>&amp;RState of Kansas
County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F76" sqref="F76"/>
    </sheetView>
  </sheetViews>
  <sheetFormatPr defaultColWidth="8.796875" defaultRowHeight="15"/>
  <cols>
    <col min="1" max="1" width="2.3984375" style="72" customWidth="1"/>
    <col min="2" max="2" width="31.09765625" style="72" customWidth="1"/>
    <col min="3" max="4" width="15.796875" style="72" customWidth="1"/>
    <col min="5" max="5" width="16.296875" style="72" customWidth="1"/>
    <col min="6" max="6" width="7.3984375" style="72" customWidth="1"/>
    <col min="7" max="7" width="10.19921875" style="72" customWidth="1"/>
    <col min="8" max="8" width="8.8984375" style="72" customWidth="1"/>
    <col min="9" max="9" width="5" style="72" customWidth="1"/>
    <col min="10" max="10" width="10" style="72" customWidth="1"/>
    <col min="11"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242</v>
      </c>
      <c r="C3" s="334"/>
      <c r="D3" s="334"/>
      <c r="E3" s="335"/>
    </row>
    <row r="4" spans="2:5" ht="15.75">
      <c r="B4" s="84" t="s">
        <v>160</v>
      </c>
      <c r="C4" s="703" t="s">
        <v>844</v>
      </c>
      <c r="D4" s="704" t="s">
        <v>845</v>
      </c>
      <c r="E4" s="215" t="s">
        <v>846</v>
      </c>
    </row>
    <row r="5" spans="2:5" ht="15.75">
      <c r="B5" s="484">
        <f>inputPrYr!B39</f>
        <v>0</v>
      </c>
      <c r="C5" s="455" t="str">
        <f>CONCATENATE("Actual for ",E1-2,"")</f>
        <v>Actual for 2011</v>
      </c>
      <c r="D5" s="455" t="str">
        <f>CONCATENATE("Estimate for ",E1-1,"")</f>
        <v>Estimate for 2012</v>
      </c>
      <c r="E5" s="303" t="str">
        <f>CONCATENATE("Year for ",E1,"")</f>
        <v>Year for 2013</v>
      </c>
    </row>
    <row r="6" spans="2:5" ht="15.75">
      <c r="B6" s="148" t="s">
        <v>284</v>
      </c>
      <c r="C6" s="452"/>
      <c r="D6" s="456">
        <f>C34</f>
        <v>0</v>
      </c>
      <c r="E6" s="266">
        <f>D34</f>
        <v>0</v>
      </c>
    </row>
    <row r="7" spans="2:5" ht="15.75">
      <c r="B7" s="291" t="s">
        <v>286</v>
      </c>
      <c r="C7" s="306"/>
      <c r="D7" s="306"/>
      <c r="E7" s="127"/>
    </row>
    <row r="8" spans="2:5" ht="15.75">
      <c r="B8" s="148" t="s">
        <v>161</v>
      </c>
      <c r="C8" s="452"/>
      <c r="D8" s="456">
        <f>IF(inputPrYr!H39&gt;0,inputPrYr!H39,inputPrYr!E39)</f>
        <v>0</v>
      </c>
      <c r="E8" s="338" t="s">
        <v>148</v>
      </c>
    </row>
    <row r="9" spans="2:5" ht="15.75">
      <c r="B9" s="148" t="s">
        <v>162</v>
      </c>
      <c r="C9" s="452"/>
      <c r="D9" s="452"/>
      <c r="E9" s="112"/>
    </row>
    <row r="10" spans="2:5" ht="15.75">
      <c r="B10" s="148" t="s">
        <v>163</v>
      </c>
      <c r="C10" s="452"/>
      <c r="D10" s="452"/>
      <c r="E10" s="266" t="str">
        <f>mvalloc!E30</f>
        <v>  </v>
      </c>
    </row>
    <row r="11" spans="2:5" ht="15.75">
      <c r="B11" s="148" t="s">
        <v>164</v>
      </c>
      <c r="C11" s="452"/>
      <c r="D11" s="452"/>
      <c r="E11" s="266" t="str">
        <f>mvalloc!F30</f>
        <v>  </v>
      </c>
    </row>
    <row r="12" spans="2:5" ht="15.75">
      <c r="B12" s="306" t="s">
        <v>233</v>
      </c>
      <c r="C12" s="452"/>
      <c r="D12" s="452"/>
      <c r="E12" s="266" t="str">
        <f>mvalloc!G30</f>
        <v>  </v>
      </c>
    </row>
    <row r="13" spans="2:5" ht="15.75">
      <c r="B13" s="319"/>
      <c r="C13" s="452"/>
      <c r="D13" s="452"/>
      <c r="E13" s="112"/>
    </row>
    <row r="14" spans="2:5" ht="15.75">
      <c r="B14" s="319"/>
      <c r="C14" s="452"/>
      <c r="D14" s="452"/>
      <c r="E14" s="112"/>
    </row>
    <row r="15" spans="2:5" ht="15.75">
      <c r="B15" s="319"/>
      <c r="C15" s="452"/>
      <c r="D15" s="452"/>
      <c r="E15" s="112"/>
    </row>
    <row r="16" spans="2:5" ht="15.75">
      <c r="B16" s="319"/>
      <c r="C16" s="452"/>
      <c r="D16" s="452"/>
      <c r="E16" s="112"/>
    </row>
    <row r="17" spans="2:5" ht="15.75">
      <c r="B17" s="309" t="s">
        <v>165</v>
      </c>
      <c r="C17" s="452"/>
      <c r="D17" s="452"/>
      <c r="E17" s="112"/>
    </row>
    <row r="18" spans="2:5" ht="15.75">
      <c r="B18" s="310" t="s">
        <v>75</v>
      </c>
      <c r="C18" s="452"/>
      <c r="D18" s="452"/>
      <c r="E18" s="112"/>
    </row>
    <row r="19" spans="2:5" ht="15.75">
      <c r="B19" s="310" t="s">
        <v>684</v>
      </c>
      <c r="C19" s="453">
        <f>IF(C20*0.1&lt;C18,"Exceed 10% Rule","")</f>
      </c>
      <c r="D19" s="453">
        <f>IF(D20*0.1&lt;D18,"Exceed 10% Rule","")</f>
      </c>
      <c r="E19" s="345">
        <f>IF(E20*0.1+E40&lt;E18,"Exceed 10% Rule","")</f>
      </c>
    </row>
    <row r="20" spans="2:5" ht="15.75">
      <c r="B20" s="312" t="s">
        <v>166</v>
      </c>
      <c r="C20" s="454">
        <f>SUM(C8:C18)</f>
        <v>0</v>
      </c>
      <c r="D20" s="454">
        <f>SUM(D8:D18)</f>
        <v>0</v>
      </c>
      <c r="E20" s="353">
        <f>SUM(E8:E18)</f>
        <v>0</v>
      </c>
    </row>
    <row r="21" spans="2:5" ht="15.75">
      <c r="B21" s="312" t="s">
        <v>167</v>
      </c>
      <c r="C21" s="454">
        <f>C6+C20</f>
        <v>0</v>
      </c>
      <c r="D21" s="454">
        <f>D6+D20</f>
        <v>0</v>
      </c>
      <c r="E21" s="353">
        <f>E6+E20</f>
        <v>0</v>
      </c>
    </row>
    <row r="22" spans="2:5" ht="15.75">
      <c r="B22" s="148" t="s">
        <v>170</v>
      </c>
      <c r="C22" s="310"/>
      <c r="D22" s="310"/>
      <c r="E22" s="108"/>
    </row>
    <row r="23" spans="2:5" ht="15.75">
      <c r="B23" s="319"/>
      <c r="C23" s="452"/>
      <c r="D23" s="452"/>
      <c r="E23" s="112"/>
    </row>
    <row r="24" spans="2:10" ht="15.75">
      <c r="B24" s="319"/>
      <c r="C24" s="452"/>
      <c r="D24" s="452"/>
      <c r="E24" s="112"/>
      <c r="G24" s="782" t="str">
        <f>CONCATENATE("Desired Carryover Into ",E1+1,"")</f>
        <v>Desired Carryover Into 2014</v>
      </c>
      <c r="H24" s="783"/>
      <c r="I24" s="783"/>
      <c r="J24" s="784"/>
    </row>
    <row r="25" spans="2:10" ht="15.75">
      <c r="B25" s="319"/>
      <c r="C25" s="452"/>
      <c r="D25" s="452"/>
      <c r="E25" s="112"/>
      <c r="G25" s="650"/>
      <c r="H25" s="651"/>
      <c r="I25" s="652"/>
      <c r="J25" s="653"/>
    </row>
    <row r="26" spans="2:10" ht="15.75">
      <c r="B26" s="319"/>
      <c r="C26" s="452"/>
      <c r="D26" s="452"/>
      <c r="E26" s="112"/>
      <c r="G26" s="654" t="s">
        <v>690</v>
      </c>
      <c r="H26" s="652"/>
      <c r="I26" s="652"/>
      <c r="J26" s="655">
        <v>0</v>
      </c>
    </row>
    <row r="27" spans="2:10" ht="15.75">
      <c r="B27" s="319"/>
      <c r="C27" s="452"/>
      <c r="D27" s="452"/>
      <c r="E27" s="112"/>
      <c r="G27" s="650" t="s">
        <v>691</v>
      </c>
      <c r="H27" s="651"/>
      <c r="I27" s="651"/>
      <c r="J27" s="656">
        <f>IF(J26=0,"",ROUND((J26+E40-G39)/inputOth!E6*1000,3)-G44)</f>
      </c>
    </row>
    <row r="28" spans="2:10" ht="15.75">
      <c r="B28" s="319"/>
      <c r="C28" s="452"/>
      <c r="D28" s="452"/>
      <c r="E28" s="112"/>
      <c r="G28" s="657" t="str">
        <f>CONCATENATE("",E1," Tot Exp/Non-Appr Must Be:")</f>
        <v>2013 Tot Exp/Non-Appr Must Be:</v>
      </c>
      <c r="H28" s="658"/>
      <c r="I28" s="659"/>
      <c r="J28" s="660">
        <f>IF(J26&gt;0,IF(E37&lt;E21,IF(J26=G39,E37,((J26-G39)*(1-D39))+E21),E37+(J26-G39)),0)</f>
        <v>0</v>
      </c>
    </row>
    <row r="29" spans="2:10" ht="15.75">
      <c r="B29" s="319"/>
      <c r="C29" s="452"/>
      <c r="D29" s="452"/>
      <c r="E29" s="112"/>
      <c r="G29" s="661" t="s">
        <v>842</v>
      </c>
      <c r="H29" s="662"/>
      <c r="I29" s="662"/>
      <c r="J29" s="663">
        <f>IF(J26&gt;0,J28-E37,0)</f>
        <v>0</v>
      </c>
    </row>
    <row r="30" spans="2:10" ht="15.75">
      <c r="B30" s="310" t="s">
        <v>77</v>
      </c>
      <c r="C30" s="452"/>
      <c r="D30" s="452"/>
      <c r="E30" s="120">
        <f>Nhood!E29</f>
      </c>
      <c r="G30" s="1"/>
      <c r="H30" s="1"/>
      <c r="I30" s="1"/>
      <c r="J30" s="1"/>
    </row>
    <row r="31" spans="2:10" ht="15.75">
      <c r="B31" s="310" t="s">
        <v>75</v>
      </c>
      <c r="C31" s="452"/>
      <c r="D31" s="452"/>
      <c r="E31" s="112"/>
      <c r="G31" s="782" t="str">
        <f>CONCATENATE("Projected Carryover Into ",E1+1,"")</f>
        <v>Projected Carryover Into 2014</v>
      </c>
      <c r="H31" s="789"/>
      <c r="I31" s="789"/>
      <c r="J31" s="790"/>
    </row>
    <row r="32" spans="2:10" ht="15.75">
      <c r="B32" s="310" t="s">
        <v>683</v>
      </c>
      <c r="C32" s="453">
        <f>IF(C33*0.1&lt;C31,"Exceed 10% Rule","")</f>
      </c>
      <c r="D32" s="453">
        <f>IF(D33*0.1&lt;D31,"Exceed 10% Rule","")</f>
      </c>
      <c r="E32" s="345">
        <f>IF(E33*0.1&lt;E31,"Exceed 10% Rule","")</f>
      </c>
      <c r="G32" s="650"/>
      <c r="H32" s="652"/>
      <c r="I32" s="652"/>
      <c r="J32" s="678"/>
    </row>
    <row r="33" spans="2:10" ht="15.75">
      <c r="B33" s="312" t="s">
        <v>171</v>
      </c>
      <c r="C33" s="454">
        <f>SUM(C23:C31)</f>
        <v>0</v>
      </c>
      <c r="D33" s="454">
        <f>SUM(D23:D31)</f>
        <v>0</v>
      </c>
      <c r="E33" s="353">
        <f>SUM(E23:E31)</f>
        <v>0</v>
      </c>
      <c r="G33" s="679">
        <f>D34</f>
        <v>0</v>
      </c>
      <c r="H33" s="669" t="str">
        <f>CONCATENATE("",E1-1," Ending Cash Balance (est.)")</f>
        <v>2012 Ending Cash Balance (est.)</v>
      </c>
      <c r="I33" s="680"/>
      <c r="J33" s="678"/>
    </row>
    <row r="34" spans="2:10" ht="15.75">
      <c r="B34" s="148" t="s">
        <v>285</v>
      </c>
      <c r="C34" s="457">
        <f>C21-C33</f>
        <v>0</v>
      </c>
      <c r="D34" s="457">
        <f>D21-D33</f>
        <v>0</v>
      </c>
      <c r="E34" s="338" t="s">
        <v>148</v>
      </c>
      <c r="G34" s="679">
        <f>E20</f>
        <v>0</v>
      </c>
      <c r="H34" s="652" t="str">
        <f>CONCATENATE("",E1," Non-AV Receipts (est.)")</f>
        <v>2013 Non-AV Receipts (est.)</v>
      </c>
      <c r="I34" s="680"/>
      <c r="J34" s="678"/>
    </row>
    <row r="35" spans="2:11" ht="15.75">
      <c r="B35" s="288" t="str">
        <f>CONCATENATE("",E$1-2,"/",E$1-1," Budget Authority Amount:")</f>
        <v>2011/2012 Budget Authority Amount:</v>
      </c>
      <c r="C35" s="280">
        <f>inputOth!B53</f>
        <v>0</v>
      </c>
      <c r="D35" s="280">
        <f>inputPrYr!D39</f>
        <v>0</v>
      </c>
      <c r="E35" s="338" t="s">
        <v>148</v>
      </c>
      <c r="F35" s="321"/>
      <c r="G35" s="681">
        <f>IF(E39&gt;0,E38,E40)</f>
        <v>0</v>
      </c>
      <c r="H35" s="652" t="str">
        <f>CONCATENATE("",E1," Ad Valorem Tax (est.)")</f>
        <v>2013 Ad Valorem Tax (est.)</v>
      </c>
      <c r="I35" s="680"/>
      <c r="J35" s="678"/>
      <c r="K35" s="666">
        <f>IF(G35=E40,"","Note: Does not include Delinquent Taxes")</f>
      </c>
    </row>
    <row r="36" spans="2:10" ht="15.75">
      <c r="B36" s="288"/>
      <c r="C36" s="772" t="s">
        <v>687</v>
      </c>
      <c r="D36" s="773"/>
      <c r="E36" s="112"/>
      <c r="F36" s="502">
        <f>IF(E33/0.95-E33&lt;E36,"Exceeds 5%","")</f>
      </c>
      <c r="G36" s="679">
        <f>SUM(G33:G35)</f>
        <v>0</v>
      </c>
      <c r="H36" s="652" t="str">
        <f>CONCATENATE("Total ",E1," Resources Available")</f>
        <v>Total 2013 Resources Available</v>
      </c>
      <c r="I36" s="680"/>
      <c r="J36" s="678"/>
    </row>
    <row r="37" spans="2:10" ht="15.75">
      <c r="B37" s="506" t="str">
        <f>CONCATENATE(C91,"     ",D91)</f>
        <v>     </v>
      </c>
      <c r="C37" s="774" t="s">
        <v>688</v>
      </c>
      <c r="D37" s="775"/>
      <c r="E37" s="266">
        <f>E33+E36</f>
        <v>0</v>
      </c>
      <c r="G37" s="682"/>
      <c r="H37" s="652"/>
      <c r="I37" s="652"/>
      <c r="J37" s="678"/>
    </row>
    <row r="38" spans="2:10" ht="15.75">
      <c r="B38" s="506" t="str">
        <f>CONCATENATE(C92,"     ",D92)</f>
        <v>     </v>
      </c>
      <c r="C38" s="322"/>
      <c r="D38" s="240" t="s">
        <v>172</v>
      </c>
      <c r="E38" s="120">
        <f>IF(E37-E21&gt;0,E37-E21,0)</f>
        <v>0</v>
      </c>
      <c r="G38" s="681">
        <f>ROUND(C33*0.05+C33,0)</f>
        <v>0</v>
      </c>
      <c r="H38" s="652" t="str">
        <f>CONCATENATE("Less ",E1-2," Expenditures + 5%")</f>
        <v>Less 2011 Expenditures + 5%</v>
      </c>
      <c r="I38" s="680"/>
      <c r="J38" s="683"/>
    </row>
    <row r="39" spans="2:10" ht="15.75">
      <c r="B39" s="240"/>
      <c r="C39" s="504" t="s">
        <v>689</v>
      </c>
      <c r="D39" s="649">
        <f>inputOth!$E$23</f>
        <v>0.03</v>
      </c>
      <c r="E39" s="266">
        <f>ROUND(IF(D39&gt;0,($E$38*D39),0),0)</f>
        <v>0</v>
      </c>
      <c r="G39" s="684">
        <f>G36-G38</f>
        <v>0</v>
      </c>
      <c r="H39" s="685" t="str">
        <f>CONCATENATE("Projected ",E1+1," carryover (est.)")</f>
        <v>Projected 2014 carryover (est.)</v>
      </c>
      <c r="I39" s="686"/>
      <c r="J39" s="687"/>
    </row>
    <row r="40" spans="2:10" ht="15.75">
      <c r="B40" s="85"/>
      <c r="C40" s="780" t="str">
        <f>CONCATENATE("Amount of  ",$E$1-1," Ad Valorem Tax")</f>
        <v>Amount of  2012 Ad Valorem Tax</v>
      </c>
      <c r="D40" s="781"/>
      <c r="E40" s="349">
        <f>E38+E39</f>
        <v>0</v>
      </c>
      <c r="G40" s="1"/>
      <c r="H40" s="1"/>
      <c r="I40" s="1"/>
      <c r="J40" s="1"/>
    </row>
    <row r="41" spans="2:10" ht="15.75">
      <c r="B41" s="85"/>
      <c r="C41" s="328"/>
      <c r="D41" s="328"/>
      <c r="E41" s="328"/>
      <c r="G41" s="785" t="s">
        <v>843</v>
      </c>
      <c r="H41" s="786"/>
      <c r="I41" s="786"/>
      <c r="J41" s="787"/>
    </row>
    <row r="42" spans="2:10" ht="15.75">
      <c r="B42" s="84" t="s">
        <v>160</v>
      </c>
      <c r="C42" s="703" t="str">
        <f aca="true" t="shared" si="0" ref="C42:E43">C4</f>
        <v>Prior Year </v>
      </c>
      <c r="D42" s="704" t="str">
        <f t="shared" si="0"/>
        <v>Current Year </v>
      </c>
      <c r="E42" s="215" t="str">
        <f t="shared" si="0"/>
        <v>Proposed Budget </v>
      </c>
      <c r="G42" s="668"/>
      <c r="H42" s="669"/>
      <c r="I42" s="670"/>
      <c r="J42" s="671"/>
    </row>
    <row r="43" spans="2:10" ht="15.75">
      <c r="B43" s="483">
        <f>inputPrYr!B40</f>
        <v>0</v>
      </c>
      <c r="C43" s="455" t="str">
        <f t="shared" si="0"/>
        <v>Actual for 2011</v>
      </c>
      <c r="D43" s="455" t="str">
        <f t="shared" si="0"/>
        <v>Estimate for 2012</v>
      </c>
      <c r="E43" s="303" t="str">
        <f t="shared" si="0"/>
        <v>Year for 2013</v>
      </c>
      <c r="G43" s="672" t="str">
        <f>summ!H39</f>
        <v>  </v>
      </c>
      <c r="H43" s="669" t="str">
        <f>CONCATENATE("",E1," Fund Mill Rate")</f>
        <v>2013 Fund Mill Rate</v>
      </c>
      <c r="I43" s="670"/>
      <c r="J43" s="671"/>
    </row>
    <row r="44" spans="2:10" ht="15.75">
      <c r="B44" s="148" t="s">
        <v>284</v>
      </c>
      <c r="C44" s="452"/>
      <c r="D44" s="456">
        <f>C74</f>
        <v>0</v>
      </c>
      <c r="E44" s="266">
        <f>D74</f>
        <v>0</v>
      </c>
      <c r="G44" s="673" t="str">
        <f>summ!E39</f>
        <v>  </v>
      </c>
      <c r="H44" s="669" t="str">
        <f>CONCATENATE("",E1-1," Fund Mill Rate")</f>
        <v>2012 Fund Mill Rate</v>
      </c>
      <c r="I44" s="670"/>
      <c r="J44" s="671"/>
    </row>
    <row r="45" spans="2:10" ht="15.75">
      <c r="B45" s="304" t="s">
        <v>286</v>
      </c>
      <c r="C45" s="306"/>
      <c r="D45" s="306"/>
      <c r="E45" s="127"/>
      <c r="G45" s="674">
        <f>summ!H61</f>
        <v>42.760999999999996</v>
      </c>
      <c r="H45" s="669" t="str">
        <f>CONCATENATE("Total ",E1," Mill Rate")</f>
        <v>Total 2013 Mill Rate</v>
      </c>
      <c r="I45" s="670"/>
      <c r="J45" s="671"/>
    </row>
    <row r="46" spans="2:10" ht="15.75">
      <c r="B46" s="148" t="s">
        <v>161</v>
      </c>
      <c r="C46" s="452"/>
      <c r="D46" s="456">
        <f>IF(inputPrYr!H40&gt;0,inputPrYr!H40,inputPrYr!E40)</f>
        <v>0</v>
      </c>
      <c r="E46" s="338" t="s">
        <v>148</v>
      </c>
      <c r="G46" s="673">
        <f>summ!E61</f>
        <v>43.934999999999995</v>
      </c>
      <c r="H46" s="675" t="str">
        <f>CONCATENATE("Total ",E1-1," Mill Rate")</f>
        <v>Total 2012 Mill Rate</v>
      </c>
      <c r="I46" s="676"/>
      <c r="J46" s="677"/>
    </row>
    <row r="47" spans="2:10" ht="15.75">
      <c r="B47" s="148" t="s">
        <v>162</v>
      </c>
      <c r="C47" s="452"/>
      <c r="D47" s="452"/>
      <c r="E47" s="112"/>
      <c r="G47" s="1"/>
      <c r="H47" s="1"/>
      <c r="I47" s="1"/>
      <c r="J47" s="1"/>
    </row>
    <row r="48" spans="2:10" ht="15.75">
      <c r="B48" s="148" t="s">
        <v>163</v>
      </c>
      <c r="C48" s="452"/>
      <c r="D48" s="452"/>
      <c r="E48" s="266" t="str">
        <f>mvalloc!E31</f>
        <v>  </v>
      </c>
      <c r="G48" s="1"/>
      <c r="H48" s="1"/>
      <c r="I48" s="1"/>
      <c r="J48" s="1"/>
    </row>
    <row r="49" spans="2:10" ht="15.75">
      <c r="B49" s="148" t="s">
        <v>164</v>
      </c>
      <c r="C49" s="452"/>
      <c r="D49" s="452"/>
      <c r="E49" s="266" t="str">
        <f>mvalloc!F31</f>
        <v>  </v>
      </c>
      <c r="G49" s="1"/>
      <c r="H49" s="1"/>
      <c r="I49" s="1"/>
      <c r="J49" s="1"/>
    </row>
    <row r="50" spans="2:10" ht="15.75">
      <c r="B50" s="306" t="s">
        <v>233</v>
      </c>
      <c r="C50" s="452"/>
      <c r="D50" s="452"/>
      <c r="E50" s="266" t="str">
        <f>mvalloc!G31</f>
        <v>  </v>
      </c>
      <c r="G50" s="1"/>
      <c r="H50" s="1"/>
      <c r="I50" s="1"/>
      <c r="J50" s="1"/>
    </row>
    <row r="51" spans="2:10" ht="15.75">
      <c r="B51" s="319"/>
      <c r="C51" s="452"/>
      <c r="D51" s="452"/>
      <c r="E51" s="112"/>
      <c r="G51" s="1"/>
      <c r="H51" s="1"/>
      <c r="I51" s="1"/>
      <c r="J51" s="1"/>
    </row>
    <row r="52" spans="2:10" ht="15.75">
      <c r="B52" s="319"/>
      <c r="C52" s="452"/>
      <c r="D52" s="452"/>
      <c r="E52" s="112"/>
      <c r="G52" s="1"/>
      <c r="H52" s="1"/>
      <c r="I52" s="1"/>
      <c r="J52" s="1"/>
    </row>
    <row r="53" spans="2:10" ht="15.75">
      <c r="B53" s="319"/>
      <c r="C53" s="452"/>
      <c r="D53" s="452"/>
      <c r="E53" s="112"/>
      <c r="G53" s="1"/>
      <c r="H53" s="1"/>
      <c r="I53" s="1"/>
      <c r="J53" s="1"/>
    </row>
    <row r="54" spans="2:10" ht="15.75">
      <c r="B54" s="319"/>
      <c r="C54" s="452"/>
      <c r="D54" s="452"/>
      <c r="E54" s="112"/>
      <c r="G54" s="1"/>
      <c r="H54" s="1"/>
      <c r="I54" s="1"/>
      <c r="J54" s="1"/>
    </row>
    <row r="55" spans="2:10" ht="15.75">
      <c r="B55" s="319"/>
      <c r="C55" s="452"/>
      <c r="D55" s="452"/>
      <c r="E55" s="112"/>
      <c r="G55" s="1"/>
      <c r="H55" s="1"/>
      <c r="I55" s="1"/>
      <c r="J55" s="1"/>
    </row>
    <row r="56" spans="2:10" ht="15.75">
      <c r="B56" s="319"/>
      <c r="C56" s="452"/>
      <c r="D56" s="452"/>
      <c r="E56" s="112"/>
      <c r="G56" s="1"/>
      <c r="H56" s="1"/>
      <c r="I56" s="1"/>
      <c r="J56" s="1"/>
    </row>
    <row r="57" spans="2:10" ht="15.75">
      <c r="B57" s="309" t="s">
        <v>165</v>
      </c>
      <c r="C57" s="452"/>
      <c r="D57" s="452"/>
      <c r="E57" s="112"/>
      <c r="G57" s="1"/>
      <c r="H57" s="1"/>
      <c r="I57" s="1"/>
      <c r="J57" s="1"/>
    </row>
    <row r="58" spans="2:10" ht="15.75">
      <c r="B58" s="310" t="s">
        <v>75</v>
      </c>
      <c r="C58" s="452"/>
      <c r="D58" s="452"/>
      <c r="E58" s="112"/>
      <c r="G58" s="1"/>
      <c r="H58" s="1"/>
      <c r="I58" s="1"/>
      <c r="J58" s="1"/>
    </row>
    <row r="59" spans="2:10" ht="15.75">
      <c r="B59" s="310" t="s">
        <v>684</v>
      </c>
      <c r="C59" s="453">
        <f>IF(C60*0.1&lt;C58,"Exceed 10% Rule","")</f>
      </c>
      <c r="D59" s="453">
        <f>IF(D60*0.1&lt;D58,"Exceed 10% Rule","")</f>
      </c>
      <c r="E59" s="345">
        <f>IF(E60*0.1+E80&lt;E58,"Exceed 10% Rule","")</f>
      </c>
      <c r="G59" s="1"/>
      <c r="H59" s="1"/>
      <c r="I59" s="1"/>
      <c r="J59" s="1"/>
    </row>
    <row r="60" spans="2:10" ht="15.75">
      <c r="B60" s="312" t="s">
        <v>166</v>
      </c>
      <c r="C60" s="454">
        <f>SUM(C46:C58)</f>
        <v>0</v>
      </c>
      <c r="D60" s="454">
        <f>SUM(D46:D58)</f>
        <v>0</v>
      </c>
      <c r="E60" s="353">
        <f>SUM(E46:E58)</f>
        <v>0</v>
      </c>
      <c r="G60" s="1"/>
      <c r="H60" s="1"/>
      <c r="I60" s="1"/>
      <c r="J60" s="1"/>
    </row>
    <row r="61" spans="2:10" ht="15.75">
      <c r="B61" s="312" t="s">
        <v>167</v>
      </c>
      <c r="C61" s="454">
        <f>C44+C60</f>
        <v>0</v>
      </c>
      <c r="D61" s="454">
        <f>D44+D60</f>
        <v>0</v>
      </c>
      <c r="E61" s="353">
        <f>E44+E60</f>
        <v>0</v>
      </c>
      <c r="G61" s="1"/>
      <c r="H61" s="1"/>
      <c r="I61" s="1"/>
      <c r="J61" s="1"/>
    </row>
    <row r="62" spans="2:10" ht="15.75">
      <c r="B62" s="148" t="s">
        <v>170</v>
      </c>
      <c r="C62" s="310"/>
      <c r="D62" s="310"/>
      <c r="E62" s="108"/>
      <c r="G62" s="1"/>
      <c r="H62" s="1"/>
      <c r="I62" s="1"/>
      <c r="J62" s="1"/>
    </row>
    <row r="63" spans="2:10" ht="15.75">
      <c r="B63" s="319"/>
      <c r="C63" s="452"/>
      <c r="D63" s="452"/>
      <c r="E63" s="112"/>
      <c r="G63" s="1"/>
      <c r="H63" s="1"/>
      <c r="I63" s="1"/>
      <c r="J63" s="1"/>
    </row>
    <row r="64" spans="2:10" ht="15.75">
      <c r="B64" s="319"/>
      <c r="C64" s="452"/>
      <c r="D64" s="452"/>
      <c r="E64" s="112"/>
      <c r="G64" s="782" t="str">
        <f>CONCATENATE("Desired Carryover Into ",E1+1,"")</f>
        <v>Desired Carryover Into 2014</v>
      </c>
      <c r="H64" s="783"/>
      <c r="I64" s="783"/>
      <c r="J64" s="784"/>
    </row>
    <row r="65" spans="2:10" ht="15.75">
      <c r="B65" s="319"/>
      <c r="C65" s="452"/>
      <c r="D65" s="452"/>
      <c r="E65" s="112"/>
      <c r="G65" s="650"/>
      <c r="H65" s="651"/>
      <c r="I65" s="652"/>
      <c r="J65" s="653"/>
    </row>
    <row r="66" spans="2:10" ht="15.75">
      <c r="B66" s="319"/>
      <c r="C66" s="452"/>
      <c r="D66" s="452"/>
      <c r="E66" s="112"/>
      <c r="G66" s="654" t="s">
        <v>690</v>
      </c>
      <c r="H66" s="652"/>
      <c r="I66" s="652"/>
      <c r="J66" s="655">
        <v>0</v>
      </c>
    </row>
    <row r="67" spans="2:10" ht="15.75">
      <c r="B67" s="319"/>
      <c r="C67" s="452"/>
      <c r="D67" s="452"/>
      <c r="E67" s="112"/>
      <c r="G67" s="650" t="s">
        <v>691</v>
      </c>
      <c r="H67" s="651"/>
      <c r="I67" s="651"/>
      <c r="J67" s="656">
        <f>IF(J66=0,"",ROUND((J66+E80-G79)/inputOth!E6*1000,3)-G84)</f>
      </c>
    </row>
    <row r="68" spans="2:10" ht="15.75">
      <c r="B68" s="319"/>
      <c r="C68" s="452"/>
      <c r="D68" s="452"/>
      <c r="E68" s="112"/>
      <c r="G68" s="657" t="str">
        <f>CONCATENATE("",E1," Tot Exp/Non-Appr Must Be:")</f>
        <v>2013 Tot Exp/Non-Appr Must Be:</v>
      </c>
      <c r="H68" s="658"/>
      <c r="I68" s="659"/>
      <c r="J68" s="660">
        <f>IF(J66&gt;0,IF(E77&lt;E61,IF(J66=G79,E77,((J66-G79)*(1-D79))+E61),E77+(J66-G79)),0)</f>
        <v>0</v>
      </c>
    </row>
    <row r="69" spans="2:10" ht="15.75">
      <c r="B69" s="319"/>
      <c r="C69" s="452"/>
      <c r="D69" s="452"/>
      <c r="E69" s="112"/>
      <c r="G69" s="661" t="s">
        <v>842</v>
      </c>
      <c r="H69" s="662"/>
      <c r="I69" s="662"/>
      <c r="J69" s="663">
        <f>IF(J66&gt;0,J68-E77,0)</f>
        <v>0</v>
      </c>
    </row>
    <row r="70" spans="2:10" ht="15.75">
      <c r="B70" s="310" t="s">
        <v>77</v>
      </c>
      <c r="C70" s="452"/>
      <c r="D70" s="452"/>
      <c r="E70" s="120">
        <f>Nhood!E30</f>
      </c>
      <c r="G70" s="1"/>
      <c r="H70" s="1"/>
      <c r="I70" s="1"/>
      <c r="J70" s="1"/>
    </row>
    <row r="71" spans="2:10" ht="15.75">
      <c r="B71" s="310" t="s">
        <v>75</v>
      </c>
      <c r="C71" s="452"/>
      <c r="D71" s="452"/>
      <c r="E71" s="112"/>
      <c r="G71" s="782" t="str">
        <f>CONCATENATE("Projected Carryover Into ",E1+1,"")</f>
        <v>Projected Carryover Into 2014</v>
      </c>
      <c r="H71" s="791"/>
      <c r="I71" s="791"/>
      <c r="J71" s="790"/>
    </row>
    <row r="72" spans="2:10" ht="15.75">
      <c r="B72" s="310" t="s">
        <v>683</v>
      </c>
      <c r="C72" s="453">
        <f>IF(C73*0.1&lt;C71,"Exceed 10% Rule","")</f>
      </c>
      <c r="D72" s="453">
        <f>IF(D73*0.1&lt;D71,"Exceed 10% Rule","")</f>
      </c>
      <c r="E72" s="345">
        <f>IF(E73*0.1&lt;E71,"Exceed 10% Rule","")</f>
      </c>
      <c r="G72" s="688"/>
      <c r="H72" s="651"/>
      <c r="I72" s="651"/>
      <c r="J72" s="683"/>
    </row>
    <row r="73" spans="2:10" ht="15.75">
      <c r="B73" s="312" t="s">
        <v>171</v>
      </c>
      <c r="C73" s="454">
        <f>SUM(C63:C71)</f>
        <v>0</v>
      </c>
      <c r="D73" s="454">
        <f>SUM(D63:D71)</f>
        <v>0</v>
      </c>
      <c r="E73" s="353">
        <f>SUM(E63:E71)</f>
        <v>0</v>
      </c>
      <c r="G73" s="679">
        <f>D74</f>
        <v>0</v>
      </c>
      <c r="H73" s="669" t="str">
        <f>CONCATENATE("",E1-1," Ending Cash Balance (est.)")</f>
        <v>2012 Ending Cash Balance (est.)</v>
      </c>
      <c r="I73" s="680"/>
      <c r="J73" s="683"/>
    </row>
    <row r="74" spans="2:10" ht="15.75">
      <c r="B74" s="148" t="s">
        <v>285</v>
      </c>
      <c r="C74" s="457">
        <f>C61-C73</f>
        <v>0</v>
      </c>
      <c r="D74" s="457">
        <f>D61-D73</f>
        <v>0</v>
      </c>
      <c r="E74" s="338" t="s">
        <v>148</v>
      </c>
      <c r="G74" s="679">
        <f>E60</f>
        <v>0</v>
      </c>
      <c r="H74" s="652" t="str">
        <f>CONCATENATE("",E1," Non-AV Receipts (est.)")</f>
        <v>2013 Non-AV Receipts (est.)</v>
      </c>
      <c r="I74" s="680"/>
      <c r="J74" s="683"/>
    </row>
    <row r="75" spans="2:11" ht="15.75">
      <c r="B75" s="288" t="str">
        <f>CONCATENATE("",E$1-2,"/",E$1-1," Budget Authority Amount:")</f>
        <v>2011/2012 Budget Authority Amount:</v>
      </c>
      <c r="C75" s="280">
        <f>inputOth!B54</f>
        <v>0</v>
      </c>
      <c r="D75" s="280">
        <f>inputPrYr!D40</f>
        <v>0</v>
      </c>
      <c r="E75" s="338" t="s">
        <v>148</v>
      </c>
      <c r="F75" s="321"/>
      <c r="G75" s="681">
        <f>IF(E79&gt;0,E78,E80)</f>
        <v>0</v>
      </c>
      <c r="H75" s="652" t="str">
        <f>CONCATENATE("",E1," Ad Valorem Tax (est.)")</f>
        <v>2013 Ad Valorem Tax (est.)</v>
      </c>
      <c r="I75" s="680"/>
      <c r="J75" s="683"/>
      <c r="K75" s="666">
        <f>IF(G75=E80,"","Note: Does not include Delinquent Taxes")</f>
      </c>
    </row>
    <row r="76" spans="2:10" ht="15.75">
      <c r="B76" s="288"/>
      <c r="C76" s="772" t="s">
        <v>687</v>
      </c>
      <c r="D76" s="773"/>
      <c r="E76" s="112"/>
      <c r="F76" s="502">
        <f>IF(E73/0.95-E73&lt;E76,"Exceeds 5%","")</f>
      </c>
      <c r="G76" s="689">
        <f>SUM(G73:G75)</f>
        <v>0</v>
      </c>
      <c r="H76" s="652" t="str">
        <f>CONCATENATE("Total ",E1," Resources Available")</f>
        <v>Total 2013 Resources Available</v>
      </c>
      <c r="I76" s="690"/>
      <c r="J76" s="683"/>
    </row>
    <row r="77" spans="2:10" ht="15.75">
      <c r="B77" s="505" t="str">
        <f>CONCATENATE(C93,"     ",D93)</f>
        <v>     </v>
      </c>
      <c r="C77" s="774" t="s">
        <v>688</v>
      </c>
      <c r="D77" s="775"/>
      <c r="E77" s="266">
        <f>E73+E76</f>
        <v>0</v>
      </c>
      <c r="G77" s="691"/>
      <c r="H77" s="692"/>
      <c r="I77" s="651"/>
      <c r="J77" s="683"/>
    </row>
    <row r="78" spans="2:10" ht="15.75">
      <c r="B78" s="505" t="str">
        <f>CONCATENATE(C94,"     ",D94)</f>
        <v>     </v>
      </c>
      <c r="C78" s="322"/>
      <c r="D78" s="240" t="s">
        <v>172</v>
      </c>
      <c r="E78" s="120">
        <f>IF(E77-E61&gt;0,E77-E61,0)</f>
        <v>0</v>
      </c>
      <c r="G78" s="693">
        <f>ROUND(C73*0.05+C73,0)</f>
        <v>0</v>
      </c>
      <c r="H78" s="652" t="str">
        <f>CONCATENATE("Less ",E1-2," Expenditures + 5%")</f>
        <v>Less 2011 Expenditures + 5%</v>
      </c>
      <c r="I78" s="690"/>
      <c r="J78" s="683"/>
    </row>
    <row r="79" spans="2:10" ht="15.75">
      <c r="B79" s="240"/>
      <c r="C79" s="504" t="s">
        <v>689</v>
      </c>
      <c r="D79" s="649">
        <f>inputOth!$E$23</f>
        <v>0.03</v>
      </c>
      <c r="E79" s="266">
        <f>ROUND(IF(D79&gt;0,($E$78*D79),0),0)</f>
        <v>0</v>
      </c>
      <c r="G79" s="694">
        <f>G76-G78</f>
        <v>0</v>
      </c>
      <c r="H79" s="685" t="str">
        <f>CONCATENATE("Projected ",E1+1," carryover (est.)")</f>
        <v>Projected 2014 carryover (est.)</v>
      </c>
      <c r="I79" s="695"/>
      <c r="J79" s="696"/>
    </row>
    <row r="80" spans="2:10" ht="15.75">
      <c r="B80" s="85"/>
      <c r="C80" s="780" t="str">
        <f>CONCATENATE("Amount of  ",$E$1-1," Ad Valorem Tax")</f>
        <v>Amount of  2012 Ad Valorem Tax</v>
      </c>
      <c r="D80" s="781"/>
      <c r="E80" s="349">
        <f>E78+E79</f>
        <v>0</v>
      </c>
      <c r="G80" s="1"/>
      <c r="H80" s="1"/>
      <c r="I80" s="1"/>
      <c r="J80" s="1"/>
    </row>
    <row r="81" spans="2:10" ht="15.75">
      <c r="B81" s="288" t="s">
        <v>194</v>
      </c>
      <c r="C81" s="350"/>
      <c r="D81" s="85"/>
      <c r="E81" s="85"/>
      <c r="G81" s="785" t="s">
        <v>843</v>
      </c>
      <c r="H81" s="786"/>
      <c r="I81" s="786"/>
      <c r="J81" s="787"/>
    </row>
    <row r="82" spans="7:10" ht="15.75">
      <c r="G82" s="668"/>
      <c r="H82" s="669"/>
      <c r="I82" s="670"/>
      <c r="J82" s="671"/>
    </row>
    <row r="83" spans="7:10" ht="15.75">
      <c r="G83" s="672" t="str">
        <f>summ!H40</f>
        <v>  </v>
      </c>
      <c r="H83" s="669" t="str">
        <f>CONCATENATE("",E1," Fund Mill Rate")</f>
        <v>2013 Fund Mill Rate</v>
      </c>
      <c r="I83" s="670"/>
      <c r="J83" s="671"/>
    </row>
    <row r="84" spans="7:10" ht="15.75">
      <c r="G84" s="673" t="str">
        <f>summ!E40</f>
        <v>  </v>
      </c>
      <c r="H84" s="669" t="str">
        <f>CONCATENATE("",E1-1," Fund Mill Rate")</f>
        <v>2012 Fund Mill Rate</v>
      </c>
      <c r="I84" s="670"/>
      <c r="J84" s="671"/>
    </row>
    <row r="85" spans="7:10" ht="15.75">
      <c r="G85" s="674">
        <f>summ!H61</f>
        <v>42.760999999999996</v>
      </c>
      <c r="H85" s="669" t="str">
        <f>CONCATENATE("Total ",E1," Mill Rate")</f>
        <v>Total 2013 Mill Rate</v>
      </c>
      <c r="I85" s="670"/>
      <c r="J85" s="671"/>
    </row>
    <row r="86" spans="7:10" ht="15.75">
      <c r="G86" s="673">
        <f>summ!E61</f>
        <v>43.934999999999995</v>
      </c>
      <c r="H86" s="675" t="str">
        <f>CONCATENATE("Total ",E1-1," Mill Rate")</f>
        <v>Total 2012 Mill Rate</v>
      </c>
      <c r="I86" s="676"/>
      <c r="J86" s="677"/>
    </row>
    <row r="91" spans="3:4" ht="15.75" hidden="1">
      <c r="C91" s="72">
        <f>IF(C33&gt;C35,"See Tab A","")</f>
      </c>
      <c r="D91" s="72">
        <f>IF(D33&gt;D35,"See Tab C","")</f>
      </c>
    </row>
    <row r="92" spans="3:4" ht="15.75" hidden="1">
      <c r="C92" s="72">
        <f>IF(C34&lt;0,"See Tab B","")</f>
      </c>
      <c r="D92" s="72">
        <f>IF(D34&lt;0,"See Tab D","")</f>
      </c>
    </row>
    <row r="93" spans="3:4" ht="15.75" hidden="1">
      <c r="C93" s="72">
        <f>IF(C73&gt;C75,"See Tab A","")</f>
      </c>
      <c r="D93" s="72">
        <f>IF(D73&gt;D75,"See Tab C","")</f>
      </c>
    </row>
    <row r="94" spans="3:4" ht="15.75" hidden="1">
      <c r="C94" s="72">
        <f>IF(C74&lt;0,"See Tab B","")</f>
      </c>
      <c r="D94" s="72">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1">
    <cfRule type="cellIs" priority="3" dxfId="408" operator="greaterThan" stopIfTrue="1">
      <formula>$E$73*0.1</formula>
    </cfRule>
  </conditionalFormatting>
  <conditionalFormatting sqref="E76">
    <cfRule type="cellIs" priority="4" dxfId="408" operator="greaterThan" stopIfTrue="1">
      <formula>$E$73/0.95-$E$73</formula>
    </cfRule>
  </conditionalFormatting>
  <conditionalFormatting sqref="E36">
    <cfRule type="cellIs" priority="5" dxfId="408" operator="greaterThan" stopIfTrue="1">
      <formula>$E$33/0.95-$E$33</formula>
    </cfRule>
  </conditionalFormatting>
  <conditionalFormatting sqref="E31">
    <cfRule type="cellIs" priority="6" dxfId="408" operator="greaterThan" stopIfTrue="1">
      <formula>$E$33*0.1</formula>
    </cfRule>
  </conditionalFormatting>
  <conditionalFormatting sqref="C74 C34">
    <cfRule type="cellIs" priority="7" dxfId="2" operator="lessThan" stopIfTrue="1">
      <formula>0</formula>
    </cfRule>
  </conditionalFormatting>
  <conditionalFormatting sqref="C73">
    <cfRule type="cellIs" priority="8" dxfId="2" operator="greaterThan" stopIfTrue="1">
      <formula>$C$75</formula>
    </cfRule>
  </conditionalFormatting>
  <conditionalFormatting sqref="D73">
    <cfRule type="cellIs" priority="9" dxfId="2" operator="greaterThan" stopIfTrue="1">
      <formula>$D$75</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E58">
    <cfRule type="cellIs" priority="12" dxfId="408" operator="greaterThan" stopIfTrue="1">
      <formula>$E$60*0.1+E80</formula>
    </cfRule>
  </conditionalFormatting>
  <conditionalFormatting sqref="C58">
    <cfRule type="cellIs" priority="13" dxfId="2" operator="greaterThan" stopIfTrue="1">
      <formula>$C$60*0.1</formula>
    </cfRule>
  </conditionalFormatting>
  <conditionalFormatting sqref="D58">
    <cfRule type="cellIs" priority="14" dxfId="2" operator="greaterThan" stopIfTrue="1">
      <formula>$D$60*0.1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408"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59"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B1" sqref="B1"/>
    </sheetView>
  </sheetViews>
  <sheetFormatPr defaultColWidth="8.796875" defaultRowHeight="15"/>
  <cols>
    <col min="1" max="1" width="2.3984375" style="72" customWidth="1"/>
    <col min="2" max="2" width="31.09765625" style="72" customWidth="1"/>
    <col min="3" max="4" width="15.796875" style="72" customWidth="1"/>
    <col min="5" max="5" width="16.09765625" style="72" customWidth="1"/>
    <col min="6"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243</v>
      </c>
      <c r="C3" s="334"/>
      <c r="D3" s="334"/>
      <c r="E3" s="335"/>
    </row>
    <row r="4" spans="2:5" ht="15.75">
      <c r="B4" s="85"/>
      <c r="C4" s="328"/>
      <c r="D4" s="328"/>
      <c r="E4" s="328"/>
    </row>
    <row r="5" spans="2:5" ht="15.75">
      <c r="B5" s="84" t="s">
        <v>160</v>
      </c>
      <c r="C5" s="324" t="str">
        <f>general!C4</f>
        <v>Prior Year </v>
      </c>
      <c r="D5" s="215" t="str">
        <f>general!D4</f>
        <v>Current Year </v>
      </c>
      <c r="E5" s="215" t="str">
        <f>general!E4</f>
        <v>Proposed Budget </v>
      </c>
    </row>
    <row r="6" spans="2:5" ht="15.75">
      <c r="B6" s="484" t="str">
        <f>inputPrYr!B43</f>
        <v>Detention</v>
      </c>
      <c r="C6" s="316" t="str">
        <f>general!C5</f>
        <v>Actual for 2011</v>
      </c>
      <c r="D6" s="316" t="str">
        <f>general!D5</f>
        <v>Estimate for 2012</v>
      </c>
      <c r="E6" s="303" t="str">
        <f>general!E5</f>
        <v>Year for 2013</v>
      </c>
    </row>
    <row r="7" spans="2:5" ht="15.75">
      <c r="B7" s="148" t="s">
        <v>284</v>
      </c>
      <c r="C7" s="112">
        <v>432</v>
      </c>
      <c r="D7" s="266">
        <f>C32</f>
        <v>80167</v>
      </c>
      <c r="E7" s="266">
        <f>D32</f>
        <v>123326</v>
      </c>
    </row>
    <row r="8" spans="2:5" ht="15.75">
      <c r="B8" s="337" t="s">
        <v>286</v>
      </c>
      <c r="C8" s="108"/>
      <c r="D8" s="108"/>
      <c r="E8" s="108"/>
    </row>
    <row r="9" spans="2:5" ht="15.75">
      <c r="B9" s="319" t="s">
        <v>1015</v>
      </c>
      <c r="C9" s="112">
        <v>881101</v>
      </c>
      <c r="D9" s="112">
        <v>725000</v>
      </c>
      <c r="E9" s="112">
        <f>761500+7500</f>
        <v>769000</v>
      </c>
    </row>
    <row r="10" spans="2:5" ht="15.75">
      <c r="B10" s="319" t="s">
        <v>1016</v>
      </c>
      <c r="C10" s="112">
        <v>12673</v>
      </c>
      <c r="D10" s="112">
        <v>5000</v>
      </c>
      <c r="E10" s="112">
        <v>55000</v>
      </c>
    </row>
    <row r="11" spans="2:5" ht="15.75">
      <c r="B11" s="319" t="s">
        <v>1017</v>
      </c>
      <c r="C11" s="112">
        <v>200000</v>
      </c>
      <c r="D11" s="112">
        <v>450000</v>
      </c>
      <c r="E11" s="112">
        <v>250000</v>
      </c>
    </row>
    <row r="12" spans="2:5" ht="15.75">
      <c r="B12" s="319" t="s">
        <v>1018</v>
      </c>
      <c r="C12" s="112">
        <v>7116</v>
      </c>
      <c r="D12" s="112">
        <v>5000</v>
      </c>
      <c r="E12" s="112">
        <v>0</v>
      </c>
    </row>
    <row r="13" spans="2:5" ht="15.75">
      <c r="B13" s="319" t="s">
        <v>1054</v>
      </c>
      <c r="C13" s="112">
        <v>2898</v>
      </c>
      <c r="D13" s="112">
        <v>0</v>
      </c>
      <c r="E13" s="112">
        <v>500</v>
      </c>
    </row>
    <row r="14" spans="2:5" ht="15.75">
      <c r="B14" s="309" t="s">
        <v>165</v>
      </c>
      <c r="C14" s="112">
        <v>0</v>
      </c>
      <c r="D14" s="112">
        <v>0</v>
      </c>
      <c r="E14" s="112">
        <v>0</v>
      </c>
    </row>
    <row r="15" spans="2:5" ht="15.75">
      <c r="B15" s="310" t="s">
        <v>75</v>
      </c>
      <c r="C15" s="112">
        <v>7850</v>
      </c>
      <c r="D15" s="305"/>
      <c r="E15" s="305"/>
    </row>
    <row r="16" spans="2:5" ht="15.75">
      <c r="B16" s="310" t="s">
        <v>684</v>
      </c>
      <c r="C16" s="480">
        <f>IF(C17*0.1&lt;C15,"Exceed 10% Rule","")</f>
      </c>
      <c r="D16" s="311">
        <f>IF(D17*0.1&lt;D15,"Exceed 10% Rule","")</f>
      </c>
      <c r="E16" s="311">
        <f>IF(E17*0.1&lt;E15,"Exceed 10% Rule","")</f>
      </c>
    </row>
    <row r="17" spans="2:5" ht="15.75">
      <c r="B17" s="312" t="s">
        <v>166</v>
      </c>
      <c r="C17" s="353">
        <f>SUM(C9:C15)</f>
        <v>1111638</v>
      </c>
      <c r="D17" s="353">
        <f>SUM(D9:D15)</f>
        <v>1185000</v>
      </c>
      <c r="E17" s="353">
        <f>SUM(E9:E15)</f>
        <v>1074500</v>
      </c>
    </row>
    <row r="18" spans="2:5" ht="15.75">
      <c r="B18" s="312" t="s">
        <v>167</v>
      </c>
      <c r="C18" s="353">
        <f>C17+C7</f>
        <v>1112070</v>
      </c>
      <c r="D18" s="353">
        <f>D17+D7</f>
        <v>1265167</v>
      </c>
      <c r="E18" s="353">
        <f>E17+E7</f>
        <v>1197826</v>
      </c>
    </row>
    <row r="19" spans="2:5" ht="15.75">
      <c r="B19" s="148" t="s">
        <v>170</v>
      </c>
      <c r="C19" s="266"/>
      <c r="D19" s="266"/>
      <c r="E19" s="266"/>
    </row>
    <row r="20" spans="2:5" ht="15.75">
      <c r="B20" s="319" t="s">
        <v>980</v>
      </c>
      <c r="C20" s="112">
        <v>416062</v>
      </c>
      <c r="D20" s="112">
        <v>361578</v>
      </c>
      <c r="E20" s="112">
        <v>455517</v>
      </c>
    </row>
    <row r="21" spans="2:5" ht="15.75">
      <c r="B21" s="319" t="s">
        <v>1010</v>
      </c>
      <c r="C21" s="112">
        <v>224953</v>
      </c>
      <c r="D21" s="112">
        <v>108300</v>
      </c>
      <c r="E21" s="112">
        <v>123300</v>
      </c>
    </row>
    <row r="22" spans="2:5" ht="15.75">
      <c r="B22" s="319" t="s">
        <v>995</v>
      </c>
      <c r="C22" s="112">
        <v>53993</v>
      </c>
      <c r="D22" s="112">
        <v>180600</v>
      </c>
      <c r="E22" s="112">
        <v>57000</v>
      </c>
    </row>
    <row r="23" spans="2:5" ht="15.75">
      <c r="B23" s="319" t="s">
        <v>996</v>
      </c>
      <c r="C23" s="112">
        <v>204663</v>
      </c>
      <c r="D23" s="112">
        <v>11500</v>
      </c>
      <c r="E23" s="112">
        <v>15000</v>
      </c>
    </row>
    <row r="24" spans="2:5" ht="15.75">
      <c r="B24" s="319" t="s">
        <v>1014</v>
      </c>
      <c r="C24" s="112">
        <v>2047</v>
      </c>
      <c r="D24" s="112">
        <v>4000</v>
      </c>
      <c r="E24" s="112">
        <v>7000</v>
      </c>
    </row>
    <row r="25" spans="2:5" ht="15.75">
      <c r="B25" s="319" t="s">
        <v>1112</v>
      </c>
      <c r="C25" s="112">
        <v>4833</v>
      </c>
      <c r="D25" s="112">
        <v>387858</v>
      </c>
      <c r="E25" s="112">
        <v>400000</v>
      </c>
    </row>
    <row r="26" spans="2:5" ht="15.75">
      <c r="B26" s="319" t="s">
        <v>1019</v>
      </c>
      <c r="C26" s="112">
        <v>125352</v>
      </c>
      <c r="D26" s="112">
        <v>88005</v>
      </c>
      <c r="E26" s="112">
        <v>140000</v>
      </c>
    </row>
    <row r="27" spans="2:5" ht="15.75">
      <c r="B27" s="319"/>
      <c r="C27" s="112"/>
      <c r="D27" s="112"/>
      <c r="E27" s="112"/>
    </row>
    <row r="28" spans="2:5" ht="15.75">
      <c r="B28" s="319"/>
      <c r="C28" s="112"/>
      <c r="D28" s="112"/>
      <c r="E28" s="112"/>
    </row>
    <row r="29" spans="2:5" ht="15.75">
      <c r="B29" s="310" t="s">
        <v>75</v>
      </c>
      <c r="C29" s="112"/>
      <c r="D29" s="305"/>
      <c r="E29" s="305"/>
    </row>
    <row r="30" spans="2:5" ht="15.75">
      <c r="B30" s="310" t="s">
        <v>683</v>
      </c>
      <c r="C30" s="480">
        <f>IF(C31*0.1&lt;C29,"Exceed 10% Rule","")</f>
      </c>
      <c r="D30" s="311">
        <f>IF(D31*0.1&lt;D29,"Exceed 10% Rule","")</f>
      </c>
      <c r="E30" s="311">
        <f>IF(E31*0.1&lt;E29,"Exceed 10% Rule","")</f>
      </c>
    </row>
    <row r="31" spans="2:5" ht="15.75">
      <c r="B31" s="312" t="s">
        <v>171</v>
      </c>
      <c r="C31" s="353">
        <f>SUM(C20:C29)</f>
        <v>1031903</v>
      </c>
      <c r="D31" s="353">
        <f>SUM(D20:D29)</f>
        <v>1141841</v>
      </c>
      <c r="E31" s="353">
        <f>SUM(E20:E29)</f>
        <v>1197817</v>
      </c>
    </row>
    <row r="32" spans="2:5" ht="15.75">
      <c r="B32" s="148" t="s">
        <v>285</v>
      </c>
      <c r="C32" s="120">
        <f>C18-C31</f>
        <v>80167</v>
      </c>
      <c r="D32" s="120">
        <f>D18-D31</f>
        <v>123326</v>
      </c>
      <c r="E32" s="120">
        <f>E18-E31</f>
        <v>9</v>
      </c>
    </row>
    <row r="33" spans="2:5" ht="15.75">
      <c r="B33" s="288" t="str">
        <f>CONCATENATE("",E$1-2,"/",E$1-1," Budget Authority Amount:")</f>
        <v>2011/2012 Budget Authority Amount:</v>
      </c>
      <c r="C33" s="280">
        <f>inputOth!B55</f>
        <v>1223472</v>
      </c>
      <c r="D33" s="280">
        <f>inputPrYr!D43</f>
        <v>1141841</v>
      </c>
      <c r="E33" s="479">
        <f>IF(E32&lt;0,"See Tab E","")</f>
      </c>
    </row>
    <row r="34" spans="2:5" ht="15.75">
      <c r="B34" s="288"/>
      <c r="C34" s="322">
        <f>IF(C31&gt;C33,"See Tab A","")</f>
      </c>
      <c r="D34" s="322">
        <f>IF(D31&gt;D33,"See Tab C","")</f>
      </c>
      <c r="E34" s="145"/>
    </row>
    <row r="35" spans="2:5" ht="15.75">
      <c r="B35" s="288"/>
      <c r="C35" s="322">
        <f>IF(C32&lt;0,"See Tab B","")</f>
      </c>
      <c r="D35" s="322">
        <f>IF(D32&lt;0,"See Tab D","")</f>
      </c>
      <c r="E35" s="145"/>
    </row>
    <row r="36" spans="2:5" ht="15.75">
      <c r="B36" s="85"/>
      <c r="C36" s="145"/>
      <c r="D36" s="145"/>
      <c r="E36" s="145"/>
    </row>
    <row r="37" spans="2:5" ht="15.75">
      <c r="B37" s="84" t="s">
        <v>160</v>
      </c>
      <c r="C37" s="328"/>
      <c r="D37" s="328"/>
      <c r="E37" s="328"/>
    </row>
    <row r="38" spans="2:5" ht="15.75">
      <c r="B38" s="85"/>
      <c r="C38" s="324" t="str">
        <f aca="true" t="shared" si="0" ref="C38:E39">C5</f>
        <v>Prior Year </v>
      </c>
      <c r="D38" s="215" t="str">
        <f t="shared" si="0"/>
        <v>Current Year </v>
      </c>
      <c r="E38" s="215" t="str">
        <f t="shared" si="0"/>
        <v>Proposed Budget </v>
      </c>
    </row>
    <row r="39" spans="2:5" ht="15.75">
      <c r="B39" s="483" t="str">
        <f>inputPrYr!B44</f>
        <v>Special Alcohol Fund</v>
      </c>
      <c r="C39" s="316" t="str">
        <f t="shared" si="0"/>
        <v>Actual for 2011</v>
      </c>
      <c r="D39" s="316" t="str">
        <f t="shared" si="0"/>
        <v>Estimate for 2012</v>
      </c>
      <c r="E39" s="303" t="str">
        <f t="shared" si="0"/>
        <v>Year for 2013</v>
      </c>
    </row>
    <row r="40" spans="2:5" ht="15.75">
      <c r="B40" s="148" t="s">
        <v>284</v>
      </c>
      <c r="C40" s="112">
        <v>4779</v>
      </c>
      <c r="D40" s="266">
        <f>C63</f>
        <v>1331</v>
      </c>
      <c r="E40" s="266">
        <f>D63</f>
        <v>1144</v>
      </c>
    </row>
    <row r="41" spans="2:5" ht="15.75">
      <c r="B41" s="148" t="s">
        <v>286</v>
      </c>
      <c r="C41" s="108"/>
      <c r="D41" s="108"/>
      <c r="E41" s="108"/>
    </row>
    <row r="42" spans="2:5" ht="15.75">
      <c r="B42" s="319" t="s">
        <v>1020</v>
      </c>
      <c r="C42" s="112">
        <v>1942</v>
      </c>
      <c r="D42" s="112">
        <v>4458</v>
      </c>
      <c r="E42" s="112">
        <v>3000</v>
      </c>
    </row>
    <row r="43" spans="2:5" ht="15.75">
      <c r="B43" s="319"/>
      <c r="C43" s="112"/>
      <c r="D43" s="112"/>
      <c r="E43" s="112"/>
    </row>
    <row r="44" spans="2:5" ht="15.75">
      <c r="B44" s="319"/>
      <c r="C44" s="112"/>
      <c r="D44" s="112"/>
      <c r="E44" s="112"/>
    </row>
    <row r="45" spans="2:5" ht="15.75">
      <c r="B45" s="309" t="s">
        <v>165</v>
      </c>
      <c r="C45" s="112"/>
      <c r="D45" s="112"/>
      <c r="E45" s="112"/>
    </row>
    <row r="46" spans="2:5" ht="15.75">
      <c r="B46" s="310" t="s">
        <v>75</v>
      </c>
      <c r="C46" s="112"/>
      <c r="D46" s="305"/>
      <c r="E46" s="305"/>
    </row>
    <row r="47" spans="2:5" ht="15.75">
      <c r="B47" s="310" t="s">
        <v>684</v>
      </c>
      <c r="C47" s="480">
        <f>IF(C48*0.1&lt;C46,"Exceed 10% Rule","")</f>
      </c>
      <c r="D47" s="311">
        <f>IF(D48*0.1&lt;D46,"Exceed 10% Rule","")</f>
      </c>
      <c r="E47" s="311">
        <f>IF(E48*0.1&lt;E46,"Exceed 10% Rule","")</f>
      </c>
    </row>
    <row r="48" spans="2:5" ht="15.75">
      <c r="B48" s="312" t="s">
        <v>166</v>
      </c>
      <c r="C48" s="353">
        <f>SUM(C42:C46)</f>
        <v>1942</v>
      </c>
      <c r="D48" s="353">
        <f>SUM(D42:D46)</f>
        <v>4458</v>
      </c>
      <c r="E48" s="353">
        <f>SUM(E42:E46)</f>
        <v>3000</v>
      </c>
    </row>
    <row r="49" spans="2:5" ht="15.75">
      <c r="B49" s="312" t="s">
        <v>167</v>
      </c>
      <c r="C49" s="353">
        <f>C40+C48</f>
        <v>6721</v>
      </c>
      <c r="D49" s="353">
        <f>D40+D48</f>
        <v>5789</v>
      </c>
      <c r="E49" s="353">
        <f>E40+E48</f>
        <v>4144</v>
      </c>
    </row>
    <row r="50" spans="2:5" ht="15.75">
      <c r="B50" s="148" t="s">
        <v>170</v>
      </c>
      <c r="C50" s="266"/>
      <c r="D50" s="266"/>
      <c r="E50" s="266"/>
    </row>
    <row r="51" spans="2:5" ht="15.75">
      <c r="B51" s="319" t="s">
        <v>950</v>
      </c>
      <c r="C51" s="112">
        <v>5000</v>
      </c>
      <c r="D51" s="112">
        <v>3645</v>
      </c>
      <c r="E51" s="112">
        <v>3144</v>
      </c>
    </row>
    <row r="52" spans="2:5" ht="15.75">
      <c r="B52" s="319" t="s">
        <v>1021</v>
      </c>
      <c r="C52" s="112">
        <v>390</v>
      </c>
      <c r="D52" s="112">
        <v>1000</v>
      </c>
      <c r="E52" s="112">
        <v>1000</v>
      </c>
    </row>
    <row r="53" spans="2:5" ht="15.75">
      <c r="B53" s="319"/>
      <c r="C53" s="112"/>
      <c r="D53" s="112"/>
      <c r="E53" s="112"/>
    </row>
    <row r="54" spans="2:5" ht="15.75">
      <c r="B54" s="319"/>
      <c r="C54" s="112"/>
      <c r="D54" s="112"/>
      <c r="E54" s="112"/>
    </row>
    <row r="55" spans="2:5" ht="15.75">
      <c r="B55" s="319"/>
      <c r="C55" s="112"/>
      <c r="D55" s="112"/>
      <c r="E55" s="112"/>
    </row>
    <row r="56" spans="2:5" ht="15.75">
      <c r="B56" s="319"/>
      <c r="C56" s="112"/>
      <c r="D56" s="112"/>
      <c r="E56" s="112"/>
    </row>
    <row r="57" spans="2:5" ht="15.75">
      <c r="B57" s="319"/>
      <c r="C57" s="112"/>
      <c r="D57" s="112"/>
      <c r="E57" s="112"/>
    </row>
    <row r="58" spans="2:5" ht="15.75">
      <c r="B58" s="319"/>
      <c r="C58" s="112"/>
      <c r="D58" s="112"/>
      <c r="E58" s="112"/>
    </row>
    <row r="59" spans="2:5" ht="15.75">
      <c r="B59" s="319"/>
      <c r="C59" s="112"/>
      <c r="D59" s="112"/>
      <c r="E59" s="112"/>
    </row>
    <row r="60" spans="2:5" ht="15.75">
      <c r="B60" s="310" t="s">
        <v>75</v>
      </c>
      <c r="C60" s="112"/>
      <c r="D60" s="305"/>
      <c r="E60" s="305"/>
    </row>
    <row r="61" spans="2:5" ht="15.75">
      <c r="B61" s="310" t="s">
        <v>683</v>
      </c>
      <c r="C61" s="480">
        <f>IF(C62*0.1&lt;C60,"Exceed 10% Rule","")</f>
      </c>
      <c r="D61" s="311">
        <f>IF(D62*0.1&lt;D60,"Exceed 10% Rule","")</f>
      </c>
      <c r="E61" s="311">
        <f>IF(E62*0.1&lt;E60,"Exceed 10% Rule","")</f>
      </c>
    </row>
    <row r="62" spans="2:5" ht="15.75">
      <c r="B62" s="312" t="s">
        <v>171</v>
      </c>
      <c r="C62" s="353">
        <f>SUM(C51:C60)</f>
        <v>5390</v>
      </c>
      <c r="D62" s="353">
        <f>SUM(D51:D60)</f>
        <v>4645</v>
      </c>
      <c r="E62" s="353">
        <f>SUM(E51:E60)</f>
        <v>4144</v>
      </c>
    </row>
    <row r="63" spans="2:5" ht="15.75">
      <c r="B63" s="148" t="s">
        <v>285</v>
      </c>
      <c r="C63" s="120">
        <f>C49-C62</f>
        <v>1331</v>
      </c>
      <c r="D63" s="120">
        <f>D49-D62</f>
        <v>1144</v>
      </c>
      <c r="E63" s="120">
        <f>E49-E62</f>
        <v>0</v>
      </c>
    </row>
    <row r="64" spans="2:5" ht="15.75">
      <c r="B64" s="288" t="str">
        <f>CONCATENATE("",E$1-2,"/",E$1-1," Budget Authority Amount:")</f>
        <v>2011/2012 Budget Authority Amount:</v>
      </c>
      <c r="C64" s="280">
        <f>inputOth!B56</f>
        <v>9724</v>
      </c>
      <c r="D64" s="280">
        <f>inputPrYr!D44</f>
        <v>4645</v>
      </c>
      <c r="E64" s="478">
        <f>IF(E63&lt;0,"See Tab E","")</f>
      </c>
    </row>
    <row r="65" spans="2:5" ht="15.75">
      <c r="B65" s="288"/>
      <c r="C65" s="322">
        <f>IF(C62&gt;C64,"See Tab A","")</f>
      </c>
      <c r="D65" s="322">
        <f>IF(D62&gt;D64,"See Tab C","")</f>
      </c>
      <c r="E65" s="85"/>
    </row>
    <row r="66" spans="2:5" ht="15.75">
      <c r="B66" s="288"/>
      <c r="C66" s="322">
        <f>IF(C63&lt;0,"See Tab B","")</f>
      </c>
      <c r="D66" s="322">
        <f>IF(D63&lt;0,"See Tab D","")</f>
      </c>
      <c r="E66" s="85"/>
    </row>
    <row r="67" spans="2:5" ht="15.75">
      <c r="B67" s="85"/>
      <c r="C67" s="85"/>
      <c r="D67" s="85"/>
      <c r="E67" s="85"/>
    </row>
    <row r="68" spans="2:5" ht="15.75">
      <c r="B68" s="288" t="s">
        <v>194</v>
      </c>
      <c r="C68" s="350">
        <v>13</v>
      </c>
      <c r="D68" s="85"/>
      <c r="E68" s="85"/>
    </row>
  </sheetData>
  <sheetProtection/>
  <conditionalFormatting sqref="C29">
    <cfRule type="cellIs" priority="7" dxfId="408" operator="greaterThan" stopIfTrue="1">
      <formula>$C$31*0.1</formula>
    </cfRule>
  </conditionalFormatting>
  <conditionalFormatting sqref="D29">
    <cfRule type="cellIs" priority="8" dxfId="408" operator="greaterThan" stopIfTrue="1">
      <formula>$D$31*0.1</formula>
    </cfRule>
  </conditionalFormatting>
  <conditionalFormatting sqref="E29">
    <cfRule type="cellIs" priority="9" dxfId="408" operator="greaterThan" stopIfTrue="1">
      <formula>$E$31*0.1</formula>
    </cfRule>
  </conditionalFormatting>
  <conditionalFormatting sqref="C15">
    <cfRule type="cellIs" priority="10" dxfId="408" operator="greaterThan" stopIfTrue="1">
      <formula>$C$17*0.1</formula>
    </cfRule>
  </conditionalFormatting>
  <conditionalFormatting sqref="D15">
    <cfRule type="cellIs" priority="11" dxfId="408" operator="greaterThan" stopIfTrue="1">
      <formula>$D$17*0.1</formula>
    </cfRule>
  </conditionalFormatting>
  <conditionalFormatting sqref="E15">
    <cfRule type="cellIs" priority="12" dxfId="408" operator="greaterThan" stopIfTrue="1">
      <formula>$E$17*0.1</formula>
    </cfRule>
  </conditionalFormatting>
  <conditionalFormatting sqref="C46">
    <cfRule type="cellIs" priority="13" dxfId="408" operator="greaterThan" stopIfTrue="1">
      <formula>$C$48*0.1</formula>
    </cfRule>
  </conditionalFormatting>
  <conditionalFormatting sqref="D46">
    <cfRule type="cellIs" priority="14" dxfId="408" operator="greaterThan" stopIfTrue="1">
      <formula>$D$48*0.1</formula>
    </cfRule>
  </conditionalFormatting>
  <conditionalFormatting sqref="E46">
    <cfRule type="cellIs" priority="15" dxfId="408" operator="greaterThan" stopIfTrue="1">
      <formula>$E$48*0.1</formula>
    </cfRule>
  </conditionalFormatting>
  <conditionalFormatting sqref="C60">
    <cfRule type="cellIs" priority="16" dxfId="408" operator="greaterThan" stopIfTrue="1">
      <formula>$C$62*0.1</formula>
    </cfRule>
  </conditionalFormatting>
  <conditionalFormatting sqref="D60">
    <cfRule type="cellIs" priority="17" dxfId="408" operator="greaterThan" stopIfTrue="1">
      <formula>$D$62*0.1</formula>
    </cfRule>
  </conditionalFormatting>
  <conditionalFormatting sqref="E60">
    <cfRule type="cellIs" priority="18" dxfId="408" operator="greaterThan" stopIfTrue="1">
      <formula>$E$62*0.1</formula>
    </cfRule>
  </conditionalFormatting>
  <conditionalFormatting sqref="E63 C63 E32">
    <cfRule type="cellIs" priority="19" dxfId="2" operator="lessThan" stopIfTrue="1">
      <formula>0</formula>
    </cfRule>
  </conditionalFormatting>
  <conditionalFormatting sqref="D62">
    <cfRule type="cellIs" priority="20" dxfId="2" operator="greaterThan" stopIfTrue="1">
      <formula>$D$64</formula>
    </cfRule>
  </conditionalFormatting>
  <conditionalFormatting sqref="C62">
    <cfRule type="cellIs" priority="21" dxfId="2" operator="greaterThan" stopIfTrue="1">
      <formula>$C$64</formula>
    </cfRule>
  </conditionalFormatting>
  <conditionalFormatting sqref="C31">
    <cfRule type="cellIs" priority="6" dxfId="0" operator="greaterThan" stopIfTrue="1">
      <formula>$C$33</formula>
    </cfRule>
  </conditionalFormatting>
  <conditionalFormatting sqref="D31">
    <cfRule type="cellIs" priority="5" dxfId="0" operator="greaterThan" stopIfTrue="1">
      <formula>$D$33</formula>
    </cfRule>
  </conditionalFormatting>
  <conditionalFormatting sqref="C32">
    <cfRule type="cellIs" priority="4" dxfId="0" operator="lessThan" stopIfTrue="1">
      <formula>0</formula>
    </cfRule>
  </conditionalFormatting>
  <conditionalFormatting sqref="D32">
    <cfRule type="cellIs" priority="2" dxfId="0" operator="lessThan" stopIfTrue="1">
      <formula>0</formula>
    </cfRule>
    <cfRule type="cellIs" priority="3" dxfId="0" operator="lessThan" stopIfTrue="1">
      <formula>0</formula>
    </cfRule>
  </conditionalFormatting>
  <conditionalFormatting sqref="D63">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6"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dimension ref="A1:E70"/>
  <sheetViews>
    <sheetView zoomScalePageLayoutView="0" workbookViewId="0" topLeftCell="A1">
      <selection activeCell="E15" sqref="E15"/>
    </sheetView>
  </sheetViews>
  <sheetFormatPr defaultColWidth="8.796875" defaultRowHeight="15"/>
  <cols>
    <col min="1" max="1" width="15.796875" style="72" customWidth="1"/>
    <col min="2" max="2" width="20.796875" style="72" customWidth="1"/>
    <col min="3" max="3" width="9.796875" style="72" customWidth="1"/>
    <col min="4" max="4" width="15.296875" style="72" customWidth="1"/>
    <col min="5" max="5" width="15.796875" style="72" customWidth="1"/>
    <col min="6" max="16384" width="8.8984375" style="72" customWidth="1"/>
  </cols>
  <sheetData>
    <row r="1" spans="1:5" ht="15.75">
      <c r="A1" s="144" t="str">
        <f>inputPrYr!C2</f>
        <v>Rice County</v>
      </c>
      <c r="B1" s="125"/>
      <c r="C1" s="125"/>
      <c r="D1" s="125"/>
      <c r="E1" s="125">
        <f>inputPrYr!C4</f>
        <v>2013</v>
      </c>
    </row>
    <row r="2" spans="1:5" ht="15.75">
      <c r="A2" s="144"/>
      <c r="B2" s="125"/>
      <c r="C2" s="125"/>
      <c r="D2" s="125"/>
      <c r="E2" s="125"/>
    </row>
    <row r="3" spans="1:5" ht="15.75">
      <c r="A3" s="730" t="s">
        <v>60</v>
      </c>
      <c r="B3" s="731"/>
      <c r="C3" s="731"/>
      <c r="D3" s="731"/>
      <c r="E3" s="731"/>
    </row>
    <row r="4" spans="1:5" ht="15.75">
      <c r="A4" s="125"/>
      <c r="B4" s="125"/>
      <c r="C4" s="125"/>
      <c r="D4" s="125"/>
      <c r="E4" s="125"/>
    </row>
    <row r="5" spans="1:5" ht="15.75">
      <c r="A5" s="124" t="str">
        <f>CONCATENATE("From the County Clerks ",E1," Budget Information:")</f>
        <v>From the County Clerks 2013 Budget Information:</v>
      </c>
      <c r="B5" s="126"/>
      <c r="C5" s="95"/>
      <c r="D5" s="85"/>
      <c r="E5" s="145"/>
    </row>
    <row r="6" spans="1:5" ht="15.75">
      <c r="A6" s="146" t="str">
        <f>CONCATENATE("Total Assessed Valuation for ",E1-1,"")</f>
        <v>Total Assessed Valuation for 2012</v>
      </c>
      <c r="B6" s="132"/>
      <c r="C6" s="132"/>
      <c r="D6" s="132"/>
      <c r="E6" s="112">
        <v>124855372</v>
      </c>
    </row>
    <row r="7" spans="1:5" ht="15.75">
      <c r="A7" s="146" t="str">
        <f>CONCATENATE("New Improvements for ",E1-1,"")</f>
        <v>New Improvements for 2012</v>
      </c>
      <c r="B7" s="132"/>
      <c r="C7" s="132"/>
      <c r="D7" s="132"/>
      <c r="E7" s="147">
        <v>892712</v>
      </c>
    </row>
    <row r="8" spans="1:5" ht="15.75">
      <c r="A8" s="146" t="str">
        <f>CONCATENATE("Personal Property excluding oil, gas, and mobile homes- ",E1-1,"")</f>
        <v>Personal Property excluding oil, gas, and mobile homes- 2012</v>
      </c>
      <c r="B8" s="132"/>
      <c r="C8" s="132"/>
      <c r="D8" s="132"/>
      <c r="E8" s="147">
        <v>3963206</v>
      </c>
    </row>
    <row r="9" spans="1:5" ht="15.75">
      <c r="A9" s="146" t="str">
        <f>CONCATENATE("Property that has changed in use for ",E1-1,"")</f>
        <v>Property that has changed in use for 2012</v>
      </c>
      <c r="B9" s="132"/>
      <c r="C9" s="132"/>
      <c r="D9" s="132"/>
      <c r="E9" s="147">
        <v>212133</v>
      </c>
    </row>
    <row r="10" spans="1:5" ht="15.75">
      <c r="A10" s="146" t="str">
        <f>CONCATENATE("Personal Property excluding oil, gas, and mobile homes- ",E1-2,"")</f>
        <v>Personal Property excluding oil, gas, and mobile homes- 2011</v>
      </c>
      <c r="B10" s="132"/>
      <c r="C10" s="132"/>
      <c r="D10" s="132"/>
      <c r="E10" s="147">
        <v>3973775</v>
      </c>
    </row>
    <row r="11" spans="1:5" ht="15.75">
      <c r="A11" s="146" t="str">
        <f>CONCATENATE("Gross earnings (intangible) tax esitmate for ",E1,"")</f>
        <v>Gross earnings (intangible) tax esitmate for 2013</v>
      </c>
      <c r="B11" s="132"/>
      <c r="C11" s="132"/>
      <c r="D11" s="132"/>
      <c r="E11" s="112">
        <v>0</v>
      </c>
    </row>
    <row r="12" spans="1:5" ht="15.75">
      <c r="A12" s="148" t="s">
        <v>336</v>
      </c>
      <c r="B12" s="132"/>
      <c r="C12" s="132"/>
      <c r="D12" s="115"/>
      <c r="E12" s="112">
        <v>2571348</v>
      </c>
    </row>
    <row r="13" spans="1:5" ht="15.75">
      <c r="A13" s="85"/>
      <c r="B13" s="85"/>
      <c r="C13" s="85"/>
      <c r="D13" s="101"/>
      <c r="E13" s="101"/>
    </row>
    <row r="14" spans="1:5" ht="15.75">
      <c r="A14" s="124" t="str">
        <f>CONCATENATE("From the County Treasurer's ",E1," Budget Information:")</f>
        <v>From the County Treasurer's 2013 Budget Information:</v>
      </c>
      <c r="B14" s="126"/>
      <c r="C14" s="126"/>
      <c r="D14" s="145"/>
      <c r="E14" s="145"/>
    </row>
    <row r="15" spans="1:5" ht="15.75">
      <c r="A15" s="113" t="s">
        <v>133</v>
      </c>
      <c r="B15" s="114"/>
      <c r="C15" s="114"/>
      <c r="D15" s="149"/>
      <c r="E15" s="112">
        <v>405245</v>
      </c>
    </row>
    <row r="16" spans="1:5" ht="15.75">
      <c r="A16" s="146" t="s">
        <v>134</v>
      </c>
      <c r="B16" s="132"/>
      <c r="C16" s="132"/>
      <c r="D16" s="150"/>
      <c r="E16" s="112">
        <v>8198</v>
      </c>
    </row>
    <row r="17" spans="1:5" ht="15.75">
      <c r="A17" s="146" t="s">
        <v>247</v>
      </c>
      <c r="B17" s="132"/>
      <c r="C17" s="132"/>
      <c r="D17" s="150"/>
      <c r="E17" s="112">
        <v>25642</v>
      </c>
    </row>
    <row r="18" spans="1:5" ht="15.75">
      <c r="A18" s="146" t="s">
        <v>337</v>
      </c>
      <c r="B18" s="132"/>
      <c r="C18" s="132"/>
      <c r="D18" s="151"/>
      <c r="E18" s="112">
        <v>0</v>
      </c>
    </row>
    <row r="19" spans="1:5" ht="15.75">
      <c r="A19" s="146" t="s">
        <v>338</v>
      </c>
      <c r="B19" s="132"/>
      <c r="C19" s="132"/>
      <c r="D19" s="151"/>
      <c r="E19" s="112">
        <v>419312</v>
      </c>
    </row>
    <row r="20" spans="1:5" ht="15.75">
      <c r="A20" s="85"/>
      <c r="B20" s="85"/>
      <c r="C20" s="85"/>
      <c r="D20" s="85"/>
      <c r="E20" s="85"/>
    </row>
    <row r="21" spans="1:5" ht="15.75">
      <c r="A21" s="152" t="s">
        <v>339</v>
      </c>
      <c r="B21" s="85"/>
      <c r="C21" s="85"/>
      <c r="D21" s="85"/>
      <c r="E21" s="85"/>
    </row>
    <row r="22" spans="1:5" ht="15.75">
      <c r="A22" s="698" t="str">
        <f>CONCATENATE("Actual Delinquency for ",E1-3," Tax - (rate .01213 = 1.213%, key in 1.2)")</f>
        <v>Actual Delinquency for 2010 Tax - (rate .01213 = 1.213%, key in 1.2)</v>
      </c>
      <c r="B22" s="114"/>
      <c r="C22" s="114"/>
      <c r="D22" s="119"/>
      <c r="E22" s="697">
        <v>0.023</v>
      </c>
    </row>
    <row r="23" spans="1:5" ht="15.75">
      <c r="A23" s="701" t="s">
        <v>839</v>
      </c>
      <c r="B23" s="114"/>
      <c r="C23" s="114"/>
      <c r="D23" s="114"/>
      <c r="E23" s="700">
        <v>0.03</v>
      </c>
    </row>
    <row r="24" spans="1:5" ht="15.75">
      <c r="A24" s="82" t="s">
        <v>340</v>
      </c>
      <c r="B24" s="82"/>
      <c r="C24" s="82"/>
      <c r="D24" s="82"/>
      <c r="E24" s="82"/>
    </row>
    <row r="25" spans="1:5" ht="15.75">
      <c r="A25" s="154"/>
      <c r="B25" s="154"/>
      <c r="C25" s="154"/>
      <c r="D25" s="154"/>
      <c r="E25" s="154"/>
    </row>
    <row r="26" spans="1:5" ht="15.75">
      <c r="A26" s="735" t="str">
        <f>CONCATENATE("From the ",E1-2," Budget Certificate Page")</f>
        <v>From the 2011 Budget Certificate Page</v>
      </c>
      <c r="B26" s="736"/>
      <c r="C26" s="154"/>
      <c r="D26" s="154"/>
      <c r="E26" s="154"/>
    </row>
    <row r="27" spans="1:5" ht="15.75">
      <c r="A27" s="155"/>
      <c r="B27" s="737" t="str">
        <f>CONCATENATE("",E1-2,"                         Expenditure Amt Budget Authority")</f>
        <v>2011                         Expenditure Amt Budget Authority</v>
      </c>
      <c r="C27" s="740" t="str">
        <f>CONCATENATE("Note: If the ",E1-2," budget was amended, then the")</f>
        <v>Note: If the 2011 budget was amended, then the</v>
      </c>
      <c r="D27" s="741"/>
      <c r="E27" s="741"/>
    </row>
    <row r="28" spans="1:5" ht="15.75">
      <c r="A28" s="156" t="s">
        <v>71</v>
      </c>
      <c r="B28" s="738"/>
      <c r="C28" s="157" t="s">
        <v>72</v>
      </c>
      <c r="D28" s="158"/>
      <c r="E28" s="158"/>
    </row>
    <row r="29" spans="1:5" ht="15.75">
      <c r="A29" s="159"/>
      <c r="B29" s="739"/>
      <c r="C29" s="157" t="s">
        <v>73</v>
      </c>
      <c r="D29" s="158"/>
      <c r="E29" s="158"/>
    </row>
    <row r="30" spans="1:5" ht="15.75">
      <c r="A30" s="160" t="str">
        <f>inputPrYr!B16</f>
        <v>General</v>
      </c>
      <c r="B30" s="161">
        <v>4571775</v>
      </c>
      <c r="C30" s="157"/>
      <c r="D30" s="158"/>
      <c r="E30" s="158"/>
    </row>
    <row r="31" spans="1:5" ht="15.75">
      <c r="A31" s="160" t="str">
        <f>inputPrYr!B17</f>
        <v>Debt Service</v>
      </c>
      <c r="B31" s="105">
        <v>75855</v>
      </c>
      <c r="C31" s="157"/>
      <c r="D31" s="158"/>
      <c r="E31" s="158"/>
    </row>
    <row r="32" spans="1:5" ht="15.75">
      <c r="A32" s="160" t="str">
        <f>inputPrYr!B18</f>
        <v>Road &amp; Bridge</v>
      </c>
      <c r="B32" s="105">
        <v>1796700</v>
      </c>
      <c r="C32" s="154"/>
      <c r="D32" s="154"/>
      <c r="E32" s="154"/>
    </row>
    <row r="33" spans="1:5" ht="15.75">
      <c r="A33" s="160" t="str">
        <f>inputPrYr!B19</f>
        <v>Employee Benefits</v>
      </c>
      <c r="B33" s="105">
        <v>1400000</v>
      </c>
      <c r="C33" s="154"/>
      <c r="D33" s="154"/>
      <c r="E33" s="154"/>
    </row>
    <row r="34" spans="1:5" ht="15.75">
      <c r="A34" s="160" t="str">
        <f>inputPrYr!B20</f>
        <v>Emergency Medical Services</v>
      </c>
      <c r="B34" s="105">
        <v>429121</v>
      </c>
      <c r="C34" s="154"/>
      <c r="D34" s="154"/>
      <c r="E34" s="154"/>
    </row>
    <row r="35" spans="1:5" ht="15.75">
      <c r="A35" s="160" t="str">
        <f>inputPrYr!B21</f>
        <v>Noxious Weed</v>
      </c>
      <c r="B35" s="105">
        <v>286507</v>
      </c>
      <c r="C35" s="154"/>
      <c r="D35" s="154"/>
      <c r="E35" s="154"/>
    </row>
    <row r="36" spans="1:5" ht="15.75">
      <c r="A36" s="160" t="str">
        <f>inputPrYr!B22</f>
        <v>Health</v>
      </c>
      <c r="B36" s="105">
        <v>238202</v>
      </c>
      <c r="C36" s="154"/>
      <c r="D36" s="154"/>
      <c r="E36" s="154"/>
    </row>
    <row r="37" spans="1:5" ht="15.75">
      <c r="A37" s="160" t="str">
        <f>inputPrYr!B23</f>
        <v>Historical Society</v>
      </c>
      <c r="B37" s="105">
        <v>115000</v>
      </c>
      <c r="C37" s="154"/>
      <c r="D37" s="154"/>
      <c r="E37" s="154"/>
    </row>
    <row r="38" spans="1:5" ht="15.75">
      <c r="A38" s="160" t="str">
        <f>inputPrYr!B24</f>
        <v>Senior Citizens</v>
      </c>
      <c r="B38" s="105">
        <v>249959</v>
      </c>
      <c r="C38" s="154"/>
      <c r="D38" s="154"/>
      <c r="E38" s="154"/>
    </row>
    <row r="39" spans="1:5" ht="15.75">
      <c r="A39" s="160">
        <f>inputPrYr!B25</f>
        <v>0</v>
      </c>
      <c r="B39" s="105"/>
      <c r="C39" s="154"/>
      <c r="D39" s="154"/>
      <c r="E39" s="154"/>
    </row>
    <row r="40" spans="1:5" ht="15.75">
      <c r="A40" s="160">
        <f>inputPrYr!B26</f>
        <v>0</v>
      </c>
      <c r="B40" s="105"/>
      <c r="C40" s="154"/>
      <c r="D40" s="154"/>
      <c r="E40" s="154"/>
    </row>
    <row r="41" spans="1:5" ht="15.75">
      <c r="A41" s="160">
        <f>inputPrYr!B27</f>
        <v>0</v>
      </c>
      <c r="B41" s="105"/>
      <c r="C41" s="154"/>
      <c r="D41" s="154"/>
      <c r="E41" s="154"/>
    </row>
    <row r="42" spans="1:5" ht="15.75">
      <c r="A42" s="160">
        <f>inputPrYr!B28</f>
        <v>0</v>
      </c>
      <c r="B42" s="105"/>
      <c r="C42" s="154"/>
      <c r="D42" s="154"/>
      <c r="E42" s="154"/>
    </row>
    <row r="43" spans="1:5" ht="15.75">
      <c r="A43" s="160">
        <f>inputPrYr!B29</f>
        <v>0</v>
      </c>
      <c r="B43" s="105"/>
      <c r="C43" s="154"/>
      <c r="D43" s="154"/>
      <c r="E43" s="154"/>
    </row>
    <row r="44" spans="1:5" ht="15.75">
      <c r="A44" s="160">
        <f>inputPrYr!B30</f>
        <v>0</v>
      </c>
      <c r="B44" s="105"/>
      <c r="C44" s="154"/>
      <c r="D44" s="154"/>
      <c r="E44" s="154"/>
    </row>
    <row r="45" spans="1:5" ht="15.75">
      <c r="A45" s="160">
        <f>inputPrYr!B31</f>
        <v>0</v>
      </c>
      <c r="B45" s="105"/>
      <c r="C45" s="154"/>
      <c r="D45" s="154"/>
      <c r="E45" s="154"/>
    </row>
    <row r="46" spans="1:5" ht="15.75">
      <c r="A46" s="160">
        <f>inputPrYr!B32</f>
        <v>0</v>
      </c>
      <c r="B46" s="105"/>
      <c r="C46" s="154"/>
      <c r="D46" s="154"/>
      <c r="E46" s="154"/>
    </row>
    <row r="47" spans="1:5" ht="15.75">
      <c r="A47" s="160">
        <f>inputPrYr!B33</f>
        <v>0</v>
      </c>
      <c r="B47" s="105"/>
      <c r="C47" s="154"/>
      <c r="D47" s="154"/>
      <c r="E47" s="154"/>
    </row>
    <row r="48" spans="1:5" ht="15.75">
      <c r="A48" s="160">
        <f>inputPrYr!B34</f>
        <v>0</v>
      </c>
      <c r="B48" s="105"/>
      <c r="C48" s="154"/>
      <c r="D48" s="154"/>
      <c r="E48" s="154"/>
    </row>
    <row r="49" spans="1:5" ht="15.75">
      <c r="A49" s="160">
        <f>inputPrYr!B35</f>
        <v>0</v>
      </c>
      <c r="B49" s="105"/>
      <c r="C49" s="154"/>
      <c r="D49" s="154"/>
      <c r="E49" s="154"/>
    </row>
    <row r="50" spans="1:5" ht="15.75">
      <c r="A50" s="160">
        <f>inputPrYr!B36</f>
        <v>0</v>
      </c>
      <c r="B50" s="105"/>
      <c r="C50" s="154"/>
      <c r="D50" s="154"/>
      <c r="E50" s="154"/>
    </row>
    <row r="51" spans="1:5" ht="15.75">
      <c r="A51" s="160">
        <f>inputPrYr!B37</f>
        <v>0</v>
      </c>
      <c r="B51" s="105"/>
      <c r="C51" s="154"/>
      <c r="D51" s="154"/>
      <c r="E51" s="154"/>
    </row>
    <row r="52" spans="1:5" ht="15.75">
      <c r="A52" s="160">
        <f>inputPrYr!B38</f>
        <v>0</v>
      </c>
      <c r="B52" s="105"/>
      <c r="C52" s="154"/>
      <c r="D52" s="154"/>
      <c r="E52" s="154"/>
    </row>
    <row r="53" spans="1:5" ht="15.75">
      <c r="A53" s="160">
        <f>inputPrYr!B39</f>
        <v>0</v>
      </c>
      <c r="B53" s="105"/>
      <c r="C53" s="154"/>
      <c r="D53" s="154"/>
      <c r="E53" s="154"/>
    </row>
    <row r="54" spans="1:5" ht="15.75">
      <c r="A54" s="160">
        <f>inputPrYr!B40</f>
        <v>0</v>
      </c>
      <c r="B54" s="105"/>
      <c r="C54" s="154"/>
      <c r="D54" s="154"/>
      <c r="E54" s="154"/>
    </row>
    <row r="55" spans="1:5" ht="15.75">
      <c r="A55" s="160" t="str">
        <f>inputPrYr!B43</f>
        <v>Detention</v>
      </c>
      <c r="B55" s="105">
        <v>1223472</v>
      </c>
      <c r="C55" s="154"/>
      <c r="D55" s="154"/>
      <c r="E55" s="154"/>
    </row>
    <row r="56" spans="1:5" ht="15.75">
      <c r="A56" s="160" t="str">
        <f>inputPrYr!B44</f>
        <v>Special Alcohol Fund</v>
      </c>
      <c r="B56" s="105">
        <v>9724</v>
      </c>
      <c r="C56" s="154"/>
      <c r="D56" s="154"/>
      <c r="E56" s="154"/>
    </row>
    <row r="57" spans="1:5" ht="15.75">
      <c r="A57" s="160" t="str">
        <f>inputPrYr!B45</f>
        <v>Transient Guest Tax</v>
      </c>
      <c r="B57" s="105">
        <v>20457</v>
      </c>
      <c r="C57" s="154"/>
      <c r="D57" s="154"/>
      <c r="E57" s="154"/>
    </row>
    <row r="58" spans="1:5" ht="15.75">
      <c r="A58" s="160" t="str">
        <f>inputPrYr!B46</f>
        <v>Equipment Reserve</v>
      </c>
      <c r="B58" s="105">
        <v>648517</v>
      </c>
      <c r="C58" s="154"/>
      <c r="D58" s="154"/>
      <c r="E58" s="154"/>
    </row>
    <row r="59" spans="1:5" ht="15.75">
      <c r="A59" s="160" t="str">
        <f>inputPrYr!B47</f>
        <v>Capital Improvements</v>
      </c>
      <c r="B59" s="105">
        <v>1037581</v>
      </c>
      <c r="C59" s="154"/>
      <c r="D59" s="154"/>
      <c r="E59" s="154"/>
    </row>
    <row r="60" spans="1:5" ht="15.75">
      <c r="A60" s="160" t="str">
        <f>inputPrYr!B48</f>
        <v>Risk Management</v>
      </c>
      <c r="B60" s="105">
        <v>583871</v>
      </c>
      <c r="C60" s="154"/>
      <c r="D60" s="154"/>
      <c r="E60" s="154"/>
    </row>
    <row r="61" spans="1:5" ht="15.75">
      <c r="A61" s="160" t="str">
        <f>inputPrYr!B49</f>
        <v>911 Fund</v>
      </c>
      <c r="B61" s="105">
        <v>108582</v>
      </c>
      <c r="C61" s="154"/>
      <c r="D61" s="154"/>
      <c r="E61" s="154"/>
    </row>
    <row r="62" spans="1:5" ht="15.75">
      <c r="A62" s="160" t="str">
        <f>inputPrYr!B50</f>
        <v>Wireless 911</v>
      </c>
      <c r="B62" s="105">
        <v>56067</v>
      </c>
      <c r="C62" s="154"/>
      <c r="D62" s="154"/>
      <c r="E62" s="154"/>
    </row>
    <row r="63" spans="1:5" ht="15.75">
      <c r="A63" s="160" t="str">
        <f>inputPrYr!B51</f>
        <v>EMS Special Equipment</v>
      </c>
      <c r="B63" s="105">
        <v>133507</v>
      </c>
      <c r="C63" s="154"/>
      <c r="D63" s="154"/>
      <c r="E63" s="154"/>
    </row>
    <row r="64" spans="1:5" ht="15.75">
      <c r="A64" s="160" t="str">
        <f>inputPrYr!B52</f>
        <v>Solid Waste Recycling</v>
      </c>
      <c r="B64" s="105">
        <v>60817</v>
      </c>
      <c r="C64" s="154"/>
      <c r="D64" s="154"/>
      <c r="E64" s="154"/>
    </row>
    <row r="65" spans="1:5" ht="15.75">
      <c r="A65" s="160" t="str">
        <f>inputPrYr!B53</f>
        <v>Weed Capital Outlay</v>
      </c>
      <c r="B65" s="105">
        <v>70828</v>
      </c>
      <c r="C65" s="154"/>
      <c r="D65" s="154"/>
      <c r="E65" s="154"/>
    </row>
    <row r="66" spans="1:5" ht="15.75">
      <c r="A66" s="160">
        <f>inputPrYr!B54</f>
        <v>0</v>
      </c>
      <c r="B66" s="105"/>
      <c r="C66" s="154"/>
      <c r="D66" s="154"/>
      <c r="E66" s="154"/>
    </row>
    <row r="67" spans="1:5" ht="15.75">
      <c r="A67" s="160">
        <f>inputPrYr!B55</f>
        <v>0</v>
      </c>
      <c r="B67" s="105"/>
      <c r="C67" s="154"/>
      <c r="D67" s="154"/>
      <c r="E67" s="154"/>
    </row>
    <row r="68" spans="1:5" ht="15.75">
      <c r="A68" s="160">
        <f>inputPrYr!B56</f>
        <v>0</v>
      </c>
      <c r="B68" s="105"/>
      <c r="C68" s="154"/>
      <c r="D68" s="154"/>
      <c r="E68" s="154"/>
    </row>
    <row r="69" spans="1:5" ht="15.75">
      <c r="A69" s="160">
        <f>inputPrYr!B57</f>
        <v>0</v>
      </c>
      <c r="B69" s="105"/>
      <c r="C69" s="154"/>
      <c r="D69" s="154"/>
      <c r="E69" s="154"/>
    </row>
    <row r="70" spans="1:5" ht="15.75">
      <c r="A70" s="160">
        <f>inputPrYr!B58</f>
        <v>0</v>
      </c>
      <c r="B70" s="105"/>
      <c r="C70" s="154"/>
      <c r="D70" s="154"/>
      <c r="E70" s="154"/>
    </row>
  </sheetData>
  <sheetProtection sheet="1"/>
  <mergeCells count="4">
    <mergeCell ref="A3:E3"/>
    <mergeCell ref="A26:B26"/>
    <mergeCell ref="B27:B29"/>
    <mergeCell ref="C27:E27"/>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B1" sqref="B1"/>
    </sheetView>
  </sheetViews>
  <sheetFormatPr defaultColWidth="8.796875" defaultRowHeight="15"/>
  <cols>
    <col min="1" max="1" width="2.3984375" style="72" customWidth="1"/>
    <col min="2" max="2" width="31.09765625" style="72" customWidth="1"/>
    <col min="3" max="4" width="15.796875" style="72" customWidth="1"/>
    <col min="5" max="5" width="16.09765625" style="72" customWidth="1"/>
    <col min="6"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243</v>
      </c>
      <c r="C3" s="334"/>
      <c r="D3" s="334"/>
      <c r="E3" s="335"/>
    </row>
    <row r="4" spans="2:5" ht="15.75">
      <c r="B4" s="85"/>
      <c r="C4" s="328"/>
      <c r="D4" s="328"/>
      <c r="E4" s="328"/>
    </row>
    <row r="5" spans="2:5" ht="15.75">
      <c r="B5" s="84" t="s">
        <v>160</v>
      </c>
      <c r="C5" s="324" t="str">
        <f>general!C4</f>
        <v>Prior Year </v>
      </c>
      <c r="D5" s="215" t="str">
        <f>general!D4</f>
        <v>Current Year </v>
      </c>
      <c r="E5" s="215" t="str">
        <f>general!E4</f>
        <v>Proposed Budget </v>
      </c>
    </row>
    <row r="6" spans="2:5" ht="15.75">
      <c r="B6" s="484" t="str">
        <f>inputPrYr!B45</f>
        <v>Transient Guest Tax</v>
      </c>
      <c r="C6" s="316" t="str">
        <f>general!C5</f>
        <v>Actual for 2011</v>
      </c>
      <c r="D6" s="316" t="str">
        <f>general!D5</f>
        <v>Estimate for 2012</v>
      </c>
      <c r="E6" s="303" t="str">
        <f>general!E5</f>
        <v>Year for 2013</v>
      </c>
    </row>
    <row r="7" spans="2:5" ht="15.75">
      <c r="B7" s="148" t="s">
        <v>284</v>
      </c>
      <c r="C7" s="112">
        <v>15372</v>
      </c>
      <c r="D7" s="266">
        <f>C30</f>
        <v>16126</v>
      </c>
      <c r="E7" s="266">
        <f>D30</f>
        <v>6211</v>
      </c>
    </row>
    <row r="8" spans="2:5" ht="15.75">
      <c r="B8" s="337" t="s">
        <v>286</v>
      </c>
      <c r="C8" s="108"/>
      <c r="D8" s="108"/>
      <c r="E8" s="108"/>
    </row>
    <row r="9" spans="2:5" ht="15.75">
      <c r="B9" s="319" t="s">
        <v>913</v>
      </c>
      <c r="C9" s="112">
        <v>13619</v>
      </c>
      <c r="D9" s="112">
        <v>12000</v>
      </c>
      <c r="E9" s="112">
        <v>12000</v>
      </c>
    </row>
    <row r="10" spans="2:5" ht="15.75">
      <c r="B10" s="319"/>
      <c r="C10" s="112"/>
      <c r="D10" s="112"/>
      <c r="E10" s="112"/>
    </row>
    <row r="11" spans="2:5" ht="15.75">
      <c r="B11" s="319"/>
      <c r="C11" s="112"/>
      <c r="D11" s="112"/>
      <c r="E11" s="112"/>
    </row>
    <row r="12" spans="2:5" ht="15.75">
      <c r="B12" s="309" t="s">
        <v>165</v>
      </c>
      <c r="C12" s="112"/>
      <c r="D12" s="112"/>
      <c r="E12" s="112"/>
    </row>
    <row r="13" spans="2:5" ht="15.75">
      <c r="B13" s="310" t="s">
        <v>75</v>
      </c>
      <c r="C13" s="112"/>
      <c r="D13" s="305"/>
      <c r="E13" s="305"/>
    </row>
    <row r="14" spans="2:5" ht="15.75">
      <c r="B14" s="310" t="s">
        <v>684</v>
      </c>
      <c r="C14" s="480">
        <f>IF(C15*0.1&lt;C13,"Exceed 10% Rule","")</f>
      </c>
      <c r="D14" s="311">
        <f>IF(D15*0.1&lt;D13,"Exceed 10% Rule","")</f>
      </c>
      <c r="E14" s="311">
        <f>IF(E15*0.1&lt;E13,"Exceed 10% Rule","")</f>
      </c>
    </row>
    <row r="15" spans="2:5" ht="15.75">
      <c r="B15" s="312" t="s">
        <v>166</v>
      </c>
      <c r="C15" s="353">
        <f>SUM(C9:C13)</f>
        <v>13619</v>
      </c>
      <c r="D15" s="353">
        <f>SUM(D9:D13)</f>
        <v>12000</v>
      </c>
      <c r="E15" s="353">
        <f>SUM(E9:E13)</f>
        <v>12000</v>
      </c>
    </row>
    <row r="16" spans="2:5" ht="15.75">
      <c r="B16" s="312" t="s">
        <v>167</v>
      </c>
      <c r="C16" s="353">
        <f>C15+C7</f>
        <v>28991</v>
      </c>
      <c r="D16" s="353">
        <f>D15+D7</f>
        <v>28126</v>
      </c>
      <c r="E16" s="353">
        <f>E15+E7</f>
        <v>18211</v>
      </c>
    </row>
    <row r="17" spans="2:5" ht="15.75">
      <c r="B17" s="148" t="s">
        <v>170</v>
      </c>
      <c r="C17" s="266"/>
      <c r="D17" s="266"/>
      <c r="E17" s="266"/>
    </row>
    <row r="18" spans="2:5" ht="15.75">
      <c r="B18" s="319" t="s">
        <v>1007</v>
      </c>
      <c r="C18" s="112">
        <v>12865</v>
      </c>
      <c r="D18" s="112">
        <v>10000</v>
      </c>
      <c r="E18" s="112">
        <v>10000</v>
      </c>
    </row>
    <row r="19" spans="2:5" ht="15.75">
      <c r="B19" s="319" t="s">
        <v>995</v>
      </c>
      <c r="C19" s="112">
        <v>0</v>
      </c>
      <c r="D19" s="112">
        <v>11915</v>
      </c>
      <c r="E19" s="112">
        <v>8211</v>
      </c>
    </row>
    <row r="20" spans="2:5" ht="15.75">
      <c r="B20" s="319"/>
      <c r="C20" s="112"/>
      <c r="D20" s="112"/>
      <c r="E20" s="112"/>
    </row>
    <row r="21" spans="2:5" ht="15.75">
      <c r="B21" s="319"/>
      <c r="C21" s="112"/>
      <c r="D21" s="112"/>
      <c r="E21" s="112"/>
    </row>
    <row r="22" spans="2:5" ht="15.75">
      <c r="B22" s="319"/>
      <c r="C22" s="112"/>
      <c r="D22" s="112"/>
      <c r="E22" s="112"/>
    </row>
    <row r="23" spans="2:5" ht="15.75">
      <c r="B23" s="319"/>
      <c r="C23" s="112"/>
      <c r="D23" s="112"/>
      <c r="E23" s="112"/>
    </row>
    <row r="24" spans="2:5" ht="15.75">
      <c r="B24" s="319"/>
      <c r="C24" s="112"/>
      <c r="D24" s="112"/>
      <c r="E24" s="112"/>
    </row>
    <row r="25" spans="2:5" ht="15.75">
      <c r="B25" s="319"/>
      <c r="C25" s="112"/>
      <c r="D25" s="112"/>
      <c r="E25" s="112"/>
    </row>
    <row r="26" spans="2:5" ht="15.75">
      <c r="B26" s="319"/>
      <c r="C26" s="112"/>
      <c r="D26" s="112"/>
      <c r="E26" s="112"/>
    </row>
    <row r="27" spans="2:5" ht="15.75">
      <c r="B27" s="310" t="s">
        <v>75</v>
      </c>
      <c r="C27" s="112"/>
      <c r="D27" s="305"/>
      <c r="E27" s="305"/>
    </row>
    <row r="28" spans="2:5" ht="15.75">
      <c r="B28" s="310" t="s">
        <v>683</v>
      </c>
      <c r="C28" s="480">
        <f>IF(C29*0.1&lt;C27,"Exceed 10% Rule","")</f>
      </c>
      <c r="D28" s="311">
        <f>IF(D29*0.1&lt;D27,"Exceed 10% Rule","")</f>
      </c>
      <c r="E28" s="311">
        <f>IF(E29*0.1&lt;E27,"Exceed 10% Rule","")</f>
      </c>
    </row>
    <row r="29" spans="2:5" ht="15.75">
      <c r="B29" s="312" t="s">
        <v>171</v>
      </c>
      <c r="C29" s="353">
        <f>SUM(C18:C27)</f>
        <v>12865</v>
      </c>
      <c r="D29" s="353">
        <f>SUM(D18:D27)</f>
        <v>21915</v>
      </c>
      <c r="E29" s="353">
        <f>SUM(E18:E27)</f>
        <v>18211</v>
      </c>
    </row>
    <row r="30" spans="2:5" ht="15.75">
      <c r="B30" s="148" t="s">
        <v>285</v>
      </c>
      <c r="C30" s="120">
        <f>C16-C29</f>
        <v>16126</v>
      </c>
      <c r="D30" s="120">
        <f>D16-D29</f>
        <v>6211</v>
      </c>
      <c r="E30" s="120">
        <f>E16-E29</f>
        <v>0</v>
      </c>
    </row>
    <row r="31" spans="2:5" ht="15.75">
      <c r="B31" s="288" t="str">
        <f>CONCATENATE("",E$1-2,"/",E$1-1," Budget Authority Amount:")</f>
        <v>2011/2012 Budget Authority Amount:</v>
      </c>
      <c r="C31" s="280">
        <f>inputOth!B57</f>
        <v>20457</v>
      </c>
      <c r="D31" s="280">
        <f>inputPrYr!D45</f>
        <v>21915</v>
      </c>
      <c r="E31" s="479">
        <f>IF(E30&lt;0,"See Tab E","")</f>
      </c>
    </row>
    <row r="32" spans="2:5" ht="15.75">
      <c r="B32" s="288"/>
      <c r="C32" s="322">
        <f>IF(C29&gt;C31,"See Tab A","")</f>
      </c>
      <c r="D32" s="322">
        <f>IF(D29&gt;D31,"See Tab C","")</f>
      </c>
      <c r="E32" s="145"/>
    </row>
    <row r="33" spans="2:5" ht="15.75">
      <c r="B33" s="288"/>
      <c r="C33" s="322">
        <f>IF(C30&lt;0,"See Tab B","")</f>
      </c>
      <c r="D33" s="322">
        <f>IF(D30&lt;0,"See Tab D","")</f>
      </c>
      <c r="E33" s="145"/>
    </row>
    <row r="34" spans="2:5" ht="15.75">
      <c r="B34" s="85"/>
      <c r="C34" s="145"/>
      <c r="D34" s="145"/>
      <c r="E34" s="145"/>
    </row>
    <row r="35" spans="2:5" ht="15.75">
      <c r="B35" s="84" t="s">
        <v>160</v>
      </c>
      <c r="C35" s="328"/>
      <c r="D35" s="328"/>
      <c r="E35" s="328"/>
    </row>
    <row r="36" spans="2:5" ht="15.75">
      <c r="B36" s="85"/>
      <c r="C36" s="324" t="str">
        <f aca="true" t="shared" si="0" ref="C36:E37">C5</f>
        <v>Prior Year </v>
      </c>
      <c r="D36" s="215" t="str">
        <f t="shared" si="0"/>
        <v>Current Year </v>
      </c>
      <c r="E36" s="215" t="str">
        <f t="shared" si="0"/>
        <v>Proposed Budget </v>
      </c>
    </row>
    <row r="37" spans="2:5" ht="15.75">
      <c r="B37" s="483" t="str">
        <f>inputPrYr!B46</f>
        <v>Equipment Reserve</v>
      </c>
      <c r="C37" s="316" t="str">
        <f t="shared" si="0"/>
        <v>Actual for 2011</v>
      </c>
      <c r="D37" s="316" t="str">
        <f t="shared" si="0"/>
        <v>Estimate for 2012</v>
      </c>
      <c r="E37" s="316" t="str">
        <f t="shared" si="0"/>
        <v>Year for 2013</v>
      </c>
    </row>
    <row r="38" spans="2:5" ht="15.75">
      <c r="B38" s="148" t="s">
        <v>284</v>
      </c>
      <c r="C38" s="112">
        <v>571413</v>
      </c>
      <c r="D38" s="266">
        <f>C63</f>
        <v>592549</v>
      </c>
      <c r="E38" s="266">
        <f>D63</f>
        <v>486896</v>
      </c>
    </row>
    <row r="39" spans="2:5" ht="15.75">
      <c r="B39" s="148" t="s">
        <v>286</v>
      </c>
      <c r="C39" s="108"/>
      <c r="D39" s="108"/>
      <c r="E39" s="108"/>
    </row>
    <row r="40" spans="2:5" ht="15.75">
      <c r="B40" s="319" t="s">
        <v>1022</v>
      </c>
      <c r="C40" s="112">
        <v>80733</v>
      </c>
      <c r="D40" s="112">
        <v>36779</v>
      </c>
      <c r="E40" s="112">
        <v>181000</v>
      </c>
    </row>
    <row r="41" spans="2:5" ht="15.75">
      <c r="B41" s="319" t="s">
        <v>1023</v>
      </c>
      <c r="C41" s="112">
        <v>0</v>
      </c>
      <c r="D41" s="112">
        <v>3000</v>
      </c>
      <c r="E41" s="112">
        <v>0</v>
      </c>
    </row>
    <row r="42" spans="2:5" ht="15.75">
      <c r="B42" s="319" t="s">
        <v>1024</v>
      </c>
      <c r="C42" s="112">
        <v>6046</v>
      </c>
      <c r="D42" s="112">
        <v>0</v>
      </c>
      <c r="E42" s="112">
        <v>0</v>
      </c>
    </row>
    <row r="43" spans="2:5" ht="15.75">
      <c r="B43" s="319" t="s">
        <v>1025</v>
      </c>
      <c r="C43" s="112">
        <v>7169</v>
      </c>
      <c r="D43" s="112">
        <v>568</v>
      </c>
      <c r="E43" s="112">
        <v>0</v>
      </c>
    </row>
    <row r="44" spans="2:5" ht="15.75">
      <c r="B44" s="319" t="s">
        <v>1026</v>
      </c>
      <c r="C44" s="112">
        <v>2047</v>
      </c>
      <c r="D44" s="112">
        <v>4000</v>
      </c>
      <c r="E44" s="112">
        <v>7000</v>
      </c>
    </row>
    <row r="45" spans="2:5" ht="15.75">
      <c r="B45" s="309" t="s">
        <v>165</v>
      </c>
      <c r="C45" s="112">
        <v>0</v>
      </c>
      <c r="D45" s="112"/>
      <c r="E45" s="112"/>
    </row>
    <row r="46" spans="2:5" ht="15.75">
      <c r="B46" s="310" t="s">
        <v>75</v>
      </c>
      <c r="C46" s="112"/>
      <c r="D46" s="305"/>
      <c r="E46" s="305"/>
    </row>
    <row r="47" spans="2:5" ht="15.75">
      <c r="B47" s="310" t="s">
        <v>684</v>
      </c>
      <c r="C47" s="480">
        <f>IF(C48*0.1&lt;C46,"Exceed 10% Rule","")</f>
      </c>
      <c r="D47" s="311">
        <f>IF(D48*0.1&lt;D46,"Exceed 10% Rule","")</f>
      </c>
      <c r="E47" s="311">
        <f>IF(E48*0.1&lt;E46,"Exceed 10% Rule","")</f>
      </c>
    </row>
    <row r="48" spans="2:5" ht="15.75">
      <c r="B48" s="312" t="s">
        <v>166</v>
      </c>
      <c r="C48" s="353">
        <f>SUM(C40:C46)</f>
        <v>95995</v>
      </c>
      <c r="D48" s="353">
        <f>SUM(D40:D46)</f>
        <v>44347</v>
      </c>
      <c r="E48" s="353">
        <f>SUM(E40:E46)</f>
        <v>188000</v>
      </c>
    </row>
    <row r="49" spans="2:5" ht="15.75">
      <c r="B49" s="312" t="s">
        <v>167</v>
      </c>
      <c r="C49" s="353">
        <f>C38+C48</f>
        <v>667408</v>
      </c>
      <c r="D49" s="353">
        <f>D38+D48</f>
        <v>636896</v>
      </c>
      <c r="E49" s="353">
        <f>E38+E48</f>
        <v>674896</v>
      </c>
    </row>
    <row r="50" spans="2:5" ht="15.75">
      <c r="B50" s="148" t="s">
        <v>170</v>
      </c>
      <c r="C50" s="266"/>
      <c r="D50" s="266"/>
      <c r="E50" s="266"/>
    </row>
    <row r="51" spans="2:5" ht="15.75">
      <c r="B51" s="319" t="s">
        <v>1027</v>
      </c>
      <c r="C51" s="112">
        <v>47062</v>
      </c>
      <c r="D51" s="112">
        <v>50000</v>
      </c>
      <c r="E51" s="112">
        <v>300000</v>
      </c>
    </row>
    <row r="52" spans="2:5" ht="15.75">
      <c r="B52" s="319" t="s">
        <v>1028</v>
      </c>
      <c r="C52" s="112">
        <v>1142</v>
      </c>
      <c r="D52" s="112">
        <v>50000</v>
      </c>
      <c r="E52" s="112">
        <v>150000</v>
      </c>
    </row>
    <row r="53" spans="2:5" ht="15.75">
      <c r="B53" s="319" t="s">
        <v>1029</v>
      </c>
      <c r="C53" s="112">
        <v>16655</v>
      </c>
      <c r="D53" s="112">
        <v>50000</v>
      </c>
      <c r="E53" s="112">
        <v>224896</v>
      </c>
    </row>
    <row r="54" spans="2:5" ht="15.75">
      <c r="B54" s="319" t="s">
        <v>193</v>
      </c>
      <c r="C54" s="112">
        <v>10000</v>
      </c>
      <c r="D54" s="112">
        <v>0</v>
      </c>
      <c r="E54" s="112"/>
    </row>
    <row r="55" spans="2:5" ht="15.75">
      <c r="B55" s="319"/>
      <c r="C55" s="112"/>
      <c r="D55" s="112"/>
      <c r="E55" s="112"/>
    </row>
    <row r="56" spans="2:5" ht="15.75">
      <c r="B56" s="319"/>
      <c r="C56" s="112"/>
      <c r="D56" s="112"/>
      <c r="E56" s="112"/>
    </row>
    <row r="57" spans="2:5" ht="15.75">
      <c r="B57" s="319"/>
      <c r="C57" s="112"/>
      <c r="D57" s="112"/>
      <c r="E57" s="112"/>
    </row>
    <row r="58" spans="2:5" ht="15.75">
      <c r="B58" s="319"/>
      <c r="C58" s="112"/>
      <c r="D58" s="112"/>
      <c r="E58" s="112"/>
    </row>
    <row r="59" spans="2:5" ht="15.75">
      <c r="B59" s="319"/>
      <c r="C59" s="112"/>
      <c r="D59" s="112"/>
      <c r="E59" s="112"/>
    </row>
    <row r="60" spans="2:5" ht="15.75">
      <c r="B60" s="310" t="s">
        <v>75</v>
      </c>
      <c r="C60" s="112"/>
      <c r="D60" s="305"/>
      <c r="E60" s="305"/>
    </row>
    <row r="61" spans="2:5" ht="15.75">
      <c r="B61" s="310" t="s">
        <v>683</v>
      </c>
      <c r="C61" s="480">
        <f>IF(C62*0.1&lt;C60,"Exceed 10% Rule","")</f>
      </c>
      <c r="D61" s="311">
        <f>IF(D62*0.1&lt;D60,"Exceed 10% Rule","")</f>
      </c>
      <c r="E61" s="311">
        <f>IF(E62*0.1&lt;E60,"Exceed 10% Rule","")</f>
      </c>
    </row>
    <row r="62" spans="2:5" ht="15.75">
      <c r="B62" s="312" t="s">
        <v>171</v>
      </c>
      <c r="C62" s="353">
        <f>SUM(C51:C60)</f>
        <v>74859</v>
      </c>
      <c r="D62" s="353">
        <f>SUM(D51:D60)</f>
        <v>150000</v>
      </c>
      <c r="E62" s="353">
        <f>SUM(E51:E60)</f>
        <v>674896</v>
      </c>
    </row>
    <row r="63" spans="2:5" ht="15.75">
      <c r="B63" s="148" t="s">
        <v>285</v>
      </c>
      <c r="C63" s="120">
        <f>C49-C62</f>
        <v>592549</v>
      </c>
      <c r="D63" s="120">
        <f>D49-D62</f>
        <v>486896</v>
      </c>
      <c r="E63" s="120">
        <f>E49-E62</f>
        <v>0</v>
      </c>
    </row>
    <row r="64" spans="2:5" ht="15.75">
      <c r="B64" s="288" t="str">
        <f>CONCATENATE("",E$1-2,"/",E$1-1," Budget Authority Amount:")</f>
        <v>2011/2012 Budget Authority Amount:</v>
      </c>
      <c r="C64" s="280">
        <f>inputOth!B58</f>
        <v>648517</v>
      </c>
      <c r="D64" s="280">
        <f>inputPrYr!D46</f>
        <v>518208</v>
      </c>
      <c r="E64" s="478">
        <f>IF(E63&lt;0,"See Tab E","")</f>
      </c>
    </row>
    <row r="65" spans="2:5" ht="15.75">
      <c r="B65" s="288"/>
      <c r="C65" s="322">
        <f>IF(C62&gt;C64,"See Tab A","")</f>
      </c>
      <c r="D65" s="322">
        <f>IF(D62&gt;D64,"See Tab C","")</f>
      </c>
      <c r="E65" s="85"/>
    </row>
    <row r="66" spans="2:5" ht="15.75">
      <c r="B66" s="288"/>
      <c r="C66" s="322">
        <f>IF(C63&lt;0,"See Tab B","")</f>
      </c>
      <c r="D66" s="322">
        <f>IF(D63&lt;0,"See Tab D","")</f>
      </c>
      <c r="E66" s="85"/>
    </row>
    <row r="67" spans="2:5" ht="15.75">
      <c r="B67" s="85"/>
      <c r="C67" s="85"/>
      <c r="D67" s="85"/>
      <c r="E67" s="85"/>
    </row>
    <row r="68" spans="2:5" ht="15.75">
      <c r="B68" s="288" t="s">
        <v>194</v>
      </c>
      <c r="C68" s="350">
        <v>14</v>
      </c>
      <c r="D68" s="85"/>
      <c r="E68" s="85"/>
    </row>
  </sheetData>
  <sheetProtection/>
  <conditionalFormatting sqref="C27">
    <cfRule type="cellIs" priority="3" dxfId="408" operator="greaterThan" stopIfTrue="1">
      <formula>$C$29*0.1</formula>
    </cfRule>
  </conditionalFormatting>
  <conditionalFormatting sqref="D27">
    <cfRule type="cellIs" priority="4" dxfId="408" operator="greaterThan" stopIfTrue="1">
      <formula>$D$29*0.1</formula>
    </cfRule>
  </conditionalFormatting>
  <conditionalFormatting sqref="E27">
    <cfRule type="cellIs" priority="5" dxfId="408" operator="greaterThan" stopIfTrue="1">
      <formula>$E$29*0.1</formula>
    </cfRule>
  </conditionalFormatting>
  <conditionalFormatting sqref="C13">
    <cfRule type="cellIs" priority="6" dxfId="408" operator="greaterThan" stopIfTrue="1">
      <formula>$C$15*0.1</formula>
    </cfRule>
  </conditionalFormatting>
  <conditionalFormatting sqref="D13">
    <cfRule type="cellIs" priority="7" dxfId="408" operator="greaterThan" stopIfTrue="1">
      <formula>$D$15*0.1</formula>
    </cfRule>
  </conditionalFormatting>
  <conditionalFormatting sqref="E13">
    <cfRule type="cellIs" priority="8" dxfId="408" operator="greaterThan" stopIfTrue="1">
      <formula>$E$15*0.1</formula>
    </cfRule>
  </conditionalFormatting>
  <conditionalFormatting sqref="C46">
    <cfRule type="cellIs" priority="9" dxfId="408" operator="greaterThan" stopIfTrue="1">
      <formula>$C$48*0.1</formula>
    </cfRule>
  </conditionalFormatting>
  <conditionalFormatting sqref="D46">
    <cfRule type="cellIs" priority="10" dxfId="408" operator="greaterThan" stopIfTrue="1">
      <formula>$D$48*0.1</formula>
    </cfRule>
  </conditionalFormatting>
  <conditionalFormatting sqref="E46">
    <cfRule type="cellIs" priority="11" dxfId="408" operator="greaterThan" stopIfTrue="1">
      <formula>$E$48*0.1</formula>
    </cfRule>
  </conditionalFormatting>
  <conditionalFormatting sqref="C60">
    <cfRule type="cellIs" priority="12" dxfId="408" operator="greaterThan" stopIfTrue="1">
      <formula>$C$62*0.1</formula>
    </cfRule>
  </conditionalFormatting>
  <conditionalFormatting sqref="D60">
    <cfRule type="cellIs" priority="13" dxfId="408" operator="greaterThan" stopIfTrue="1">
      <formula>$D$62*0.1</formula>
    </cfRule>
  </conditionalFormatting>
  <conditionalFormatting sqref="E60">
    <cfRule type="cellIs" priority="14" dxfId="408" operator="greaterThan" stopIfTrue="1">
      <formula>$E$62*0.1</formula>
    </cfRule>
  </conditionalFormatting>
  <conditionalFormatting sqref="E30 C30 E63 C63">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2">
    <cfRule type="cellIs" priority="18" dxfId="2" operator="greaterThan" stopIfTrue="1">
      <formula>$D$64</formula>
    </cfRule>
  </conditionalFormatting>
  <conditionalFormatting sqref="C62">
    <cfRule type="cellIs" priority="19" dxfId="2" operator="greaterThan" stopIfTrue="1">
      <formula>$C$64</formula>
    </cfRule>
  </conditionalFormatting>
  <conditionalFormatting sqref="D30">
    <cfRule type="cellIs" priority="2" dxfId="0" operator="lessThan" stopIfTrue="1">
      <formula>0</formula>
    </cfRule>
  </conditionalFormatting>
  <conditionalFormatting sqref="D63">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6" r:id="rId1"/>
  <headerFooter alignWithMargins="0">
    <oddHeader>&amp;RState of Kansas
County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B1" sqref="B1"/>
    </sheetView>
  </sheetViews>
  <sheetFormatPr defaultColWidth="8.796875" defaultRowHeight="15"/>
  <cols>
    <col min="1" max="1" width="2.3984375" style="72" customWidth="1"/>
    <col min="2" max="2" width="31.09765625" style="72" customWidth="1"/>
    <col min="3" max="4" width="15.796875" style="72" customWidth="1"/>
    <col min="5" max="5" width="16.19921875" style="72" customWidth="1"/>
    <col min="6"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243</v>
      </c>
      <c r="C3" s="334"/>
      <c r="D3" s="334"/>
      <c r="E3" s="335"/>
    </row>
    <row r="4" spans="2:5" ht="15.75">
      <c r="B4" s="85"/>
      <c r="C4" s="328"/>
      <c r="D4" s="328"/>
      <c r="E4" s="328"/>
    </row>
    <row r="5" spans="2:5" ht="15.75">
      <c r="B5" s="84" t="s">
        <v>160</v>
      </c>
      <c r="C5" s="324" t="str">
        <f>general!C4</f>
        <v>Prior Year </v>
      </c>
      <c r="D5" s="215" t="str">
        <f>general!D4</f>
        <v>Current Year </v>
      </c>
      <c r="E5" s="215" t="str">
        <f>general!E4</f>
        <v>Proposed Budget </v>
      </c>
    </row>
    <row r="6" spans="2:5" ht="15.75">
      <c r="B6" s="484" t="str">
        <f>inputPrYr!B47</f>
        <v>Capital Improvements</v>
      </c>
      <c r="C6" s="316" t="str">
        <f>general!C5</f>
        <v>Actual for 2011</v>
      </c>
      <c r="D6" s="316" t="str">
        <f>general!D5</f>
        <v>Estimate for 2012</v>
      </c>
      <c r="E6" s="303" t="str">
        <f>general!E5</f>
        <v>Year for 2013</v>
      </c>
    </row>
    <row r="7" spans="2:5" ht="15.75">
      <c r="B7" s="148" t="s">
        <v>284</v>
      </c>
      <c r="C7" s="112">
        <v>776081</v>
      </c>
      <c r="D7" s="266">
        <f>C30</f>
        <v>714673</v>
      </c>
      <c r="E7" s="266">
        <f>D30</f>
        <v>514673</v>
      </c>
    </row>
    <row r="8" spans="2:5" ht="15.75">
      <c r="B8" s="337" t="s">
        <v>286</v>
      </c>
      <c r="C8" s="108"/>
      <c r="D8" s="108"/>
      <c r="E8" s="108"/>
    </row>
    <row r="9" spans="2:5" ht="15.75">
      <c r="B9" s="319" t="s">
        <v>1030</v>
      </c>
      <c r="C9" s="112">
        <v>0</v>
      </c>
      <c r="D9" s="112">
        <v>0</v>
      </c>
      <c r="E9" s="112">
        <v>50000</v>
      </c>
    </row>
    <row r="10" spans="2:5" ht="15.75">
      <c r="B10" s="319"/>
      <c r="C10" s="112"/>
      <c r="D10" s="112"/>
      <c r="E10" s="112"/>
    </row>
    <row r="11" spans="2:5" ht="15.75">
      <c r="B11" s="319"/>
      <c r="C11" s="112"/>
      <c r="D11" s="112"/>
      <c r="E11" s="112"/>
    </row>
    <row r="12" spans="2:5" ht="15.75">
      <c r="B12" s="309" t="s">
        <v>165</v>
      </c>
      <c r="C12" s="112"/>
      <c r="D12" s="112"/>
      <c r="E12" s="112"/>
    </row>
    <row r="13" spans="2:5" ht="15.75">
      <c r="B13" s="310" t="s">
        <v>75</v>
      </c>
      <c r="C13" s="112"/>
      <c r="D13" s="305"/>
      <c r="E13" s="305"/>
    </row>
    <row r="14" spans="2:5" ht="15.75">
      <c r="B14" s="310" t="s">
        <v>684</v>
      </c>
      <c r="C14" s="480">
        <f>IF(C15*0.1&lt;C13,"Exceed 10% Rule","")</f>
      </c>
      <c r="D14" s="311">
        <f>IF(D15*0.1&lt;D13,"Exceed 10% Rule","")</f>
      </c>
      <c r="E14" s="311">
        <f>IF(E15*0.1&lt;E13,"Exceed 10% Rule","")</f>
      </c>
    </row>
    <row r="15" spans="2:5" ht="15.75">
      <c r="B15" s="312" t="s">
        <v>166</v>
      </c>
      <c r="C15" s="353">
        <f>SUM(C9:C13)</f>
        <v>0</v>
      </c>
      <c r="D15" s="353">
        <f>SUM(D9:D13)</f>
        <v>0</v>
      </c>
      <c r="E15" s="353">
        <f>SUM(E9:E13)</f>
        <v>50000</v>
      </c>
    </row>
    <row r="16" spans="2:5" ht="15.75">
      <c r="B16" s="312" t="s">
        <v>167</v>
      </c>
      <c r="C16" s="353">
        <f>C15+C7</f>
        <v>776081</v>
      </c>
      <c r="D16" s="353">
        <f>D15+D7</f>
        <v>714673</v>
      </c>
      <c r="E16" s="353">
        <f>E15+E7</f>
        <v>564673</v>
      </c>
    </row>
    <row r="17" spans="2:5" ht="15.75">
      <c r="B17" s="148" t="s">
        <v>170</v>
      </c>
      <c r="C17" s="266"/>
      <c r="D17" s="266"/>
      <c r="E17" s="266"/>
    </row>
    <row r="18" spans="2:5" ht="15.75">
      <c r="B18" s="319" t="s">
        <v>989</v>
      </c>
      <c r="C18" s="112">
        <v>9300</v>
      </c>
      <c r="D18" s="112">
        <v>100000</v>
      </c>
      <c r="E18" s="112">
        <v>150000</v>
      </c>
    </row>
    <row r="19" spans="2:5" ht="15.75">
      <c r="B19" s="319" t="s">
        <v>1031</v>
      </c>
      <c r="C19" s="112">
        <v>12980</v>
      </c>
      <c r="D19" s="112">
        <v>100000</v>
      </c>
      <c r="E19" s="112">
        <v>150000</v>
      </c>
    </row>
    <row r="20" spans="2:5" ht="15.75">
      <c r="B20" s="319" t="s">
        <v>1032</v>
      </c>
      <c r="C20" s="112">
        <v>31542</v>
      </c>
      <c r="D20" s="112">
        <v>0</v>
      </c>
      <c r="E20" s="112">
        <v>100000</v>
      </c>
    </row>
    <row r="21" spans="2:5" ht="15.75">
      <c r="B21" s="319" t="s">
        <v>1033</v>
      </c>
      <c r="C21" s="112">
        <v>0</v>
      </c>
      <c r="D21" s="112">
        <v>0</v>
      </c>
      <c r="E21" s="112">
        <v>114673</v>
      </c>
    </row>
    <row r="22" spans="2:5" ht="15.75">
      <c r="B22" s="319" t="s">
        <v>1029</v>
      </c>
      <c r="C22" s="112">
        <v>7586</v>
      </c>
      <c r="D22" s="112">
        <v>0</v>
      </c>
      <c r="E22" s="112">
        <v>50000</v>
      </c>
    </row>
    <row r="23" spans="2:5" ht="15.75">
      <c r="B23" s="319"/>
      <c r="C23" s="112"/>
      <c r="D23" s="112"/>
      <c r="E23" s="112"/>
    </row>
    <row r="24" spans="2:5" ht="15.75">
      <c r="B24" s="319"/>
      <c r="C24" s="112"/>
      <c r="D24" s="112"/>
      <c r="E24" s="112"/>
    </row>
    <row r="25" spans="2:5" ht="15.75">
      <c r="B25" s="319"/>
      <c r="C25" s="112"/>
      <c r="D25" s="112"/>
      <c r="E25" s="112"/>
    </row>
    <row r="26" spans="2:5" ht="15.75">
      <c r="B26" s="319"/>
      <c r="C26" s="112"/>
      <c r="D26" s="112"/>
      <c r="E26" s="112"/>
    </row>
    <row r="27" spans="2:5" ht="15.75">
      <c r="B27" s="310" t="s">
        <v>75</v>
      </c>
      <c r="C27" s="112"/>
      <c r="D27" s="305"/>
      <c r="E27" s="305"/>
    </row>
    <row r="28" spans="2:5" ht="15.75">
      <c r="B28" s="310" t="s">
        <v>683</v>
      </c>
      <c r="C28" s="480">
        <f>IF(C29*0.1&lt;C27,"Exceed 10% Rule","")</f>
      </c>
      <c r="D28" s="311">
        <f>IF(D29*0.1&lt;D27,"Exceed 10% Rule","")</f>
      </c>
      <c r="E28" s="311">
        <f>IF(E29*0.1&lt;E27,"Exceed 10% Rule","")</f>
      </c>
    </row>
    <row r="29" spans="2:5" ht="15.75">
      <c r="B29" s="312" t="s">
        <v>171</v>
      </c>
      <c r="C29" s="353">
        <f>SUM(C18:C27)</f>
        <v>61408</v>
      </c>
      <c r="D29" s="353">
        <f>SUM(D18:D27)</f>
        <v>200000</v>
      </c>
      <c r="E29" s="353">
        <f>SUM(E18:E27)</f>
        <v>564673</v>
      </c>
    </row>
    <row r="30" spans="2:5" ht="15.75">
      <c r="B30" s="148" t="s">
        <v>285</v>
      </c>
      <c r="C30" s="120">
        <f>C16-C29</f>
        <v>714673</v>
      </c>
      <c r="D30" s="120">
        <f>D16-D29</f>
        <v>514673</v>
      </c>
      <c r="E30" s="120">
        <f>E16-E29</f>
        <v>0</v>
      </c>
    </row>
    <row r="31" spans="2:5" ht="15.75">
      <c r="B31" s="288" t="str">
        <f>CONCATENATE("",E$1-2,"/",E$1-1," Budget Authority Amount:")</f>
        <v>2011/2012 Budget Authority Amount:</v>
      </c>
      <c r="C31" s="280">
        <f>inputOth!B59</f>
        <v>1037581</v>
      </c>
      <c r="D31" s="280">
        <f>inputPrYr!D47</f>
        <v>626081</v>
      </c>
      <c r="E31" s="479">
        <f>IF(E30&lt;0,"See Tab E","")</f>
      </c>
    </row>
    <row r="32" spans="2:5" ht="15.75">
      <c r="B32" s="288"/>
      <c r="C32" s="322">
        <f>IF(C29&gt;C31,"See Tab A","")</f>
      </c>
      <c r="D32" s="322">
        <f>IF(D29&gt;D31,"See Tab C","")</f>
      </c>
      <c r="E32" s="145"/>
    </row>
    <row r="33" spans="2:5" ht="15.75">
      <c r="B33" s="288"/>
      <c r="C33" s="322">
        <f>IF(C30&lt;0,"See Tab B","")</f>
      </c>
      <c r="D33" s="322">
        <f>IF(D30&lt;0,"See Tab D","")</f>
      </c>
      <c r="E33" s="145"/>
    </row>
    <row r="34" spans="2:5" ht="15.75">
      <c r="B34" s="85"/>
      <c r="C34" s="145"/>
      <c r="D34" s="145"/>
      <c r="E34" s="145"/>
    </row>
    <row r="35" spans="2:5" ht="15.75">
      <c r="B35" s="84" t="s">
        <v>160</v>
      </c>
      <c r="C35" s="328"/>
      <c r="D35" s="328"/>
      <c r="E35" s="328"/>
    </row>
    <row r="36" spans="2:5" ht="15.75">
      <c r="B36" s="85"/>
      <c r="C36" s="324" t="str">
        <f aca="true" t="shared" si="0" ref="C36:E37">C5</f>
        <v>Prior Year </v>
      </c>
      <c r="D36" s="215" t="str">
        <f t="shared" si="0"/>
        <v>Current Year </v>
      </c>
      <c r="E36" s="215" t="str">
        <f t="shared" si="0"/>
        <v>Proposed Budget </v>
      </c>
    </row>
    <row r="37" spans="2:5" ht="15.75">
      <c r="B37" s="483" t="str">
        <f>inputPrYr!B48</f>
        <v>Risk Management</v>
      </c>
      <c r="C37" s="316" t="str">
        <f t="shared" si="0"/>
        <v>Actual for 2011</v>
      </c>
      <c r="D37" s="316" t="str">
        <f t="shared" si="0"/>
        <v>Estimate for 2012</v>
      </c>
      <c r="E37" s="316" t="str">
        <f t="shared" si="0"/>
        <v>Year for 2013</v>
      </c>
    </row>
    <row r="38" spans="2:5" ht="15.75">
      <c r="B38" s="148" t="s">
        <v>284</v>
      </c>
      <c r="C38" s="112">
        <v>568232</v>
      </c>
      <c r="D38" s="266">
        <f>C61</f>
        <v>561997</v>
      </c>
      <c r="E38" s="266">
        <f>D61</f>
        <v>321265</v>
      </c>
    </row>
    <row r="39" spans="2:5" ht="15.75">
      <c r="B39" s="148" t="s">
        <v>286</v>
      </c>
      <c r="C39" s="108"/>
      <c r="D39" s="108"/>
      <c r="E39" s="108"/>
    </row>
    <row r="40" spans="2:5" ht="15.75">
      <c r="B40" s="319" t="s">
        <v>1034</v>
      </c>
      <c r="C40" s="112">
        <v>0</v>
      </c>
      <c r="D40" s="112">
        <v>0</v>
      </c>
      <c r="E40" s="112">
        <v>75000</v>
      </c>
    </row>
    <row r="41" spans="2:5" ht="15.75">
      <c r="B41" s="319" t="s">
        <v>999</v>
      </c>
      <c r="C41" s="112">
        <v>72315</v>
      </c>
      <c r="D41" s="112">
        <v>0</v>
      </c>
      <c r="E41" s="112">
        <v>0</v>
      </c>
    </row>
    <row r="42" spans="2:5" ht="15.75">
      <c r="B42" s="319"/>
      <c r="C42" s="112"/>
      <c r="D42" s="112"/>
      <c r="E42" s="112"/>
    </row>
    <row r="43" spans="2:5" ht="15.75">
      <c r="B43" s="309" t="s">
        <v>165</v>
      </c>
      <c r="C43" s="112">
        <v>2856</v>
      </c>
      <c r="D43" s="112"/>
      <c r="E43" s="112"/>
    </row>
    <row r="44" spans="2:5" ht="15.75">
      <c r="B44" s="310" t="s">
        <v>75</v>
      </c>
      <c r="C44" s="112"/>
      <c r="D44" s="305"/>
      <c r="E44" s="305"/>
    </row>
    <row r="45" spans="2:5" ht="15.75">
      <c r="B45" s="310" t="s">
        <v>684</v>
      </c>
      <c r="C45" s="480">
        <f>IF(C46*0.1&lt;C44,"Exceed 10% Rule","")</f>
      </c>
      <c r="D45" s="311">
        <f>IF(D46*0.1&lt;D44,"Exceed 10% Rule","")</f>
      </c>
      <c r="E45" s="311">
        <f>IF(E46*0.1&lt;E44,"Exceed 10% Rule","")</f>
      </c>
    </row>
    <row r="46" spans="2:5" ht="15.75">
      <c r="B46" s="312" t="s">
        <v>166</v>
      </c>
      <c r="C46" s="353">
        <f>SUM(C40:C44)</f>
        <v>75171</v>
      </c>
      <c r="D46" s="353">
        <f>SUM(D40:D44)</f>
        <v>0</v>
      </c>
      <c r="E46" s="353">
        <f>SUM(E40:E44)</f>
        <v>75000</v>
      </c>
    </row>
    <row r="47" spans="2:5" ht="15.75">
      <c r="B47" s="312" t="s">
        <v>167</v>
      </c>
      <c r="C47" s="353">
        <f>C38+C46</f>
        <v>643403</v>
      </c>
      <c r="D47" s="353">
        <f>D38+D46</f>
        <v>561997</v>
      </c>
      <c r="E47" s="353">
        <f>E38+E46</f>
        <v>396265</v>
      </c>
    </row>
    <row r="48" spans="2:5" ht="15.75">
      <c r="B48" s="148" t="s">
        <v>170</v>
      </c>
      <c r="C48" s="266"/>
      <c r="D48" s="266"/>
      <c r="E48" s="266"/>
    </row>
    <row r="49" spans="2:5" ht="15.75">
      <c r="B49" s="319" t="s">
        <v>983</v>
      </c>
      <c r="C49" s="112">
        <v>15224</v>
      </c>
      <c r="D49" s="112">
        <v>240732</v>
      </c>
      <c r="E49" s="112">
        <v>221265</v>
      </c>
    </row>
    <row r="50" spans="2:5" ht="15.75">
      <c r="B50" s="319" t="s">
        <v>1035</v>
      </c>
      <c r="C50" s="112">
        <v>66182</v>
      </c>
      <c r="D50" s="112">
        <v>0</v>
      </c>
      <c r="E50" s="112">
        <v>175000</v>
      </c>
    </row>
    <row r="51" spans="2:5" ht="15.75">
      <c r="B51" s="319"/>
      <c r="C51" s="112"/>
      <c r="D51" s="112"/>
      <c r="E51" s="112"/>
    </row>
    <row r="52" spans="2:5" ht="15.75">
      <c r="B52" s="319"/>
      <c r="C52" s="112"/>
      <c r="D52" s="112"/>
      <c r="E52" s="112"/>
    </row>
    <row r="53" spans="2:5" ht="15.75">
      <c r="B53" s="319"/>
      <c r="C53" s="112"/>
      <c r="D53" s="112"/>
      <c r="E53" s="112"/>
    </row>
    <row r="54" spans="2:5" ht="15.75">
      <c r="B54" s="319"/>
      <c r="C54" s="112"/>
      <c r="D54" s="112"/>
      <c r="E54" s="112"/>
    </row>
    <row r="55" spans="2:5" ht="15.75">
      <c r="B55" s="319"/>
      <c r="C55" s="112"/>
      <c r="D55" s="112"/>
      <c r="E55" s="112"/>
    </row>
    <row r="56" spans="2:5" ht="15.75">
      <c r="B56" s="319"/>
      <c r="C56" s="112"/>
      <c r="D56" s="112"/>
      <c r="E56" s="112"/>
    </row>
    <row r="57" spans="2:5" ht="15.75">
      <c r="B57" s="319"/>
      <c r="C57" s="112"/>
      <c r="D57" s="112"/>
      <c r="E57" s="112"/>
    </row>
    <row r="58" spans="2:5" ht="15.75">
      <c r="B58" s="310" t="s">
        <v>75</v>
      </c>
      <c r="C58" s="112"/>
      <c r="D58" s="305"/>
      <c r="E58" s="305"/>
    </row>
    <row r="59" spans="2:5" ht="15.75">
      <c r="B59" s="310" t="s">
        <v>683</v>
      </c>
      <c r="C59" s="480">
        <f>IF(C60*0.1&lt;C58,"Exceed 10% Rule","")</f>
      </c>
      <c r="D59" s="311">
        <f>IF(D60*0.1&lt;D58,"Exceed 10% Rule","")</f>
      </c>
      <c r="E59" s="311">
        <f>IF(E60*0.1&lt;E58,"Exceed 10% Rule","")</f>
      </c>
    </row>
    <row r="60" spans="2:5" ht="15.75">
      <c r="B60" s="312" t="s">
        <v>171</v>
      </c>
      <c r="C60" s="353">
        <f>SUM(C49:C58)</f>
        <v>81406</v>
      </c>
      <c r="D60" s="353">
        <f>SUM(D49:D58)</f>
        <v>240732</v>
      </c>
      <c r="E60" s="353">
        <f>SUM(E49:E58)</f>
        <v>396265</v>
      </c>
    </row>
    <row r="61" spans="2:5" ht="15.75">
      <c r="B61" s="148" t="s">
        <v>285</v>
      </c>
      <c r="C61" s="120">
        <f>C47-C60</f>
        <v>561997</v>
      </c>
      <c r="D61" s="120">
        <f>D47-D60</f>
        <v>321265</v>
      </c>
      <c r="E61" s="120">
        <f>E47-E60</f>
        <v>0</v>
      </c>
    </row>
    <row r="62" spans="2:5" ht="15.75">
      <c r="B62" s="288" t="str">
        <f>CONCATENATE("",E$1-2,"/",E$1-1," Budget Authority Amount:")</f>
        <v>2011/2012 Budget Authority Amount:</v>
      </c>
      <c r="C62" s="280">
        <f>inputOth!B60</f>
        <v>583871</v>
      </c>
      <c r="D62" s="280">
        <f>inputPrYr!D48</f>
        <v>240732</v>
      </c>
      <c r="E62" s="478">
        <f>IF(E61&lt;0,"See Tab E","")</f>
      </c>
    </row>
    <row r="63" spans="2:5" ht="15.75">
      <c r="B63" s="288"/>
      <c r="C63" s="322">
        <f>IF(C60&gt;C62,"See Tab A","")</f>
      </c>
      <c r="D63" s="322">
        <f>IF(D60&gt;D62,"See Tab C","")</f>
      </c>
      <c r="E63" s="85"/>
    </row>
    <row r="64" spans="2:5" ht="15.75">
      <c r="B64" s="288"/>
      <c r="C64" s="322">
        <f>IF(C61&lt;0,"See Tab B","")</f>
      </c>
      <c r="D64" s="322">
        <f>IF(D61&lt;0,"See Tab D","")</f>
      </c>
      <c r="E64" s="85"/>
    </row>
    <row r="65" spans="2:5" ht="15.75">
      <c r="B65" s="85"/>
      <c r="C65" s="85"/>
      <c r="D65" s="85"/>
      <c r="E65" s="85"/>
    </row>
    <row r="66" spans="2:5" ht="15.75">
      <c r="B66" s="288" t="s">
        <v>194</v>
      </c>
      <c r="C66" s="350">
        <v>15</v>
      </c>
      <c r="D66" s="85"/>
      <c r="E66" s="85"/>
    </row>
  </sheetData>
  <sheetProtection sheet="1"/>
  <conditionalFormatting sqref="C27">
    <cfRule type="cellIs" priority="3" dxfId="408" operator="greaterThan" stopIfTrue="1">
      <formula>$C$29*0.1</formula>
    </cfRule>
  </conditionalFormatting>
  <conditionalFormatting sqref="D27">
    <cfRule type="cellIs" priority="4" dxfId="408" operator="greaterThan" stopIfTrue="1">
      <formula>$D$29*0.1</formula>
    </cfRule>
  </conditionalFormatting>
  <conditionalFormatting sqref="E27">
    <cfRule type="cellIs" priority="5" dxfId="408" operator="greaterThan" stopIfTrue="1">
      <formula>$E$29*0.1</formula>
    </cfRule>
  </conditionalFormatting>
  <conditionalFormatting sqref="C13">
    <cfRule type="cellIs" priority="6" dxfId="408" operator="greaterThan" stopIfTrue="1">
      <formula>$C$15*0.1</formula>
    </cfRule>
  </conditionalFormatting>
  <conditionalFormatting sqref="D13">
    <cfRule type="cellIs" priority="7" dxfId="408" operator="greaterThan" stopIfTrue="1">
      <formula>$D$15*0.1</formula>
    </cfRule>
  </conditionalFormatting>
  <conditionalFormatting sqref="E13">
    <cfRule type="cellIs" priority="8" dxfId="408" operator="greaterThan" stopIfTrue="1">
      <formula>$E$15*0.1</formula>
    </cfRule>
  </conditionalFormatting>
  <conditionalFormatting sqref="C44">
    <cfRule type="cellIs" priority="9" dxfId="408" operator="greaterThan" stopIfTrue="1">
      <formula>$C$46*0.1</formula>
    </cfRule>
  </conditionalFormatting>
  <conditionalFormatting sqref="D44">
    <cfRule type="cellIs" priority="10" dxfId="408" operator="greaterThan" stopIfTrue="1">
      <formula>$D$46*0.1</formula>
    </cfRule>
  </conditionalFormatting>
  <conditionalFormatting sqref="E44">
    <cfRule type="cellIs" priority="11" dxfId="408" operator="greaterThan" stopIfTrue="1">
      <formula>$E$46*0.1</formula>
    </cfRule>
  </conditionalFormatting>
  <conditionalFormatting sqref="C58">
    <cfRule type="cellIs" priority="12" dxfId="408" operator="greaterThan" stopIfTrue="1">
      <formula>$C$60*0.1</formula>
    </cfRule>
  </conditionalFormatting>
  <conditionalFormatting sqref="D58">
    <cfRule type="cellIs" priority="13" dxfId="408" operator="greaterThan" stopIfTrue="1">
      <formula>$D$60*0.1</formula>
    </cfRule>
  </conditionalFormatting>
  <conditionalFormatting sqref="E58">
    <cfRule type="cellIs" priority="14" dxfId="408"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B1" sqref="B1"/>
    </sheetView>
  </sheetViews>
  <sheetFormatPr defaultColWidth="8.796875" defaultRowHeight="15"/>
  <cols>
    <col min="1" max="1" width="2.3984375" style="72" customWidth="1"/>
    <col min="2" max="2" width="31.09765625" style="72" customWidth="1"/>
    <col min="3" max="4" width="15.796875" style="72" customWidth="1"/>
    <col min="5" max="5" width="16.09765625" style="72" customWidth="1"/>
    <col min="6"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243</v>
      </c>
      <c r="C3" s="334"/>
      <c r="D3" s="334"/>
      <c r="E3" s="335"/>
    </row>
    <row r="4" spans="2:5" ht="15.75">
      <c r="B4" s="85"/>
      <c r="C4" s="328"/>
      <c r="D4" s="328"/>
      <c r="E4" s="328"/>
    </row>
    <row r="5" spans="2:5" ht="15.75">
      <c r="B5" s="84" t="s">
        <v>160</v>
      </c>
      <c r="C5" s="324" t="str">
        <f>general!C4</f>
        <v>Prior Year </v>
      </c>
      <c r="D5" s="215" t="str">
        <f>general!D4</f>
        <v>Current Year </v>
      </c>
      <c r="E5" s="215" t="str">
        <f>general!E4</f>
        <v>Proposed Budget </v>
      </c>
    </row>
    <row r="6" spans="2:5" ht="15.75">
      <c r="B6" s="484" t="str">
        <f>inputPrYr!B49</f>
        <v>911 Fund</v>
      </c>
      <c r="C6" s="316" t="str">
        <f>general!C5</f>
        <v>Actual for 2011</v>
      </c>
      <c r="D6" s="316" t="str">
        <f>general!D5</f>
        <v>Estimate for 2012</v>
      </c>
      <c r="E6" s="303" t="str">
        <f>general!E5</f>
        <v>Year for 2013</v>
      </c>
    </row>
    <row r="7" spans="2:5" ht="15.75">
      <c r="B7" s="148" t="s">
        <v>284</v>
      </c>
      <c r="C7" s="112">
        <v>83065</v>
      </c>
      <c r="D7" s="266">
        <f>C30</f>
        <v>127901</v>
      </c>
      <c r="E7" s="266">
        <f>D30</f>
        <v>98989</v>
      </c>
    </row>
    <row r="8" spans="2:5" ht="15.75">
      <c r="B8" s="337" t="s">
        <v>286</v>
      </c>
      <c r="C8" s="108"/>
      <c r="D8" s="108"/>
      <c r="E8" s="108"/>
    </row>
    <row r="9" spans="2:5" ht="15.75">
      <c r="B9" s="319" t="s">
        <v>1036</v>
      </c>
      <c r="C9" s="112">
        <v>30580</v>
      </c>
      <c r="D9" s="112">
        <v>65000</v>
      </c>
      <c r="E9" s="112">
        <v>60000</v>
      </c>
    </row>
    <row r="10" spans="2:5" ht="15.75">
      <c r="B10" s="319" t="s">
        <v>1037</v>
      </c>
      <c r="C10" s="112">
        <v>49291</v>
      </c>
      <c r="D10" s="112">
        <v>25959</v>
      </c>
      <c r="E10" s="112">
        <v>0</v>
      </c>
    </row>
    <row r="11" spans="2:5" ht="15.75">
      <c r="B11" s="319" t="s">
        <v>1070</v>
      </c>
      <c r="C11" s="112">
        <v>0</v>
      </c>
      <c r="D11" s="112">
        <v>101224</v>
      </c>
      <c r="E11" s="112">
        <v>129642</v>
      </c>
    </row>
    <row r="12" spans="2:5" ht="15.75">
      <c r="B12" s="309" t="s">
        <v>165</v>
      </c>
      <c r="C12" s="112">
        <v>388</v>
      </c>
      <c r="D12" s="112">
        <v>400</v>
      </c>
      <c r="E12" s="112">
        <v>400</v>
      </c>
    </row>
    <row r="13" spans="2:5" ht="15.75">
      <c r="B13" s="310" t="s">
        <v>75</v>
      </c>
      <c r="C13" s="112"/>
      <c r="D13" s="305"/>
      <c r="E13" s="305"/>
    </row>
    <row r="14" spans="2:5" ht="15.75">
      <c r="B14" s="310" t="s">
        <v>684</v>
      </c>
      <c r="C14" s="480">
        <f>IF(C15*0.1&lt;C13,"Exceed 10% Rule","")</f>
      </c>
      <c r="D14" s="311">
        <f>IF(D15*0.1&lt;D13,"Exceed 10% Rule","")</f>
      </c>
      <c r="E14" s="311">
        <f>IF(E15*0.1&lt;E13,"Exceed 10% Rule","")</f>
      </c>
    </row>
    <row r="15" spans="2:5" ht="15.75">
      <c r="B15" s="312" t="s">
        <v>166</v>
      </c>
      <c r="C15" s="353">
        <f>SUM(C9:C13)</f>
        <v>80259</v>
      </c>
      <c r="D15" s="353">
        <f>SUM(D9:D13)</f>
        <v>192583</v>
      </c>
      <c r="E15" s="353">
        <f>SUM(E9:E13)</f>
        <v>190042</v>
      </c>
    </row>
    <row r="16" spans="2:5" ht="15.75">
      <c r="B16" s="312" t="s">
        <v>167</v>
      </c>
      <c r="C16" s="353">
        <f>C15+C7</f>
        <v>163324</v>
      </c>
      <c r="D16" s="353">
        <f>D15+D7</f>
        <v>320484</v>
      </c>
      <c r="E16" s="353">
        <f>E15+E7</f>
        <v>289031</v>
      </c>
    </row>
    <row r="17" spans="2:5" ht="15.75">
      <c r="B17" s="148" t="s">
        <v>170</v>
      </c>
      <c r="C17" s="266"/>
      <c r="D17" s="266"/>
      <c r="E17" s="266"/>
    </row>
    <row r="18" spans="2:5" ht="15.75">
      <c r="B18" s="319" t="s">
        <v>980</v>
      </c>
      <c r="C18" s="112">
        <v>0</v>
      </c>
      <c r="D18" s="112">
        <v>0</v>
      </c>
      <c r="E18" s="112">
        <v>0</v>
      </c>
    </row>
    <row r="19" spans="2:5" ht="15.75">
      <c r="B19" s="319" t="s">
        <v>1007</v>
      </c>
      <c r="C19" s="112">
        <v>20932</v>
      </c>
      <c r="D19" s="112">
        <v>44550</v>
      </c>
      <c r="E19" s="112">
        <v>44550</v>
      </c>
    </row>
    <row r="20" spans="2:5" ht="15.75">
      <c r="B20" s="319" t="s">
        <v>995</v>
      </c>
      <c r="C20" s="112">
        <v>7322</v>
      </c>
      <c r="D20" s="112">
        <v>161377</v>
      </c>
      <c r="E20" s="112">
        <v>145492</v>
      </c>
    </row>
    <row r="21" spans="2:5" ht="15.75">
      <c r="B21" s="319" t="s">
        <v>996</v>
      </c>
      <c r="C21" s="112">
        <v>0</v>
      </c>
      <c r="D21" s="112">
        <v>15000</v>
      </c>
      <c r="E21" s="112">
        <v>0</v>
      </c>
    </row>
    <row r="22" spans="2:5" ht="15.75">
      <c r="B22" s="319" t="s">
        <v>1014</v>
      </c>
      <c r="C22" s="112">
        <v>7169</v>
      </c>
      <c r="D22" s="112">
        <v>568</v>
      </c>
      <c r="E22" s="112">
        <v>0</v>
      </c>
    </row>
    <row r="23" spans="2:5" ht="15.75">
      <c r="B23" s="319"/>
      <c r="C23" s="112"/>
      <c r="D23" s="112"/>
      <c r="E23" s="112"/>
    </row>
    <row r="24" spans="2:5" ht="15.75">
      <c r="B24" s="319"/>
      <c r="C24" s="112"/>
      <c r="D24" s="112"/>
      <c r="E24" s="112"/>
    </row>
    <row r="25" spans="2:5" ht="15.75">
      <c r="B25" s="319"/>
      <c r="C25" s="112"/>
      <c r="D25" s="112"/>
      <c r="E25" s="112"/>
    </row>
    <row r="26" spans="2:5" ht="15.75">
      <c r="B26" s="319"/>
      <c r="C26" s="112"/>
      <c r="D26" s="112"/>
      <c r="E26" s="112"/>
    </row>
    <row r="27" spans="2:5" ht="15.75">
      <c r="B27" s="310" t="s">
        <v>75</v>
      </c>
      <c r="C27" s="112"/>
      <c r="D27" s="305"/>
      <c r="E27" s="305"/>
    </row>
    <row r="28" spans="2:5" ht="15.75">
      <c r="B28" s="310" t="s">
        <v>683</v>
      </c>
      <c r="C28" s="480">
        <f>IF(C29*0.1&lt;C27,"Exceed 10% Rule","")</f>
      </c>
      <c r="D28" s="311">
        <f>IF(D29*0.1&lt;D27,"Exceed 10% Rule","")</f>
      </c>
      <c r="E28" s="311">
        <f>IF(E29*0.1&lt;E27,"Exceed 10% Rule","")</f>
      </c>
    </row>
    <row r="29" spans="2:5" ht="15.75">
      <c r="B29" s="312" t="s">
        <v>171</v>
      </c>
      <c r="C29" s="353">
        <f>SUM(C18:C27)</f>
        <v>35423</v>
      </c>
      <c r="D29" s="353">
        <f>SUM(D18:D27)</f>
        <v>221495</v>
      </c>
      <c r="E29" s="353">
        <f>SUM(E18:E27)</f>
        <v>190042</v>
      </c>
    </row>
    <row r="30" spans="2:5" ht="15.75">
      <c r="B30" s="148" t="s">
        <v>285</v>
      </c>
      <c r="C30" s="120">
        <f>C16-C29</f>
        <v>127901</v>
      </c>
      <c r="D30" s="120">
        <f>D16-D29</f>
        <v>98989</v>
      </c>
      <c r="E30" s="120">
        <f>E16-E29</f>
        <v>98989</v>
      </c>
    </row>
    <row r="31" spans="2:5" ht="15.75">
      <c r="B31" s="288" t="str">
        <f>CONCATENATE("",E$1-2,"/",E$1-1," Budget Authority Amount:")</f>
        <v>2011/2012 Budget Authority Amount:</v>
      </c>
      <c r="C31" s="280">
        <f>inputOth!B61</f>
        <v>108582</v>
      </c>
      <c r="D31" s="280">
        <f>inputPrYr!D49</f>
        <v>221495</v>
      </c>
      <c r="E31" s="479">
        <f>IF(E30&lt;0,"See Tab E","")</f>
      </c>
    </row>
    <row r="32" spans="2:5" ht="15.75">
      <c r="B32" s="288"/>
      <c r="C32" s="322">
        <f>IF(C29&gt;C31,"See Tab A","")</f>
      </c>
      <c r="D32" s="322">
        <f>IF(D29&gt;D31,"See Tab C","")</f>
      </c>
      <c r="E32" s="145"/>
    </row>
    <row r="33" spans="2:5" ht="15.75">
      <c r="B33" s="288"/>
      <c r="C33" s="322">
        <f>IF(C30&lt;0,"See Tab B","")</f>
      </c>
      <c r="D33" s="322">
        <f>IF(D30&lt;0,"See Tab D","")</f>
      </c>
      <c r="E33" s="145"/>
    </row>
    <row r="34" spans="2:5" ht="15.75">
      <c r="B34" s="85"/>
      <c r="C34" s="145"/>
      <c r="D34" s="145"/>
      <c r="E34" s="145"/>
    </row>
    <row r="35" spans="2:5" ht="15.75">
      <c r="B35" s="84" t="s">
        <v>160</v>
      </c>
      <c r="C35" s="328"/>
      <c r="D35" s="328"/>
      <c r="E35" s="328"/>
    </row>
    <row r="36" spans="2:5" ht="15.75">
      <c r="B36" s="85"/>
      <c r="C36" s="324" t="str">
        <f aca="true" t="shared" si="0" ref="C36:E37">C5</f>
        <v>Prior Year </v>
      </c>
      <c r="D36" s="215" t="str">
        <f t="shared" si="0"/>
        <v>Current Year </v>
      </c>
      <c r="E36" s="215" t="str">
        <f t="shared" si="0"/>
        <v>Proposed Budget </v>
      </c>
    </row>
    <row r="37" spans="2:5" ht="15.75">
      <c r="B37" s="483" t="str">
        <f>inputPrYr!B50</f>
        <v>Wireless 911</v>
      </c>
      <c r="C37" s="316" t="str">
        <f t="shared" si="0"/>
        <v>Actual for 2011</v>
      </c>
      <c r="D37" s="316" t="str">
        <f t="shared" si="0"/>
        <v>Estimate for 2012</v>
      </c>
      <c r="E37" s="316" t="str">
        <f t="shared" si="0"/>
        <v>Year for 2013</v>
      </c>
    </row>
    <row r="38" spans="2:5" ht="15.75">
      <c r="B38" s="148" t="s">
        <v>284</v>
      </c>
      <c r="C38" s="112">
        <v>44118</v>
      </c>
      <c r="D38" s="266">
        <f>C61</f>
        <v>0</v>
      </c>
      <c r="E38" s="266">
        <f>D61</f>
        <v>0</v>
      </c>
    </row>
    <row r="39" spans="2:5" ht="15.75">
      <c r="B39" s="148" t="s">
        <v>286</v>
      </c>
      <c r="C39" s="108"/>
      <c r="D39" s="108"/>
      <c r="E39" s="108"/>
    </row>
    <row r="40" spans="2:5" ht="15.75">
      <c r="B40" s="319" t="s">
        <v>1038</v>
      </c>
      <c r="C40" s="112">
        <v>19949</v>
      </c>
      <c r="D40" s="112">
        <v>0</v>
      </c>
      <c r="E40" s="112">
        <v>0</v>
      </c>
    </row>
    <row r="41" spans="2:5" ht="15.75">
      <c r="B41" s="319" t="s">
        <v>1039</v>
      </c>
      <c r="C41" s="112">
        <v>0</v>
      </c>
      <c r="D41" s="112">
        <v>0</v>
      </c>
      <c r="E41" s="112">
        <v>0</v>
      </c>
    </row>
    <row r="42" spans="2:5" ht="15.75">
      <c r="B42" s="319"/>
      <c r="C42" s="112"/>
      <c r="D42" s="112"/>
      <c r="E42" s="112"/>
    </row>
    <row r="43" spans="2:5" ht="15.75">
      <c r="B43" s="309" t="s">
        <v>165</v>
      </c>
      <c r="C43" s="112">
        <v>222</v>
      </c>
      <c r="D43" s="112">
        <v>0</v>
      </c>
      <c r="E43" s="112">
        <v>0</v>
      </c>
    </row>
    <row r="44" spans="2:5" ht="15.75">
      <c r="B44" s="310" t="s">
        <v>75</v>
      </c>
      <c r="C44" s="112"/>
      <c r="D44" s="305"/>
      <c r="E44" s="305"/>
    </row>
    <row r="45" spans="2:5" ht="15.75">
      <c r="B45" s="310" t="s">
        <v>684</v>
      </c>
      <c r="C45" s="480">
        <f>IF(C46*0.1&lt;C44,"Exceed 10% Rule","")</f>
      </c>
      <c r="D45" s="311">
        <f>IF(D46*0.1&lt;D44,"Exceed 10% Rule","")</f>
      </c>
      <c r="E45" s="311">
        <f>IF(E46*0.1&lt;E44,"Exceed 10% Rule","")</f>
      </c>
    </row>
    <row r="46" spans="2:5" ht="15.75">
      <c r="B46" s="312" t="s">
        <v>166</v>
      </c>
      <c r="C46" s="353">
        <f>SUM(C40:C44)</f>
        <v>20171</v>
      </c>
      <c r="D46" s="353">
        <f>SUM(D40:D44)</f>
        <v>0</v>
      </c>
      <c r="E46" s="353">
        <f>SUM(E40:E44)</f>
        <v>0</v>
      </c>
    </row>
    <row r="47" spans="2:5" ht="15.75">
      <c r="B47" s="312" t="s">
        <v>167</v>
      </c>
      <c r="C47" s="353">
        <f>C38+C46</f>
        <v>64289</v>
      </c>
      <c r="D47" s="353">
        <f>D38+D46</f>
        <v>0</v>
      </c>
      <c r="E47" s="353">
        <f>E38+E46</f>
        <v>0</v>
      </c>
    </row>
    <row r="48" spans="2:5" ht="15.75">
      <c r="B48" s="148" t="s">
        <v>170</v>
      </c>
      <c r="C48" s="266"/>
      <c r="D48" s="266"/>
      <c r="E48" s="266"/>
    </row>
    <row r="49" spans="2:5" ht="15.75">
      <c r="B49" s="319" t="s">
        <v>980</v>
      </c>
      <c r="C49" s="112">
        <v>0</v>
      </c>
      <c r="D49" s="112">
        <v>0</v>
      </c>
      <c r="E49" s="112">
        <v>0</v>
      </c>
    </row>
    <row r="50" spans="2:5" ht="15.75">
      <c r="B50" s="319" t="s">
        <v>1007</v>
      </c>
      <c r="C50" s="112">
        <v>14998</v>
      </c>
      <c r="D50" s="112">
        <v>0</v>
      </c>
      <c r="E50" s="112">
        <v>0</v>
      </c>
    </row>
    <row r="51" spans="2:5" ht="15.75">
      <c r="B51" s="319" t="s">
        <v>995</v>
      </c>
      <c r="C51" s="112">
        <v>0</v>
      </c>
      <c r="D51" s="112">
        <v>0</v>
      </c>
      <c r="E51" s="112">
        <v>0</v>
      </c>
    </row>
    <row r="52" spans="2:5" ht="15.75">
      <c r="B52" s="319" t="s">
        <v>996</v>
      </c>
      <c r="C52" s="112">
        <v>0</v>
      </c>
      <c r="D52" s="112">
        <v>0</v>
      </c>
      <c r="E52" s="112">
        <v>0</v>
      </c>
    </row>
    <row r="53" spans="2:5" ht="15.75">
      <c r="B53" s="319" t="s">
        <v>1014</v>
      </c>
      <c r="C53" s="112">
        <v>0</v>
      </c>
      <c r="D53" s="112">
        <v>0</v>
      </c>
      <c r="E53" s="112">
        <v>0</v>
      </c>
    </row>
    <row r="54" spans="2:5" ht="15.75">
      <c r="B54" s="319" t="s">
        <v>1040</v>
      </c>
      <c r="C54" s="112">
        <v>49291</v>
      </c>
      <c r="D54" s="112">
        <v>0</v>
      </c>
      <c r="E54" s="112">
        <v>0</v>
      </c>
    </row>
    <row r="55" spans="2:5" ht="15.75">
      <c r="B55" s="319"/>
      <c r="C55" s="112"/>
      <c r="D55" s="112"/>
      <c r="E55" s="112"/>
    </row>
    <row r="56" spans="2:5" ht="15.75">
      <c r="B56" s="319"/>
      <c r="C56" s="112"/>
      <c r="D56" s="112"/>
      <c r="E56" s="112"/>
    </row>
    <row r="57" spans="2:5" ht="15.75">
      <c r="B57" s="319"/>
      <c r="C57" s="112"/>
      <c r="D57" s="112"/>
      <c r="E57" s="112"/>
    </row>
    <row r="58" spans="2:5" ht="15.75">
      <c r="B58" s="310" t="s">
        <v>75</v>
      </c>
      <c r="C58" s="112"/>
      <c r="D58" s="305"/>
      <c r="E58" s="305"/>
    </row>
    <row r="59" spans="2:5" ht="15.75">
      <c r="B59" s="310" t="s">
        <v>683</v>
      </c>
      <c r="C59" s="480">
        <f>IF(C60*0.1&lt;C58,"Exceed 10% Rule","")</f>
      </c>
      <c r="D59" s="311">
        <f>IF(D60*0.1&lt;D58,"Exceed 10% Rule","")</f>
      </c>
      <c r="E59" s="311">
        <f>IF(E60*0.1&lt;E58,"Exceed 10% Rule","")</f>
      </c>
    </row>
    <row r="60" spans="2:5" ht="15.75">
      <c r="B60" s="312" t="s">
        <v>171</v>
      </c>
      <c r="C60" s="353">
        <f>SUM(C49:C58)</f>
        <v>64289</v>
      </c>
      <c r="D60" s="353">
        <f>SUM(D49:D58)</f>
        <v>0</v>
      </c>
      <c r="E60" s="353">
        <f>SUM(E49:E58)</f>
        <v>0</v>
      </c>
    </row>
    <row r="61" spans="2:5" ht="15.75">
      <c r="B61" s="148" t="s">
        <v>285</v>
      </c>
      <c r="C61" s="120">
        <f>C47-C60</f>
        <v>0</v>
      </c>
      <c r="D61" s="120">
        <f>D47-D60</f>
        <v>0</v>
      </c>
      <c r="E61" s="120">
        <f>E47-E60</f>
        <v>0</v>
      </c>
    </row>
    <row r="62" spans="2:5" ht="15.75">
      <c r="B62" s="288" t="str">
        <f>CONCATENATE("",E$1-2,"/",E$1-1," Budget Authority Amount:")</f>
        <v>2011/2012 Budget Authority Amount:</v>
      </c>
      <c r="C62" s="280">
        <f>inputOth!B62</f>
        <v>56067</v>
      </c>
      <c r="D62" s="280">
        <f>inputPrYr!D50</f>
        <v>25959</v>
      </c>
      <c r="E62" s="478">
        <f>IF(E61&lt;0,"See Tab E","")</f>
      </c>
    </row>
    <row r="63" spans="2:5" ht="15.75">
      <c r="B63" s="288"/>
      <c r="C63" s="322" t="str">
        <f>IF(C60&gt;C62,"See Tab A","")</f>
        <v>See Tab A</v>
      </c>
      <c r="D63" s="322">
        <f>IF(D60&gt;D62,"See Tab C","")</f>
      </c>
      <c r="E63" s="85"/>
    </row>
    <row r="64" spans="2:5" ht="15.75">
      <c r="B64" s="288"/>
      <c r="C64" s="322">
        <f>IF(C61&lt;0,"See Tab B","")</f>
      </c>
      <c r="D64" s="322">
        <f>IF(D61&lt;0,"See Tab D","")</f>
      </c>
      <c r="E64" s="85"/>
    </row>
    <row r="65" spans="2:5" ht="15.75">
      <c r="B65" s="85"/>
      <c r="C65" s="85"/>
      <c r="D65" s="85"/>
      <c r="E65" s="85"/>
    </row>
    <row r="66" spans="2:5" ht="15.75">
      <c r="B66" s="288" t="s">
        <v>194</v>
      </c>
      <c r="C66" s="350">
        <v>16</v>
      </c>
      <c r="D66" s="85"/>
      <c r="E66" s="85"/>
    </row>
  </sheetData>
  <sheetProtection/>
  <conditionalFormatting sqref="C27">
    <cfRule type="cellIs" priority="3" dxfId="408" operator="greaterThan" stopIfTrue="1">
      <formula>$C$29*0.1</formula>
    </cfRule>
  </conditionalFormatting>
  <conditionalFormatting sqref="D27">
    <cfRule type="cellIs" priority="4" dxfId="408" operator="greaterThan" stopIfTrue="1">
      <formula>$D$29*0.1</formula>
    </cfRule>
  </conditionalFormatting>
  <conditionalFormatting sqref="E27">
    <cfRule type="cellIs" priority="5" dxfId="408" operator="greaterThan" stopIfTrue="1">
      <formula>$E$29*0.1</formula>
    </cfRule>
  </conditionalFormatting>
  <conditionalFormatting sqref="C13">
    <cfRule type="cellIs" priority="6" dxfId="408" operator="greaterThan" stopIfTrue="1">
      <formula>$C$15*0.1</formula>
    </cfRule>
  </conditionalFormatting>
  <conditionalFormatting sqref="D13">
    <cfRule type="cellIs" priority="7" dxfId="408" operator="greaterThan" stopIfTrue="1">
      <formula>$D$15*0.1</formula>
    </cfRule>
  </conditionalFormatting>
  <conditionalFormatting sqref="E13">
    <cfRule type="cellIs" priority="8" dxfId="408" operator="greaterThan" stopIfTrue="1">
      <formula>$E$15*0.1</formula>
    </cfRule>
  </conditionalFormatting>
  <conditionalFormatting sqref="C44">
    <cfRule type="cellIs" priority="9" dxfId="408" operator="greaterThan" stopIfTrue="1">
      <formula>$C$46*0.1</formula>
    </cfRule>
  </conditionalFormatting>
  <conditionalFormatting sqref="D44">
    <cfRule type="cellIs" priority="10" dxfId="408" operator="greaterThan" stopIfTrue="1">
      <formula>$D$46*0.1</formula>
    </cfRule>
  </conditionalFormatting>
  <conditionalFormatting sqref="E44">
    <cfRule type="cellIs" priority="11" dxfId="408" operator="greaterThan" stopIfTrue="1">
      <formula>$E$46*0.1</formula>
    </cfRule>
  </conditionalFormatting>
  <conditionalFormatting sqref="C58">
    <cfRule type="cellIs" priority="12" dxfId="408" operator="greaterThan" stopIfTrue="1">
      <formula>$C$60*0.1</formula>
    </cfRule>
  </conditionalFormatting>
  <conditionalFormatting sqref="D58">
    <cfRule type="cellIs" priority="13" dxfId="408" operator="greaterThan" stopIfTrue="1">
      <formula>$D$60*0.1</formula>
    </cfRule>
  </conditionalFormatting>
  <conditionalFormatting sqref="E58">
    <cfRule type="cellIs" priority="14" dxfId="408"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B1" sqref="B1"/>
    </sheetView>
  </sheetViews>
  <sheetFormatPr defaultColWidth="8.796875" defaultRowHeight="15"/>
  <cols>
    <col min="1" max="1" width="2.3984375" style="72" customWidth="1"/>
    <col min="2" max="2" width="31.09765625" style="72" customWidth="1"/>
    <col min="3" max="4" width="15.796875" style="72" customWidth="1"/>
    <col min="5" max="5" width="16.09765625" style="72" customWidth="1"/>
    <col min="6"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243</v>
      </c>
      <c r="C3" s="334"/>
      <c r="D3" s="334"/>
      <c r="E3" s="335"/>
    </row>
    <row r="4" spans="2:5" ht="15.75">
      <c r="B4" s="85"/>
      <c r="C4" s="328"/>
      <c r="D4" s="328"/>
      <c r="E4" s="328"/>
    </row>
    <row r="5" spans="2:5" ht="15.75">
      <c r="B5" s="84" t="s">
        <v>160</v>
      </c>
      <c r="C5" s="324" t="str">
        <f>general!C4</f>
        <v>Prior Year </v>
      </c>
      <c r="D5" s="215" t="str">
        <f>general!D4</f>
        <v>Current Year </v>
      </c>
      <c r="E5" s="215" t="str">
        <f>general!E4</f>
        <v>Proposed Budget </v>
      </c>
    </row>
    <row r="6" spans="2:5" ht="15.75">
      <c r="B6" s="484" t="str">
        <f>inputPrYr!B51</f>
        <v>EMS Special Equipment</v>
      </c>
      <c r="C6" s="316" t="str">
        <f>general!C5</f>
        <v>Actual for 2011</v>
      </c>
      <c r="D6" s="316" t="str">
        <f>general!D5</f>
        <v>Estimate for 2012</v>
      </c>
      <c r="E6" s="316" t="str">
        <f>general!E5</f>
        <v>Year for 2013</v>
      </c>
    </row>
    <row r="7" spans="2:5" ht="15.75">
      <c r="B7" s="148" t="s">
        <v>284</v>
      </c>
      <c r="C7" s="112">
        <v>38577</v>
      </c>
      <c r="D7" s="266">
        <f>C30</f>
        <v>8291</v>
      </c>
      <c r="E7" s="266">
        <f>D30</f>
        <v>8291</v>
      </c>
    </row>
    <row r="8" spans="2:5" ht="15.75">
      <c r="B8" s="337" t="s">
        <v>286</v>
      </c>
      <c r="C8" s="108"/>
      <c r="D8" s="108"/>
      <c r="E8" s="108"/>
    </row>
    <row r="9" spans="2:5" ht="15.75">
      <c r="B9" s="319" t="s">
        <v>1041</v>
      </c>
      <c r="C9" s="112">
        <v>0</v>
      </c>
      <c r="D9" s="112">
        <v>0</v>
      </c>
      <c r="E9" s="112">
        <v>50000</v>
      </c>
    </row>
    <row r="10" spans="2:5" ht="15.75">
      <c r="B10" s="319"/>
      <c r="C10" s="112"/>
      <c r="D10" s="112"/>
      <c r="E10" s="112"/>
    </row>
    <row r="11" spans="2:5" ht="15.75">
      <c r="B11" s="319"/>
      <c r="C11" s="112"/>
      <c r="D11" s="112"/>
      <c r="E11" s="112"/>
    </row>
    <row r="12" spans="2:5" ht="15.75">
      <c r="B12" s="309" t="s">
        <v>165</v>
      </c>
      <c r="C12" s="112"/>
      <c r="D12" s="112"/>
      <c r="E12" s="112"/>
    </row>
    <row r="13" spans="2:5" ht="15.75">
      <c r="B13" s="310" t="s">
        <v>75</v>
      </c>
      <c r="C13" s="112"/>
      <c r="D13" s="305"/>
      <c r="E13" s="305"/>
    </row>
    <row r="14" spans="2:5" ht="15.75">
      <c r="B14" s="310" t="s">
        <v>684</v>
      </c>
      <c r="C14" s="480">
        <f>IF(C15*0.1&lt;C13,"Exceed 10% Rule","")</f>
      </c>
      <c r="D14" s="311">
        <f>IF(D15*0.1&lt;D13,"Exceed 10% Rule","")</f>
      </c>
      <c r="E14" s="311">
        <f>IF(E15*0.1&lt;E13,"Exceed 10% Rule","")</f>
      </c>
    </row>
    <row r="15" spans="2:5" ht="15.75">
      <c r="B15" s="312" t="s">
        <v>166</v>
      </c>
      <c r="C15" s="353">
        <f>SUM(C9:C13)</f>
        <v>0</v>
      </c>
      <c r="D15" s="353">
        <f>SUM(D9:D13)</f>
        <v>0</v>
      </c>
      <c r="E15" s="353">
        <f>SUM(E9:E13)</f>
        <v>50000</v>
      </c>
    </row>
    <row r="16" spans="2:5" ht="15.75">
      <c r="B16" s="312" t="s">
        <v>167</v>
      </c>
      <c r="C16" s="353">
        <f>C15+C7</f>
        <v>38577</v>
      </c>
      <c r="D16" s="353">
        <f>D15+D7</f>
        <v>8291</v>
      </c>
      <c r="E16" s="353">
        <f>E15+E7</f>
        <v>58291</v>
      </c>
    </row>
    <row r="17" spans="2:5" ht="15.75">
      <c r="B17" s="148" t="s">
        <v>170</v>
      </c>
      <c r="C17" s="266"/>
      <c r="D17" s="266"/>
      <c r="E17" s="266"/>
    </row>
    <row r="18" spans="2:5" ht="15.75">
      <c r="B18" s="319" t="s">
        <v>1042</v>
      </c>
      <c r="C18" s="112">
        <v>30286</v>
      </c>
      <c r="D18" s="112">
        <v>0</v>
      </c>
      <c r="E18" s="112">
        <v>58291</v>
      </c>
    </row>
    <row r="19" spans="2:5" ht="15.75">
      <c r="B19" s="319" t="s">
        <v>1043</v>
      </c>
      <c r="C19" s="112">
        <v>0</v>
      </c>
      <c r="D19" s="112">
        <v>0</v>
      </c>
      <c r="E19" s="112"/>
    </row>
    <row r="20" spans="2:5" ht="15.75">
      <c r="B20" s="319" t="s">
        <v>996</v>
      </c>
      <c r="C20" s="112">
        <v>0</v>
      </c>
      <c r="D20" s="112">
        <v>0</v>
      </c>
      <c r="E20" s="112"/>
    </row>
    <row r="21" spans="2:5" ht="15.75">
      <c r="B21" s="319"/>
      <c r="C21" s="112"/>
      <c r="D21" s="112"/>
      <c r="E21" s="112"/>
    </row>
    <row r="22" spans="2:5" ht="15.75">
      <c r="B22" s="319"/>
      <c r="C22" s="112"/>
      <c r="D22" s="112"/>
      <c r="E22" s="112"/>
    </row>
    <row r="23" spans="2:5" ht="15.75">
      <c r="B23" s="319"/>
      <c r="C23" s="112"/>
      <c r="D23" s="112"/>
      <c r="E23" s="112"/>
    </row>
    <row r="24" spans="2:5" ht="15.75">
      <c r="B24" s="319"/>
      <c r="C24" s="112"/>
      <c r="D24" s="112"/>
      <c r="E24" s="112"/>
    </row>
    <row r="25" spans="2:5" ht="15.75">
      <c r="B25" s="319"/>
      <c r="C25" s="112"/>
      <c r="D25" s="112"/>
      <c r="E25" s="112"/>
    </row>
    <row r="26" spans="2:5" ht="15.75">
      <c r="B26" s="319"/>
      <c r="C26" s="112"/>
      <c r="D26" s="112"/>
      <c r="E26" s="112"/>
    </row>
    <row r="27" spans="2:5" ht="15.75">
      <c r="B27" s="310" t="s">
        <v>75</v>
      </c>
      <c r="C27" s="112"/>
      <c r="D27" s="305"/>
      <c r="E27" s="305"/>
    </row>
    <row r="28" spans="2:5" ht="15.75">
      <c r="B28" s="310" t="s">
        <v>683</v>
      </c>
      <c r="C28" s="480">
        <f>IF(C29*0.1&lt;C27,"Exceed 10% Rule","")</f>
      </c>
      <c r="D28" s="311">
        <f>IF(D29*0.1&lt;D27,"Exceed 10% Rule","")</f>
      </c>
      <c r="E28" s="311">
        <f>IF(E29*0.1&lt;E27,"Exceed 10% Rule","")</f>
      </c>
    </row>
    <row r="29" spans="2:5" ht="15.75">
      <c r="B29" s="312" t="s">
        <v>171</v>
      </c>
      <c r="C29" s="353">
        <f>SUM(C18:C27)</f>
        <v>30286</v>
      </c>
      <c r="D29" s="353">
        <f>SUM(D18:D27)</f>
        <v>0</v>
      </c>
      <c r="E29" s="353">
        <f>SUM(E18:E27)</f>
        <v>58291</v>
      </c>
    </row>
    <row r="30" spans="2:5" ht="15.75">
      <c r="B30" s="148" t="s">
        <v>285</v>
      </c>
      <c r="C30" s="120">
        <f>C16-C29</f>
        <v>8291</v>
      </c>
      <c r="D30" s="120">
        <f>D16-D29</f>
        <v>8291</v>
      </c>
      <c r="E30" s="120">
        <f>E16-E29</f>
        <v>0</v>
      </c>
    </row>
    <row r="31" spans="2:5" ht="15.75">
      <c r="B31" s="288" t="str">
        <f>CONCATENATE("",E$1-2,"/",E$1-1," Budget Authority Amount:")</f>
        <v>2011/2012 Budget Authority Amount:</v>
      </c>
      <c r="C31" s="280">
        <f>inputOth!B63</f>
        <v>133507</v>
      </c>
      <c r="D31" s="280">
        <f>inputPrYr!D51</f>
        <v>0</v>
      </c>
      <c r="E31" s="479">
        <f>IF(E30&lt;0,"See Tab E","")</f>
      </c>
    </row>
    <row r="32" spans="2:5" ht="15.75">
      <c r="B32" s="288"/>
      <c r="C32" s="322">
        <f>IF(C29&gt;C31,"See Tab A","")</f>
      </c>
      <c r="D32" s="322">
        <f>IF(D29&gt;D31,"See Tab C","")</f>
      </c>
      <c r="E32" s="145"/>
    </row>
    <row r="33" spans="2:5" ht="15.75">
      <c r="B33" s="288"/>
      <c r="C33" s="322">
        <f>IF(C30&lt;0,"See Tab B","")</f>
      </c>
      <c r="D33" s="322">
        <f>IF(D30&lt;0,"See Tab D","")</f>
      </c>
      <c r="E33" s="145"/>
    </row>
    <row r="34" spans="2:5" ht="15.75">
      <c r="B34" s="85"/>
      <c r="C34" s="145"/>
      <c r="D34" s="145"/>
      <c r="E34" s="145"/>
    </row>
    <row r="35" spans="2:5" ht="15.75">
      <c r="B35" s="84" t="s">
        <v>160</v>
      </c>
      <c r="C35" s="328"/>
      <c r="D35" s="328"/>
      <c r="E35" s="328"/>
    </row>
    <row r="36" spans="2:5" ht="15.75">
      <c r="B36" s="85"/>
      <c r="C36" s="324" t="str">
        <f aca="true" t="shared" si="0" ref="C36:E37">C5</f>
        <v>Prior Year </v>
      </c>
      <c r="D36" s="215" t="str">
        <f t="shared" si="0"/>
        <v>Current Year </v>
      </c>
      <c r="E36" s="215" t="str">
        <f t="shared" si="0"/>
        <v>Proposed Budget </v>
      </c>
    </row>
    <row r="37" spans="2:5" ht="15.75">
      <c r="B37" s="483" t="str">
        <f>inputPrYr!B52</f>
        <v>Solid Waste Recycling</v>
      </c>
      <c r="C37" s="548" t="str">
        <f t="shared" si="0"/>
        <v>Actual for 2011</v>
      </c>
      <c r="D37" s="548" t="str">
        <f t="shared" si="0"/>
        <v>Estimate for 2012</v>
      </c>
      <c r="E37" s="548" t="str">
        <f t="shared" si="0"/>
        <v>Year for 2013</v>
      </c>
    </row>
    <row r="38" spans="2:5" ht="15.75">
      <c r="B38" s="148" t="s">
        <v>284</v>
      </c>
      <c r="C38" s="112">
        <v>70084</v>
      </c>
      <c r="D38" s="266">
        <f>C61</f>
        <v>76737</v>
      </c>
      <c r="E38" s="266">
        <f>D61</f>
        <v>63470</v>
      </c>
    </row>
    <row r="39" spans="2:5" ht="15.75">
      <c r="B39" s="148" t="s">
        <v>286</v>
      </c>
      <c r="C39" s="108"/>
      <c r="D39" s="108"/>
      <c r="E39" s="108"/>
    </row>
    <row r="40" spans="2:5" ht="15.75">
      <c r="B40" s="319" t="s">
        <v>75</v>
      </c>
      <c r="C40" s="112">
        <v>26964</v>
      </c>
      <c r="D40" s="112">
        <v>0</v>
      </c>
      <c r="E40" s="112">
        <v>20000</v>
      </c>
    </row>
    <row r="41" spans="2:5" ht="15.75">
      <c r="B41" s="319"/>
      <c r="C41" s="112"/>
      <c r="D41" s="112"/>
      <c r="E41" s="112"/>
    </row>
    <row r="42" spans="2:5" ht="15.75">
      <c r="B42" s="319"/>
      <c r="C42" s="112"/>
      <c r="D42" s="112"/>
      <c r="E42" s="112"/>
    </row>
    <row r="43" spans="2:5" ht="15.75">
      <c r="B43" s="309" t="s">
        <v>165</v>
      </c>
      <c r="C43" s="112"/>
      <c r="D43" s="112"/>
      <c r="E43" s="112"/>
    </row>
    <row r="44" spans="2:5" ht="15.75">
      <c r="B44" s="310" t="s">
        <v>75</v>
      </c>
      <c r="C44" s="112"/>
      <c r="D44" s="305"/>
      <c r="E44" s="305"/>
    </row>
    <row r="45" spans="2:5" ht="15.75">
      <c r="B45" s="310" t="s">
        <v>684</v>
      </c>
      <c r="C45" s="480">
        <f>IF(C46*0.1&lt;C44,"Exceed 10% Rule","")</f>
      </c>
      <c r="D45" s="311">
        <f>IF(D46*0.1&lt;D44,"Exceed 10% Rule","")</f>
      </c>
      <c r="E45" s="311">
        <f>IF(E46*0.1&lt;E44,"Exceed 10% Rule","")</f>
      </c>
    </row>
    <row r="46" spans="2:5" ht="15.75">
      <c r="B46" s="312" t="s">
        <v>166</v>
      </c>
      <c r="C46" s="353">
        <f>SUM(C40:C44)</f>
        <v>26964</v>
      </c>
      <c r="D46" s="353">
        <f>SUM(D40:D44)</f>
        <v>0</v>
      </c>
      <c r="E46" s="353">
        <f>SUM(E40:E44)</f>
        <v>20000</v>
      </c>
    </row>
    <row r="47" spans="2:5" ht="15.75">
      <c r="B47" s="312" t="s">
        <v>167</v>
      </c>
      <c r="C47" s="353">
        <f>C38+C46</f>
        <v>97048</v>
      </c>
      <c r="D47" s="353">
        <f>D38+D46</f>
        <v>76737</v>
      </c>
      <c r="E47" s="353">
        <f>E38+E46</f>
        <v>83470</v>
      </c>
    </row>
    <row r="48" spans="2:5" ht="15.75">
      <c r="B48" s="148" t="s">
        <v>170</v>
      </c>
      <c r="C48" s="266"/>
      <c r="D48" s="266"/>
      <c r="E48" s="266"/>
    </row>
    <row r="49" spans="2:5" ht="15.75">
      <c r="B49" s="319" t="s">
        <v>1007</v>
      </c>
      <c r="C49" s="112">
        <v>20311</v>
      </c>
      <c r="D49" s="112">
        <v>13267</v>
      </c>
      <c r="E49" s="112">
        <v>83470</v>
      </c>
    </row>
    <row r="50" spans="2:5" ht="15.75">
      <c r="B50" s="319"/>
      <c r="C50" s="112"/>
      <c r="D50" s="112"/>
      <c r="E50" s="112"/>
    </row>
    <row r="51" spans="2:5" ht="15.75">
      <c r="B51" s="319"/>
      <c r="C51" s="112"/>
      <c r="D51" s="112"/>
      <c r="E51" s="112"/>
    </row>
    <row r="52" spans="2:5" ht="15.75">
      <c r="B52" s="319"/>
      <c r="C52" s="112"/>
      <c r="D52" s="112"/>
      <c r="E52" s="112"/>
    </row>
    <row r="53" spans="2:5" ht="15.75">
      <c r="B53" s="319"/>
      <c r="C53" s="112"/>
      <c r="D53" s="112"/>
      <c r="E53" s="112"/>
    </row>
    <row r="54" spans="2:5" ht="15.75">
      <c r="B54" s="319"/>
      <c r="C54" s="112"/>
      <c r="D54" s="112"/>
      <c r="E54" s="112"/>
    </row>
    <row r="55" spans="2:5" ht="15.75">
      <c r="B55" s="319"/>
      <c r="C55" s="112"/>
      <c r="D55" s="112"/>
      <c r="E55" s="112"/>
    </row>
    <row r="56" spans="2:5" ht="15.75">
      <c r="B56" s="319"/>
      <c r="C56" s="112"/>
      <c r="D56" s="112"/>
      <c r="E56" s="112"/>
    </row>
    <row r="57" spans="2:5" ht="15.75">
      <c r="B57" s="319"/>
      <c r="C57" s="112"/>
      <c r="D57" s="112"/>
      <c r="E57" s="112"/>
    </row>
    <row r="58" spans="2:5" ht="15.75">
      <c r="B58" s="310" t="s">
        <v>75</v>
      </c>
      <c r="C58" s="112"/>
      <c r="D58" s="305"/>
      <c r="E58" s="305"/>
    </row>
    <row r="59" spans="2:5" ht="15.75">
      <c r="B59" s="310" t="s">
        <v>683</v>
      </c>
      <c r="C59" s="480">
        <f>IF(C60*0.1&lt;C58,"Exceed 10% Rule","")</f>
      </c>
      <c r="D59" s="311">
        <f>IF(D60*0.1&lt;D58,"Exceed 10% Rule","")</f>
      </c>
      <c r="E59" s="311">
        <f>IF(E60*0.1&lt;E58,"Exceed 10% Rule","")</f>
      </c>
    </row>
    <row r="60" spans="2:5" ht="15.75">
      <c r="B60" s="312" t="s">
        <v>171</v>
      </c>
      <c r="C60" s="353">
        <f>SUM(C49:C58)</f>
        <v>20311</v>
      </c>
      <c r="D60" s="353">
        <f>SUM(D49:D58)</f>
        <v>13267</v>
      </c>
      <c r="E60" s="353">
        <f>SUM(E49:E58)</f>
        <v>83470</v>
      </c>
    </row>
    <row r="61" spans="2:5" ht="15.75">
      <c r="B61" s="148" t="s">
        <v>285</v>
      </c>
      <c r="C61" s="120">
        <f>C47-C60</f>
        <v>76737</v>
      </c>
      <c r="D61" s="120">
        <f>D47-D60</f>
        <v>63470</v>
      </c>
      <c r="E61" s="120">
        <f>E47-E60</f>
        <v>0</v>
      </c>
    </row>
    <row r="62" spans="2:5" ht="15.75">
      <c r="B62" s="288" t="str">
        <f>CONCATENATE("",E$1-2,"/",E$1-1," Budget Authority Amount:")</f>
        <v>2011/2012 Budget Authority Amount:</v>
      </c>
      <c r="C62" s="280">
        <f>inputOth!B64</f>
        <v>60817</v>
      </c>
      <c r="D62" s="280">
        <f>inputPrYr!D52</f>
        <v>13267</v>
      </c>
      <c r="E62" s="478">
        <f>IF(E61&lt;0,"See Tab E","")</f>
      </c>
    </row>
    <row r="63" spans="2:5" ht="15.75">
      <c r="B63" s="288"/>
      <c r="C63" s="322">
        <f>IF(C60&gt;C62,"See Tab A","")</f>
      </c>
      <c r="D63" s="322">
        <f>IF(D60&gt;D62,"See Tab C","")</f>
      </c>
      <c r="E63" s="85"/>
    </row>
    <row r="64" spans="2:5" ht="15.75">
      <c r="B64" s="288"/>
      <c r="C64" s="322">
        <f>IF(C61&lt;0,"See Tab B","")</f>
      </c>
      <c r="D64" s="322">
        <f>IF(D61&lt;0,"See Tab D","")</f>
      </c>
      <c r="E64" s="85"/>
    </row>
    <row r="65" spans="2:5" ht="15.75">
      <c r="B65" s="85"/>
      <c r="C65" s="85"/>
      <c r="D65" s="85"/>
      <c r="E65" s="85"/>
    </row>
    <row r="66" spans="2:5" ht="15.75">
      <c r="B66" s="288" t="s">
        <v>194</v>
      </c>
      <c r="C66" s="350">
        <v>17</v>
      </c>
      <c r="D66" s="85"/>
      <c r="E66" s="85"/>
    </row>
  </sheetData>
  <sheetProtection sheet="1"/>
  <conditionalFormatting sqref="C27">
    <cfRule type="cellIs" priority="2" dxfId="408" operator="greaterThan" stopIfTrue="1">
      <formula>$C$29*0.1</formula>
    </cfRule>
  </conditionalFormatting>
  <conditionalFormatting sqref="D27">
    <cfRule type="cellIs" priority="3" dxfId="408" operator="greaterThan" stopIfTrue="1">
      <formula>$D$29*0.1</formula>
    </cfRule>
  </conditionalFormatting>
  <conditionalFormatting sqref="E27">
    <cfRule type="cellIs" priority="4" dxfId="408" operator="greaterThan" stopIfTrue="1">
      <formula>$E$29*0.1</formula>
    </cfRule>
  </conditionalFormatting>
  <conditionalFormatting sqref="C13">
    <cfRule type="cellIs" priority="5" dxfId="408" operator="greaterThan" stopIfTrue="1">
      <formula>$C$15*0.1</formula>
    </cfRule>
  </conditionalFormatting>
  <conditionalFormatting sqref="D13">
    <cfRule type="cellIs" priority="6" dxfId="408" operator="greaterThan" stopIfTrue="1">
      <formula>$D$15*0.1</formula>
    </cfRule>
  </conditionalFormatting>
  <conditionalFormatting sqref="E13">
    <cfRule type="cellIs" priority="7" dxfId="408" operator="greaterThan" stopIfTrue="1">
      <formula>$E$15*0.1</formula>
    </cfRule>
  </conditionalFormatting>
  <conditionalFormatting sqref="C44">
    <cfRule type="cellIs" priority="8" dxfId="408" operator="greaterThan" stopIfTrue="1">
      <formula>$C$46*0.1</formula>
    </cfRule>
  </conditionalFormatting>
  <conditionalFormatting sqref="D44">
    <cfRule type="cellIs" priority="9" dxfId="408" operator="greaterThan" stopIfTrue="1">
      <formula>$D$46*0.1</formula>
    </cfRule>
  </conditionalFormatting>
  <conditionalFormatting sqref="E44">
    <cfRule type="cellIs" priority="10" dxfId="408" operator="greaterThan" stopIfTrue="1">
      <formula>$E$46*0.1</formula>
    </cfRule>
  </conditionalFormatting>
  <conditionalFormatting sqref="C58">
    <cfRule type="cellIs" priority="11" dxfId="408" operator="greaterThan" stopIfTrue="1">
      <formula>$C$60*0.1</formula>
    </cfRule>
  </conditionalFormatting>
  <conditionalFormatting sqref="D58">
    <cfRule type="cellIs" priority="12" dxfId="408" operator="greaterThan" stopIfTrue="1">
      <formula>$D$60*0.1</formula>
    </cfRule>
  </conditionalFormatting>
  <conditionalFormatting sqref="E58">
    <cfRule type="cellIs" priority="13" dxfId="408" operator="greaterThan" stopIfTrue="1">
      <formula>$E$60*0.1</formula>
    </cfRule>
  </conditionalFormatting>
  <conditionalFormatting sqref="E30 C30 E61 C61">
    <cfRule type="cellIs" priority="14" dxfId="2" operator="lessThan" stopIfTrue="1">
      <formula>0</formula>
    </cfRule>
  </conditionalFormatting>
  <conditionalFormatting sqref="D29">
    <cfRule type="cellIs" priority="15" dxfId="2" operator="greaterThan" stopIfTrue="1">
      <formula>$D$31</formula>
    </cfRule>
  </conditionalFormatting>
  <conditionalFormatting sqref="C29">
    <cfRule type="cellIs" priority="16" dxfId="2" operator="greaterThan" stopIfTrue="1">
      <formula>$C$31</formula>
    </cfRule>
  </conditionalFormatting>
  <conditionalFormatting sqref="D60">
    <cfRule type="cellIs" priority="17" dxfId="2" operator="greaterThan" stopIfTrue="1">
      <formula>$D$62</formula>
    </cfRule>
  </conditionalFormatting>
  <conditionalFormatting sqref="C60">
    <cfRule type="cellIs" priority="18" dxfId="2" operator="greaterThan" stopIfTrue="1">
      <formula>$C$62</formula>
    </cfRule>
  </conditionalFormatting>
  <conditionalFormatting sqref="D3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B1" sqref="B1"/>
    </sheetView>
  </sheetViews>
  <sheetFormatPr defaultColWidth="8.796875" defaultRowHeight="15"/>
  <cols>
    <col min="1" max="1" width="2.3984375" style="72" customWidth="1"/>
    <col min="2" max="2" width="31.09765625" style="72" customWidth="1"/>
    <col min="3" max="4" width="15.796875" style="72" customWidth="1"/>
    <col min="5" max="5" width="16.09765625" style="72" customWidth="1"/>
    <col min="6"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243</v>
      </c>
      <c r="C3" s="334"/>
      <c r="D3" s="334"/>
      <c r="E3" s="335"/>
    </row>
    <row r="4" spans="2:5" ht="15.75">
      <c r="B4" s="85"/>
      <c r="C4" s="328"/>
      <c r="D4" s="328"/>
      <c r="E4" s="328"/>
    </row>
    <row r="5" spans="2:5" ht="15.75">
      <c r="B5" s="84" t="s">
        <v>160</v>
      </c>
      <c r="C5" s="324" t="str">
        <f>general!C4</f>
        <v>Prior Year </v>
      </c>
      <c r="D5" s="215" t="str">
        <f>general!D4</f>
        <v>Current Year </v>
      </c>
      <c r="E5" s="215" t="str">
        <f>general!E4</f>
        <v>Proposed Budget </v>
      </c>
    </row>
    <row r="6" spans="2:5" ht="15.75">
      <c r="B6" s="484" t="str">
        <f>inputPrYr!B53</f>
        <v>Weed Capital Outlay</v>
      </c>
      <c r="C6" s="316" t="str">
        <f>general!C5</f>
        <v>Actual for 2011</v>
      </c>
      <c r="D6" s="316" t="str">
        <f>general!D5</f>
        <v>Estimate for 2012</v>
      </c>
      <c r="E6" s="303" t="str">
        <f>general!E5</f>
        <v>Year for 2013</v>
      </c>
    </row>
    <row r="7" spans="2:5" ht="15.75">
      <c r="B7" s="148" t="s">
        <v>284</v>
      </c>
      <c r="C7" s="112">
        <v>120828</v>
      </c>
      <c r="D7" s="266">
        <f>C30</f>
        <v>145828</v>
      </c>
      <c r="E7" s="266">
        <f>D30</f>
        <v>85828</v>
      </c>
    </row>
    <row r="8" spans="2:5" ht="15.75">
      <c r="B8" s="337" t="s">
        <v>286</v>
      </c>
      <c r="C8" s="108"/>
      <c r="D8" s="108"/>
      <c r="E8" s="108"/>
    </row>
    <row r="9" spans="2:5" ht="15.75">
      <c r="B9" s="319" t="s">
        <v>1044</v>
      </c>
      <c r="C9" s="112">
        <v>25000</v>
      </c>
      <c r="D9" s="112">
        <v>0</v>
      </c>
      <c r="E9" s="112">
        <v>0</v>
      </c>
    </row>
    <row r="10" spans="2:5" ht="15.75">
      <c r="B10" s="319"/>
      <c r="C10" s="112"/>
      <c r="D10" s="112"/>
      <c r="E10" s="112"/>
    </row>
    <row r="11" spans="2:5" ht="15.75">
      <c r="B11" s="319"/>
      <c r="C11" s="112"/>
      <c r="D11" s="112"/>
      <c r="E11" s="112"/>
    </row>
    <row r="12" spans="2:5" ht="15.75">
      <c r="B12" s="309" t="s">
        <v>165</v>
      </c>
      <c r="C12" s="112"/>
      <c r="D12" s="112"/>
      <c r="E12" s="112"/>
    </row>
    <row r="13" spans="2:5" ht="15.75">
      <c r="B13" s="310" t="s">
        <v>75</v>
      </c>
      <c r="C13" s="112"/>
      <c r="D13" s="305"/>
      <c r="E13" s="305"/>
    </row>
    <row r="14" spans="2:5" ht="15.75">
      <c r="B14" s="310" t="s">
        <v>684</v>
      </c>
      <c r="C14" s="480">
        <f>IF(C15*0.1&lt;C13,"Exceed 10% Rule","")</f>
      </c>
      <c r="D14" s="311">
        <f>IF(D15*0.1&lt;D13,"Exceed 10% Rule","")</f>
      </c>
      <c r="E14" s="311">
        <f>IF(E15*0.1&lt;E13,"Exceed 10% Rule","")</f>
      </c>
    </row>
    <row r="15" spans="2:5" ht="15.75">
      <c r="B15" s="312" t="s">
        <v>166</v>
      </c>
      <c r="C15" s="353">
        <f>SUM(C9:C13)</f>
        <v>25000</v>
      </c>
      <c r="D15" s="353">
        <f>SUM(D9:D13)</f>
        <v>0</v>
      </c>
      <c r="E15" s="353">
        <f>SUM(E9:E13)</f>
        <v>0</v>
      </c>
    </row>
    <row r="16" spans="2:5" ht="15.75">
      <c r="B16" s="312" t="s">
        <v>167</v>
      </c>
      <c r="C16" s="353">
        <f>C15+C7</f>
        <v>145828</v>
      </c>
      <c r="D16" s="353">
        <f>D15+D7</f>
        <v>145828</v>
      </c>
      <c r="E16" s="353">
        <f>E15+E7</f>
        <v>85828</v>
      </c>
    </row>
    <row r="17" spans="2:5" ht="15.75">
      <c r="B17" s="148" t="s">
        <v>170</v>
      </c>
      <c r="C17" s="266"/>
      <c r="D17" s="266"/>
      <c r="E17" s="266"/>
    </row>
    <row r="18" spans="2:5" ht="15.75">
      <c r="B18" s="319" t="s">
        <v>996</v>
      </c>
      <c r="C18" s="112">
        <v>0</v>
      </c>
      <c r="D18" s="112">
        <v>60000</v>
      </c>
      <c r="E18" s="112">
        <v>85828</v>
      </c>
    </row>
    <row r="19" spans="2:5" ht="15.75">
      <c r="B19" s="319"/>
      <c r="C19" s="112"/>
      <c r="D19" s="112"/>
      <c r="E19" s="112"/>
    </row>
    <row r="20" spans="2:5" ht="15.75">
      <c r="B20" s="319"/>
      <c r="C20" s="112"/>
      <c r="D20" s="112"/>
      <c r="E20" s="112"/>
    </row>
    <row r="21" spans="2:5" ht="15.75">
      <c r="B21" s="319"/>
      <c r="C21" s="112"/>
      <c r="D21" s="112"/>
      <c r="E21" s="112"/>
    </row>
    <row r="22" spans="2:5" ht="15.75">
      <c r="B22" s="319"/>
      <c r="C22" s="112"/>
      <c r="D22" s="112"/>
      <c r="E22" s="112"/>
    </row>
    <row r="23" spans="2:5" ht="15.75">
      <c r="B23" s="319"/>
      <c r="C23" s="112"/>
      <c r="D23" s="112"/>
      <c r="E23" s="112"/>
    </row>
    <row r="24" spans="2:5" ht="15.75">
      <c r="B24" s="319"/>
      <c r="C24" s="112"/>
      <c r="D24" s="112"/>
      <c r="E24" s="112"/>
    </row>
    <row r="25" spans="2:5" ht="15.75">
      <c r="B25" s="319"/>
      <c r="C25" s="112"/>
      <c r="D25" s="112"/>
      <c r="E25" s="112"/>
    </row>
    <row r="26" spans="2:5" ht="15.75">
      <c r="B26" s="319"/>
      <c r="C26" s="112"/>
      <c r="D26" s="112"/>
      <c r="E26" s="112"/>
    </row>
    <row r="27" spans="2:5" ht="15.75">
      <c r="B27" s="310" t="s">
        <v>75</v>
      </c>
      <c r="C27" s="112"/>
      <c r="D27" s="305"/>
      <c r="E27" s="305"/>
    </row>
    <row r="28" spans="2:5" ht="15.75">
      <c r="B28" s="310" t="s">
        <v>683</v>
      </c>
      <c r="C28" s="480">
        <f>IF(C29*0.1&lt;C27,"Exceed 10% Rule","")</f>
      </c>
      <c r="D28" s="311">
        <f>IF(D29*0.1&lt;D27,"Exceed 10% Rule","")</f>
      </c>
      <c r="E28" s="311">
        <f>IF(E29*0.1&lt;E27,"Exceed 10% Rule","")</f>
      </c>
    </row>
    <row r="29" spans="2:5" ht="15.75">
      <c r="B29" s="312" t="s">
        <v>171</v>
      </c>
      <c r="C29" s="353">
        <f>SUM(C18:C27)</f>
        <v>0</v>
      </c>
      <c r="D29" s="353">
        <f>SUM(D18:D27)</f>
        <v>60000</v>
      </c>
      <c r="E29" s="353">
        <f>SUM(E18:E27)</f>
        <v>85828</v>
      </c>
    </row>
    <row r="30" spans="2:5" ht="15.75">
      <c r="B30" s="148" t="s">
        <v>285</v>
      </c>
      <c r="C30" s="120">
        <f>C16-C29</f>
        <v>145828</v>
      </c>
      <c r="D30" s="120">
        <f>D16-D29</f>
        <v>85828</v>
      </c>
      <c r="E30" s="120">
        <f>E16-E29</f>
        <v>0</v>
      </c>
    </row>
    <row r="31" spans="2:5" ht="15.75">
      <c r="B31" s="288" t="str">
        <f>CONCATENATE("",E$1-2,"/",E$1-1," Budget Authority Amount:")</f>
        <v>2011/2012 Budget Authority Amount:</v>
      </c>
      <c r="C31" s="280">
        <f>inputOth!B65</f>
        <v>70828</v>
      </c>
      <c r="D31" s="280">
        <f>inputPrYr!D53</f>
        <v>60000</v>
      </c>
      <c r="E31" s="479">
        <f>IF(E30&lt;0,"See Tab E","")</f>
      </c>
    </row>
    <row r="32" spans="2:5" ht="15.75">
      <c r="B32" s="288"/>
      <c r="C32" s="322">
        <f>IF(C29&gt;C31,"See Tab A","")</f>
      </c>
      <c r="D32" s="322">
        <f>IF(D29&gt;D31,"See Tab C","")</f>
      </c>
      <c r="E32" s="145"/>
    </row>
    <row r="33" spans="2:5" ht="15.75">
      <c r="B33" s="288"/>
      <c r="C33" s="322">
        <f>IF(C30&lt;0,"See Tab B","")</f>
      </c>
      <c r="D33" s="322">
        <f>IF(D30&lt;0,"See Tab D","")</f>
      </c>
      <c r="E33" s="145"/>
    </row>
    <row r="34" spans="2:5" ht="15.75">
      <c r="B34" s="85"/>
      <c r="C34" s="145"/>
      <c r="D34" s="145"/>
      <c r="E34" s="145"/>
    </row>
    <row r="35" spans="2:5" ht="15.75">
      <c r="B35" s="84" t="s">
        <v>160</v>
      </c>
      <c r="C35" s="328"/>
      <c r="D35" s="328"/>
      <c r="E35" s="328"/>
    </row>
    <row r="36" spans="2:5" ht="15.75">
      <c r="B36" s="85"/>
      <c r="C36" s="324" t="str">
        <f aca="true" t="shared" si="0" ref="C36:E37">C5</f>
        <v>Prior Year </v>
      </c>
      <c r="D36" s="215" t="str">
        <f t="shared" si="0"/>
        <v>Current Year </v>
      </c>
      <c r="E36" s="215" t="str">
        <f t="shared" si="0"/>
        <v>Proposed Budget </v>
      </c>
    </row>
    <row r="37" spans="2:5" ht="15.75">
      <c r="B37" s="484">
        <f>inputPrYr!B54</f>
        <v>0</v>
      </c>
      <c r="C37" s="316" t="str">
        <f t="shared" si="0"/>
        <v>Actual for 2011</v>
      </c>
      <c r="D37" s="316" t="str">
        <f t="shared" si="0"/>
        <v>Estimate for 2012</v>
      </c>
      <c r="E37" s="303" t="str">
        <f t="shared" si="0"/>
        <v>Year for 2013</v>
      </c>
    </row>
    <row r="38" spans="2:5" ht="15.75">
      <c r="B38" s="148" t="s">
        <v>284</v>
      </c>
      <c r="C38" s="112"/>
      <c r="D38" s="266">
        <f>C61</f>
        <v>0</v>
      </c>
      <c r="E38" s="266">
        <f>D61</f>
        <v>0</v>
      </c>
    </row>
    <row r="39" spans="2:5" ht="15.75">
      <c r="B39" s="337" t="s">
        <v>286</v>
      </c>
      <c r="C39" s="108"/>
      <c r="D39" s="108"/>
      <c r="E39" s="108"/>
    </row>
    <row r="40" spans="2:5" ht="15.75">
      <c r="B40" s="319"/>
      <c r="C40" s="112"/>
      <c r="D40" s="112"/>
      <c r="E40" s="112"/>
    </row>
    <row r="41" spans="2:5" ht="15.75">
      <c r="B41" s="319"/>
      <c r="C41" s="112"/>
      <c r="D41" s="112"/>
      <c r="E41" s="112"/>
    </row>
    <row r="42" spans="2:5" ht="15.75">
      <c r="B42" s="319"/>
      <c r="C42" s="112"/>
      <c r="D42" s="112"/>
      <c r="E42" s="112"/>
    </row>
    <row r="43" spans="2:5" ht="15.75">
      <c r="B43" s="309" t="s">
        <v>165</v>
      </c>
      <c r="C43" s="112"/>
      <c r="D43" s="112"/>
      <c r="E43" s="112"/>
    </row>
    <row r="44" spans="2:5" ht="15.75">
      <c r="B44" s="310" t="s">
        <v>75</v>
      </c>
      <c r="C44" s="112"/>
      <c r="D44" s="305"/>
      <c r="E44" s="305"/>
    </row>
    <row r="45" spans="2:5" ht="15.75">
      <c r="B45" s="310" t="s">
        <v>684</v>
      </c>
      <c r="C45" s="480">
        <f>IF(C46*0.1&lt;C44,"Exceed 10% Rule","")</f>
      </c>
      <c r="D45" s="311">
        <f>IF(D46*0.1&lt;D44,"Exceed 10% Rule","")</f>
      </c>
      <c r="E45" s="311">
        <f>IF(E46*0.1&lt;E44,"Exceed 10% Rule","")</f>
      </c>
    </row>
    <row r="46" spans="2:5" ht="15.75">
      <c r="B46" s="312" t="s">
        <v>166</v>
      </c>
      <c r="C46" s="353">
        <f>SUM(C40:C44)</f>
        <v>0</v>
      </c>
      <c r="D46" s="353">
        <f>SUM(D40:D44)</f>
        <v>0</v>
      </c>
      <c r="E46" s="353">
        <f>SUM(E40:E44)</f>
        <v>0</v>
      </c>
    </row>
    <row r="47" spans="2:5" ht="15.75">
      <c r="B47" s="312" t="s">
        <v>167</v>
      </c>
      <c r="C47" s="353">
        <f>C38+C46</f>
        <v>0</v>
      </c>
      <c r="D47" s="353">
        <f>D38+D46</f>
        <v>0</v>
      </c>
      <c r="E47" s="353">
        <f>E38+E46</f>
        <v>0</v>
      </c>
    </row>
    <row r="48" spans="2:5" ht="15.75">
      <c r="B48" s="148" t="s">
        <v>170</v>
      </c>
      <c r="C48" s="266"/>
      <c r="D48" s="266"/>
      <c r="E48" s="266"/>
    </row>
    <row r="49" spans="2:5" ht="15.75">
      <c r="B49" s="319"/>
      <c r="C49" s="112"/>
      <c r="D49" s="112"/>
      <c r="E49" s="112"/>
    </row>
    <row r="50" spans="2:5" ht="15.75">
      <c r="B50" s="319"/>
      <c r="C50" s="112"/>
      <c r="D50" s="112"/>
      <c r="E50" s="112"/>
    </row>
    <row r="51" spans="2:5" ht="15.75">
      <c r="B51" s="319"/>
      <c r="C51" s="112"/>
      <c r="D51" s="112"/>
      <c r="E51" s="112"/>
    </row>
    <row r="52" spans="2:5" ht="15.75">
      <c r="B52" s="319"/>
      <c r="C52" s="112"/>
      <c r="D52" s="112"/>
      <c r="E52" s="112"/>
    </row>
    <row r="53" spans="2:5" ht="15.75">
      <c r="B53" s="319"/>
      <c r="C53" s="112"/>
      <c r="D53" s="112"/>
      <c r="E53" s="112"/>
    </row>
    <row r="54" spans="2:5" ht="15.75">
      <c r="B54" s="319"/>
      <c r="C54" s="112"/>
      <c r="D54" s="112"/>
      <c r="E54" s="112"/>
    </row>
    <row r="55" spans="2:5" ht="15.75">
      <c r="B55" s="319"/>
      <c r="C55" s="112"/>
      <c r="D55" s="112"/>
      <c r="E55" s="112"/>
    </row>
    <row r="56" spans="2:5" ht="15.75">
      <c r="B56" s="319"/>
      <c r="C56" s="112"/>
      <c r="D56" s="112"/>
      <c r="E56" s="112"/>
    </row>
    <row r="57" spans="2:5" ht="15.75">
      <c r="B57" s="319"/>
      <c r="C57" s="112"/>
      <c r="D57" s="112"/>
      <c r="E57" s="112"/>
    </row>
    <row r="58" spans="2:5" ht="15.75">
      <c r="B58" s="310" t="s">
        <v>75</v>
      </c>
      <c r="C58" s="112"/>
      <c r="D58" s="305"/>
      <c r="E58" s="305"/>
    </row>
    <row r="59" spans="2:5" ht="15.75">
      <c r="B59" s="310" t="s">
        <v>683</v>
      </c>
      <c r="C59" s="480">
        <f>IF(C60*0.1&lt;C58,"Exceed 10% Rule","")</f>
      </c>
      <c r="D59" s="311">
        <f>IF(D60*0.1&lt;D58,"Exceed 10% Rule","")</f>
      </c>
      <c r="E59" s="311">
        <f>IF(E60*0.1&lt;E58,"Exceed 10% Rule","")</f>
      </c>
    </row>
    <row r="60" spans="2:5" ht="15.75">
      <c r="B60" s="312" t="s">
        <v>171</v>
      </c>
      <c r="C60" s="353">
        <f>SUM(C49:C58)</f>
        <v>0</v>
      </c>
      <c r="D60" s="353">
        <f>SUM(D49:D58)</f>
        <v>0</v>
      </c>
      <c r="E60" s="353">
        <f>SUM(E49:E58)</f>
        <v>0</v>
      </c>
    </row>
    <row r="61" spans="2:5" ht="15.75">
      <c r="B61" s="148" t="s">
        <v>285</v>
      </c>
      <c r="C61" s="120">
        <f>C47-C60</f>
        <v>0</v>
      </c>
      <c r="D61" s="120">
        <f>D47-D60</f>
        <v>0</v>
      </c>
      <c r="E61" s="120">
        <f>E47-E60</f>
        <v>0</v>
      </c>
    </row>
    <row r="62" spans="2:5" ht="15.75">
      <c r="B62" s="288" t="str">
        <f>CONCATENATE("",E$1-2,"/",E$1-1," Budget Authority Amount:")</f>
        <v>2011/2012 Budget Authority Amount:</v>
      </c>
      <c r="C62" s="280">
        <f>inputOth!B66</f>
        <v>0</v>
      </c>
      <c r="D62" s="280">
        <f>inputPrYr!D54</f>
        <v>0</v>
      </c>
      <c r="E62" s="478">
        <f>IF(E61&lt;0,"See Tab E","")</f>
      </c>
    </row>
    <row r="63" spans="2:5" ht="15.75">
      <c r="B63" s="288"/>
      <c r="C63" s="322">
        <f>IF(C60&gt;C62,"See Tab A","")</f>
      </c>
      <c r="D63" s="322">
        <f>IF(D60&gt;D62,"See Tab C","")</f>
      </c>
      <c r="E63" s="85"/>
    </row>
    <row r="64" spans="2:5" ht="15.75">
      <c r="B64" s="288"/>
      <c r="C64" s="322">
        <f>IF(C61&lt;0,"See Tab B","")</f>
      </c>
      <c r="D64" s="322">
        <f>IF(D61&lt;0,"See Tab D","")</f>
      </c>
      <c r="E64" s="85"/>
    </row>
    <row r="65" spans="2:5" ht="15.75">
      <c r="B65" s="85"/>
      <c r="C65" s="85"/>
      <c r="D65" s="85"/>
      <c r="E65" s="85"/>
    </row>
    <row r="66" spans="2:5" ht="15.75">
      <c r="B66" s="288" t="s">
        <v>194</v>
      </c>
      <c r="C66" s="350">
        <v>18</v>
      </c>
      <c r="D66" s="85"/>
      <c r="E66" s="85"/>
    </row>
  </sheetData>
  <sheetProtection sheet="1"/>
  <conditionalFormatting sqref="C27">
    <cfRule type="cellIs" priority="3" dxfId="408" operator="greaterThan" stopIfTrue="1">
      <formula>$C$29*0.1</formula>
    </cfRule>
  </conditionalFormatting>
  <conditionalFormatting sqref="D27">
    <cfRule type="cellIs" priority="4" dxfId="408" operator="greaterThan" stopIfTrue="1">
      <formula>$D$29*0.1</formula>
    </cfRule>
  </conditionalFormatting>
  <conditionalFormatting sqref="E27">
    <cfRule type="cellIs" priority="5" dxfId="408" operator="greaterThan" stopIfTrue="1">
      <formula>$E$29*0.1</formula>
    </cfRule>
  </conditionalFormatting>
  <conditionalFormatting sqref="C13">
    <cfRule type="cellIs" priority="6" dxfId="408" operator="greaterThan" stopIfTrue="1">
      <formula>$C$15*0.1</formula>
    </cfRule>
  </conditionalFormatting>
  <conditionalFormatting sqref="D13">
    <cfRule type="cellIs" priority="7" dxfId="408" operator="greaterThan" stopIfTrue="1">
      <formula>$D$15*0.1</formula>
    </cfRule>
  </conditionalFormatting>
  <conditionalFormatting sqref="E13">
    <cfRule type="cellIs" priority="8" dxfId="408" operator="greaterThan" stopIfTrue="1">
      <formula>$E$15*0.1</formula>
    </cfRule>
  </conditionalFormatting>
  <conditionalFormatting sqref="C44">
    <cfRule type="cellIs" priority="9" dxfId="408" operator="greaterThan" stopIfTrue="1">
      <formula>$C$46*0.1</formula>
    </cfRule>
  </conditionalFormatting>
  <conditionalFormatting sqref="D44">
    <cfRule type="cellIs" priority="10" dxfId="408" operator="greaterThan" stopIfTrue="1">
      <formula>$D$46*0.1</formula>
    </cfRule>
  </conditionalFormatting>
  <conditionalFormatting sqref="E44">
    <cfRule type="cellIs" priority="11" dxfId="408" operator="greaterThan" stopIfTrue="1">
      <formula>$E$46*0.1</formula>
    </cfRule>
  </conditionalFormatting>
  <conditionalFormatting sqref="C58">
    <cfRule type="cellIs" priority="12" dxfId="408" operator="greaterThan" stopIfTrue="1">
      <formula>$C$60*0.1</formula>
    </cfRule>
  </conditionalFormatting>
  <conditionalFormatting sqref="D58">
    <cfRule type="cellIs" priority="13" dxfId="408" operator="greaterThan" stopIfTrue="1">
      <formula>$D$60*0.1</formula>
    </cfRule>
  </conditionalFormatting>
  <conditionalFormatting sqref="E58">
    <cfRule type="cellIs" priority="14" dxfId="408"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0" r:id="rId1"/>
  <headerFooter alignWithMargins="0">
    <oddHeader>&amp;RState of Kansas
County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10" sqref="C10:E10"/>
    </sheetView>
  </sheetViews>
  <sheetFormatPr defaultColWidth="8.796875" defaultRowHeight="15"/>
  <cols>
    <col min="1" max="1" width="2.3984375" style="72" customWidth="1"/>
    <col min="2" max="2" width="31.09765625" style="72" customWidth="1"/>
    <col min="3" max="4" width="15.796875" style="72" customWidth="1"/>
    <col min="5" max="5" width="16.19921875" style="72" customWidth="1"/>
    <col min="6"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243</v>
      </c>
      <c r="C3" s="334"/>
      <c r="D3" s="334"/>
      <c r="E3" s="335"/>
    </row>
    <row r="4" spans="2:5" ht="15.75">
      <c r="B4" s="85"/>
      <c r="C4" s="328"/>
      <c r="D4" s="328"/>
      <c r="E4" s="328"/>
    </row>
    <row r="5" spans="2:5" ht="15.75">
      <c r="B5" s="84" t="s">
        <v>160</v>
      </c>
      <c r="C5" s="324" t="str">
        <f>general!C4</f>
        <v>Prior Year </v>
      </c>
      <c r="D5" s="215" t="str">
        <f>general!D4</f>
        <v>Current Year </v>
      </c>
      <c r="E5" s="215" t="str">
        <f>general!E4</f>
        <v>Proposed Budget </v>
      </c>
    </row>
    <row r="6" spans="2:5" ht="15.75">
      <c r="B6" s="484">
        <f>inputPrYr!B55</f>
        <v>0</v>
      </c>
      <c r="C6" s="316" t="str">
        <f>general!C5</f>
        <v>Actual for 2011</v>
      </c>
      <c r="D6" s="316" t="str">
        <f>general!D5</f>
        <v>Estimate for 2012</v>
      </c>
      <c r="E6" s="303" t="str">
        <f>general!E5</f>
        <v>Year for 2013</v>
      </c>
    </row>
    <row r="7" spans="2:5" ht="15.75">
      <c r="B7" s="148" t="s">
        <v>284</v>
      </c>
      <c r="C7" s="112"/>
      <c r="D7" s="266">
        <f>C30</f>
        <v>0</v>
      </c>
      <c r="E7" s="266">
        <f>D30</f>
        <v>0</v>
      </c>
    </row>
    <row r="8" spans="2:5" ht="15.75">
      <c r="B8" s="337" t="s">
        <v>286</v>
      </c>
      <c r="C8" s="108"/>
      <c r="D8" s="108"/>
      <c r="E8" s="108"/>
    </row>
    <row r="9" spans="2:5" ht="15.75">
      <c r="B9" s="319"/>
      <c r="C9" s="112"/>
      <c r="D9" s="112"/>
      <c r="E9" s="112"/>
    </row>
    <row r="10" spans="2:5" ht="15.75">
      <c r="B10" s="319"/>
      <c r="C10" s="112"/>
      <c r="D10" s="112"/>
      <c r="E10" s="112"/>
    </row>
    <row r="11" spans="2:5" ht="15.75">
      <c r="B11" s="319"/>
      <c r="C11" s="112"/>
      <c r="D11" s="112"/>
      <c r="E11" s="112"/>
    </row>
    <row r="12" spans="2:5" ht="15.75">
      <c r="B12" s="309" t="s">
        <v>165</v>
      </c>
      <c r="C12" s="112"/>
      <c r="D12" s="112"/>
      <c r="E12" s="112"/>
    </row>
    <row r="13" spans="2:5" ht="15.75">
      <c r="B13" s="310" t="s">
        <v>75</v>
      </c>
      <c r="C13" s="112"/>
      <c r="D13" s="305"/>
      <c r="E13" s="305"/>
    </row>
    <row r="14" spans="2:5" ht="15.75">
      <c r="B14" s="310" t="s">
        <v>684</v>
      </c>
      <c r="C14" s="480">
        <f>IF(C15*0.1&lt;C13,"Exceed 10% Rule","")</f>
      </c>
      <c r="D14" s="311">
        <f>IF(D15*0.1&lt;D13,"Exceed 10% Rule","")</f>
      </c>
      <c r="E14" s="311">
        <f>IF(E15*0.1&lt;E13,"Exceed 10% Rule","")</f>
      </c>
    </row>
    <row r="15" spans="2:5" ht="15.75">
      <c r="B15" s="312" t="s">
        <v>166</v>
      </c>
      <c r="C15" s="353">
        <f>SUM(C9:C13)</f>
        <v>0</v>
      </c>
      <c r="D15" s="353">
        <f>SUM(D9:D13)</f>
        <v>0</v>
      </c>
      <c r="E15" s="353">
        <f>SUM(E9:E13)</f>
        <v>0</v>
      </c>
    </row>
    <row r="16" spans="2:5" ht="15.75">
      <c r="B16" s="312" t="s">
        <v>167</v>
      </c>
      <c r="C16" s="353">
        <f>C15+C7</f>
        <v>0</v>
      </c>
      <c r="D16" s="353">
        <f>D15+D7</f>
        <v>0</v>
      </c>
      <c r="E16" s="353">
        <f>E15+E7</f>
        <v>0</v>
      </c>
    </row>
    <row r="17" spans="2:5" ht="15.75">
      <c r="B17" s="148" t="s">
        <v>170</v>
      </c>
      <c r="C17" s="266"/>
      <c r="D17" s="266"/>
      <c r="E17" s="266"/>
    </row>
    <row r="18" spans="2:5" ht="15.75">
      <c r="B18" s="319"/>
      <c r="C18" s="112"/>
      <c r="D18" s="112"/>
      <c r="E18" s="112"/>
    </row>
    <row r="19" spans="2:5" ht="15.75">
      <c r="B19" s="319"/>
      <c r="C19" s="112"/>
      <c r="D19" s="112"/>
      <c r="E19" s="112"/>
    </row>
    <row r="20" spans="2:5" ht="15.75">
      <c r="B20" s="319"/>
      <c r="C20" s="112"/>
      <c r="D20" s="112"/>
      <c r="E20" s="112"/>
    </row>
    <row r="21" spans="2:5" ht="15.75">
      <c r="B21" s="319"/>
      <c r="C21" s="112"/>
      <c r="D21" s="112"/>
      <c r="E21" s="112"/>
    </row>
    <row r="22" spans="2:5" ht="15.75">
      <c r="B22" s="319"/>
      <c r="C22" s="112"/>
      <c r="D22" s="112"/>
      <c r="E22" s="112"/>
    </row>
    <row r="23" spans="2:5" ht="15.75">
      <c r="B23" s="319"/>
      <c r="C23" s="112"/>
      <c r="D23" s="112"/>
      <c r="E23" s="112"/>
    </row>
    <row r="24" spans="2:5" ht="15.75">
      <c r="B24" s="319"/>
      <c r="C24" s="112"/>
      <c r="D24" s="112"/>
      <c r="E24" s="112"/>
    </row>
    <row r="25" spans="2:5" ht="15.75">
      <c r="B25" s="319"/>
      <c r="C25" s="112"/>
      <c r="D25" s="112"/>
      <c r="E25" s="112"/>
    </row>
    <row r="26" spans="2:5" ht="15.75">
      <c r="B26" s="319"/>
      <c r="C26" s="112"/>
      <c r="D26" s="112"/>
      <c r="E26" s="112"/>
    </row>
    <row r="27" spans="2:5" ht="15.75">
      <c r="B27" s="310" t="s">
        <v>75</v>
      </c>
      <c r="C27" s="112"/>
      <c r="D27" s="305"/>
      <c r="E27" s="305"/>
    </row>
    <row r="28" spans="2:5" ht="15.75">
      <c r="B28" s="310" t="s">
        <v>683</v>
      </c>
      <c r="C28" s="480">
        <f>IF(C29*0.1&lt;C27,"Exceed 10% Rule","")</f>
      </c>
      <c r="D28" s="311">
        <f>IF(D29*0.1&lt;D27,"Exceed 10% Rule","")</f>
      </c>
      <c r="E28" s="311">
        <f>IF(E29*0.1&lt;E27,"Exceed 10% Rule","")</f>
      </c>
    </row>
    <row r="29" spans="2:5" ht="15.75">
      <c r="B29" s="312" t="s">
        <v>171</v>
      </c>
      <c r="C29" s="353">
        <f>SUM(C18:C27)</f>
        <v>0</v>
      </c>
      <c r="D29" s="353">
        <f>SUM(D18:D27)</f>
        <v>0</v>
      </c>
      <c r="E29" s="353">
        <f>SUM(E18:E27)</f>
        <v>0</v>
      </c>
    </row>
    <row r="30" spans="2:5" ht="15.75">
      <c r="B30" s="148" t="s">
        <v>285</v>
      </c>
      <c r="C30" s="120">
        <f>C16-C29</f>
        <v>0</v>
      </c>
      <c r="D30" s="120">
        <f>D16-D29</f>
        <v>0</v>
      </c>
      <c r="E30" s="120">
        <f>E16-E29</f>
        <v>0</v>
      </c>
    </row>
    <row r="31" spans="2:5" ht="15.75">
      <c r="B31" s="288" t="str">
        <f>CONCATENATE("",E$1-2,"/",E$1-1," Budget Authority Amount:")</f>
        <v>2011/2012 Budget Authority Amount:</v>
      </c>
      <c r="C31" s="280">
        <f>inputOth!B67</f>
        <v>0</v>
      </c>
      <c r="D31" s="280">
        <f>inputPrYr!D55</f>
        <v>0</v>
      </c>
      <c r="E31" s="479">
        <f>IF(E30&lt;0,"See Tab E","")</f>
      </c>
    </row>
    <row r="32" spans="2:5" ht="15.75">
      <c r="B32" s="288"/>
      <c r="C32" s="322">
        <f>IF(C29&gt;C31,"See Tab A","")</f>
      </c>
      <c r="D32" s="322">
        <f>IF(D29&gt;D31,"See Tab C","")</f>
      </c>
      <c r="E32" s="145"/>
    </row>
    <row r="33" spans="2:5" ht="15.75">
      <c r="B33" s="288"/>
      <c r="C33" s="322">
        <f>IF(C30&lt;0,"See Tab B","")</f>
      </c>
      <c r="D33" s="322">
        <f>IF(D30&lt;0,"See Tab D","")</f>
      </c>
      <c r="E33" s="145"/>
    </row>
    <row r="34" spans="2:5" ht="15.75">
      <c r="B34" s="85"/>
      <c r="C34" s="145"/>
      <c r="D34" s="145"/>
      <c r="E34" s="145"/>
    </row>
    <row r="35" spans="2:5" ht="15.75">
      <c r="B35" s="84" t="s">
        <v>160</v>
      </c>
      <c r="C35" s="328"/>
      <c r="D35" s="328"/>
      <c r="E35" s="328"/>
    </row>
    <row r="36" spans="2:5" ht="15.75">
      <c r="B36" s="85"/>
      <c r="C36" s="324" t="str">
        <f aca="true" t="shared" si="0" ref="C36:E37">C5</f>
        <v>Prior Year </v>
      </c>
      <c r="D36" s="215" t="str">
        <f t="shared" si="0"/>
        <v>Current Year </v>
      </c>
      <c r="E36" s="215" t="str">
        <f t="shared" si="0"/>
        <v>Proposed Budget </v>
      </c>
    </row>
    <row r="37" spans="2:5" ht="15.75">
      <c r="B37" s="483">
        <f>inputPrYr!B56</f>
        <v>0</v>
      </c>
      <c r="C37" s="316" t="str">
        <f t="shared" si="0"/>
        <v>Actual for 2011</v>
      </c>
      <c r="D37" s="316" t="str">
        <f t="shared" si="0"/>
        <v>Estimate for 2012</v>
      </c>
      <c r="E37" s="303" t="str">
        <f t="shared" si="0"/>
        <v>Year for 2013</v>
      </c>
    </row>
    <row r="38" spans="2:5" ht="15.75">
      <c r="B38" s="148" t="s">
        <v>284</v>
      </c>
      <c r="C38" s="112"/>
      <c r="D38" s="266">
        <f>C61</f>
        <v>0</v>
      </c>
      <c r="E38" s="266">
        <f>D61</f>
        <v>0</v>
      </c>
    </row>
    <row r="39" spans="2:5" ht="15.75">
      <c r="B39" s="148" t="s">
        <v>286</v>
      </c>
      <c r="C39" s="108"/>
      <c r="D39" s="108"/>
      <c r="E39" s="108"/>
    </row>
    <row r="40" spans="2:5" ht="15.75">
      <c r="B40" s="319"/>
      <c r="C40" s="112"/>
      <c r="D40" s="112"/>
      <c r="E40" s="112"/>
    </row>
    <row r="41" spans="2:5" ht="15.75">
      <c r="B41" s="319"/>
      <c r="C41" s="112"/>
      <c r="D41" s="112"/>
      <c r="E41" s="112"/>
    </row>
    <row r="42" spans="2:5" ht="15.75">
      <c r="B42" s="319"/>
      <c r="C42" s="112"/>
      <c r="D42" s="112"/>
      <c r="E42" s="112"/>
    </row>
    <row r="43" spans="2:5" ht="15.75">
      <c r="B43" s="309" t="s">
        <v>165</v>
      </c>
      <c r="C43" s="112"/>
      <c r="D43" s="112"/>
      <c r="E43" s="112"/>
    </row>
    <row r="44" spans="2:5" ht="15.75">
      <c r="B44" s="310" t="s">
        <v>75</v>
      </c>
      <c r="C44" s="112"/>
      <c r="D44" s="305"/>
      <c r="E44" s="305"/>
    </row>
    <row r="45" spans="2:5" ht="15.75">
      <c r="B45" s="310" t="s">
        <v>684</v>
      </c>
      <c r="C45" s="480">
        <f>IF(C46*0.1&lt;C44,"Exceed 10% Rule","")</f>
      </c>
      <c r="D45" s="311">
        <f>IF(D46*0.1&lt;D44,"Exceed 10% Rule","")</f>
      </c>
      <c r="E45" s="311">
        <f>IF(E46*0.1&lt;E44,"Exceed 10% Rule","")</f>
      </c>
    </row>
    <row r="46" spans="2:5" ht="15.75">
      <c r="B46" s="312" t="s">
        <v>166</v>
      </c>
      <c r="C46" s="353">
        <f>SUM(C40:C44)</f>
        <v>0</v>
      </c>
      <c r="D46" s="353">
        <f>SUM(D40:D44)</f>
        <v>0</v>
      </c>
      <c r="E46" s="353">
        <f>SUM(E40:E44)</f>
        <v>0</v>
      </c>
    </row>
    <row r="47" spans="2:5" ht="15.75">
      <c r="B47" s="312" t="s">
        <v>167</v>
      </c>
      <c r="C47" s="353">
        <f>C38+C46</f>
        <v>0</v>
      </c>
      <c r="D47" s="353">
        <f>D38+D46</f>
        <v>0</v>
      </c>
      <c r="E47" s="353">
        <f>E38+E46</f>
        <v>0</v>
      </c>
    </row>
    <row r="48" spans="2:5" ht="15.75">
      <c r="B48" s="148" t="s">
        <v>170</v>
      </c>
      <c r="C48" s="266"/>
      <c r="D48" s="266"/>
      <c r="E48" s="266"/>
    </row>
    <row r="49" spans="2:5" ht="15.75">
      <c r="B49" s="319"/>
      <c r="C49" s="112"/>
      <c r="D49" s="112"/>
      <c r="E49" s="112"/>
    </row>
    <row r="50" spans="2:5" ht="15.75">
      <c r="B50" s="319"/>
      <c r="C50" s="112"/>
      <c r="D50" s="112"/>
      <c r="E50" s="112"/>
    </row>
    <row r="51" spans="2:5" ht="15.75">
      <c r="B51" s="319"/>
      <c r="C51" s="112"/>
      <c r="D51" s="112"/>
      <c r="E51" s="112"/>
    </row>
    <row r="52" spans="2:5" ht="15.75">
      <c r="B52" s="319"/>
      <c r="C52" s="112"/>
      <c r="D52" s="112"/>
      <c r="E52" s="112"/>
    </row>
    <row r="53" spans="2:5" ht="15.75">
      <c r="B53" s="319"/>
      <c r="C53" s="112"/>
      <c r="D53" s="112"/>
      <c r="E53" s="112"/>
    </row>
    <row r="54" spans="2:5" ht="15.75">
      <c r="B54" s="319"/>
      <c r="C54" s="112"/>
      <c r="D54" s="112"/>
      <c r="E54" s="112"/>
    </row>
    <row r="55" spans="2:5" ht="15.75">
      <c r="B55" s="319"/>
      <c r="C55" s="112"/>
      <c r="D55" s="112"/>
      <c r="E55" s="112"/>
    </row>
    <row r="56" spans="2:5" ht="15.75">
      <c r="B56" s="319"/>
      <c r="C56" s="112"/>
      <c r="D56" s="112"/>
      <c r="E56" s="112"/>
    </row>
    <row r="57" spans="2:5" ht="15.75">
      <c r="B57" s="319"/>
      <c r="C57" s="112"/>
      <c r="D57" s="112"/>
      <c r="E57" s="112"/>
    </row>
    <row r="58" spans="2:5" ht="15.75">
      <c r="B58" s="310" t="s">
        <v>75</v>
      </c>
      <c r="C58" s="112"/>
      <c r="D58" s="305"/>
      <c r="E58" s="305"/>
    </row>
    <row r="59" spans="2:5" ht="15.75">
      <c r="B59" s="310" t="s">
        <v>683</v>
      </c>
      <c r="C59" s="480">
        <f>IF(C60*0.1&lt;C58,"Exceed 10% Rule","")</f>
      </c>
      <c r="D59" s="311">
        <f>IF(D60*0.1&lt;D58,"Exceed 10% Rule","")</f>
      </c>
      <c r="E59" s="311">
        <f>IF(E60*0.1&lt;E58,"Exceed 10% Rule","")</f>
      </c>
    </row>
    <row r="60" spans="2:5" ht="15.75">
      <c r="B60" s="312" t="s">
        <v>171</v>
      </c>
      <c r="C60" s="353">
        <f>SUM(C49:C58)</f>
        <v>0</v>
      </c>
      <c r="D60" s="353">
        <f>SUM(D49:D58)</f>
        <v>0</v>
      </c>
      <c r="E60" s="353">
        <f>SUM(E49:E58)</f>
        <v>0</v>
      </c>
    </row>
    <row r="61" spans="2:5" ht="15.75">
      <c r="B61" s="148" t="s">
        <v>285</v>
      </c>
      <c r="C61" s="120">
        <f>C47-C60</f>
        <v>0</v>
      </c>
      <c r="D61" s="120">
        <f>D47-D60</f>
        <v>0</v>
      </c>
      <c r="E61" s="120">
        <f>E47-E60</f>
        <v>0</v>
      </c>
    </row>
    <row r="62" spans="2:5" ht="15.75">
      <c r="B62" s="288" t="str">
        <f>CONCATENATE("",E$1-2,"/",E$1-1," Budget Authority Amount:")</f>
        <v>2011/2012 Budget Authority Amount:</v>
      </c>
      <c r="C62" s="280">
        <f>inputOth!B68</f>
        <v>0</v>
      </c>
      <c r="D62" s="280">
        <f>inputPrYr!D56</f>
        <v>0</v>
      </c>
      <c r="E62" s="478">
        <f>IF(E61&lt;0,"See Tab E","")</f>
      </c>
    </row>
    <row r="63" spans="2:5" ht="15.75">
      <c r="B63" s="288"/>
      <c r="C63" s="322">
        <f>IF(C60&gt;C62,"See Tab A","")</f>
      </c>
      <c r="D63" s="322">
        <f>IF(D60&gt;D62,"See Tab C","")</f>
      </c>
      <c r="E63" s="85"/>
    </row>
    <row r="64" spans="2:5" ht="15.75">
      <c r="B64" s="288"/>
      <c r="C64" s="322">
        <f>IF(C61&lt;0,"See Tab B","")</f>
      </c>
      <c r="D64" s="322">
        <f>IF(D61&lt;0,"See Tab D","")</f>
      </c>
      <c r="E64" s="85"/>
    </row>
    <row r="65" spans="2:5" ht="15.75">
      <c r="B65" s="85"/>
      <c r="C65" s="85"/>
      <c r="D65" s="85"/>
      <c r="E65" s="85"/>
    </row>
    <row r="66" spans="2:5" ht="15.75">
      <c r="B66" s="288" t="s">
        <v>194</v>
      </c>
      <c r="C66" s="350"/>
      <c r="D66" s="85"/>
      <c r="E66" s="85"/>
    </row>
  </sheetData>
  <sheetProtection sheet="1"/>
  <conditionalFormatting sqref="C27">
    <cfRule type="cellIs" priority="3" dxfId="408" operator="greaterThan" stopIfTrue="1">
      <formula>$C$29*0.1</formula>
    </cfRule>
  </conditionalFormatting>
  <conditionalFormatting sqref="D27">
    <cfRule type="cellIs" priority="4" dxfId="408" operator="greaterThan" stopIfTrue="1">
      <formula>$D$29*0.1</formula>
    </cfRule>
  </conditionalFormatting>
  <conditionalFormatting sqref="E27">
    <cfRule type="cellIs" priority="5" dxfId="408" operator="greaterThan" stopIfTrue="1">
      <formula>$E$29*0.1</formula>
    </cfRule>
  </conditionalFormatting>
  <conditionalFormatting sqref="C13">
    <cfRule type="cellIs" priority="6" dxfId="408" operator="greaterThan" stopIfTrue="1">
      <formula>$C$15*0.1</formula>
    </cfRule>
  </conditionalFormatting>
  <conditionalFormatting sqref="D13">
    <cfRule type="cellIs" priority="7" dxfId="408" operator="greaterThan" stopIfTrue="1">
      <formula>$D$15*0.1</formula>
    </cfRule>
  </conditionalFormatting>
  <conditionalFormatting sqref="E13">
    <cfRule type="cellIs" priority="8" dxfId="408" operator="greaterThan" stopIfTrue="1">
      <formula>$E$15*0.1</formula>
    </cfRule>
  </conditionalFormatting>
  <conditionalFormatting sqref="C44">
    <cfRule type="cellIs" priority="9" dxfId="408" operator="greaterThan" stopIfTrue="1">
      <formula>$C$46*0.1</formula>
    </cfRule>
  </conditionalFormatting>
  <conditionalFormatting sqref="D44">
    <cfRule type="cellIs" priority="10" dxfId="408" operator="greaterThan" stopIfTrue="1">
      <formula>$D$46*0.1</formula>
    </cfRule>
  </conditionalFormatting>
  <conditionalFormatting sqref="E44">
    <cfRule type="cellIs" priority="11" dxfId="408" operator="greaterThan" stopIfTrue="1">
      <formula>$E$46*0.1</formula>
    </cfRule>
  </conditionalFormatting>
  <conditionalFormatting sqref="C58">
    <cfRule type="cellIs" priority="12" dxfId="408" operator="greaterThan" stopIfTrue="1">
      <formula>$C$60*0.1</formula>
    </cfRule>
  </conditionalFormatting>
  <conditionalFormatting sqref="D58">
    <cfRule type="cellIs" priority="13" dxfId="408" operator="greaterThan" stopIfTrue="1">
      <formula>$D$60*0.1</formula>
    </cfRule>
  </conditionalFormatting>
  <conditionalFormatting sqref="E58">
    <cfRule type="cellIs" priority="14" dxfId="408"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County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10" sqref="C10:E10"/>
    </sheetView>
  </sheetViews>
  <sheetFormatPr defaultColWidth="8.796875" defaultRowHeight="15"/>
  <cols>
    <col min="1" max="1" width="2.3984375" style="72" customWidth="1"/>
    <col min="2" max="2" width="31.09765625" style="72" customWidth="1"/>
    <col min="3" max="4" width="15.796875" style="72" customWidth="1"/>
    <col min="5" max="5" width="16.09765625" style="72" customWidth="1"/>
    <col min="6" max="16384" width="8.8984375" style="72" customWidth="1"/>
  </cols>
  <sheetData>
    <row r="1" spans="2:5" ht="15.75">
      <c r="B1" s="228" t="str">
        <f>(inputPrYr!C2)</f>
        <v>Rice County</v>
      </c>
      <c r="C1" s="85"/>
      <c r="D1" s="85"/>
      <c r="E1" s="287">
        <f>inputPrYr!C4</f>
        <v>2013</v>
      </c>
    </row>
    <row r="2" spans="2:5" ht="15.75">
      <c r="B2" s="85"/>
      <c r="C2" s="85"/>
      <c r="D2" s="85"/>
      <c r="E2" s="240"/>
    </row>
    <row r="3" spans="2:5" ht="15.75">
      <c r="B3" s="152" t="s">
        <v>243</v>
      </c>
      <c r="C3" s="334"/>
      <c r="D3" s="334"/>
      <c r="E3" s="335"/>
    </row>
    <row r="4" spans="2:5" ht="15.75">
      <c r="B4" s="85"/>
      <c r="C4" s="328"/>
      <c r="D4" s="328"/>
      <c r="E4" s="328"/>
    </row>
    <row r="5" spans="2:5" ht="15.75">
      <c r="B5" s="84" t="s">
        <v>160</v>
      </c>
      <c r="C5" s="324" t="str">
        <f>general!C4</f>
        <v>Prior Year </v>
      </c>
      <c r="D5" s="215" t="str">
        <f>general!D4</f>
        <v>Current Year </v>
      </c>
      <c r="E5" s="215" t="str">
        <f>general!E4</f>
        <v>Proposed Budget </v>
      </c>
    </row>
    <row r="6" spans="2:5" ht="15.75">
      <c r="B6" s="484">
        <f>inputPrYr!B57</f>
        <v>0</v>
      </c>
      <c r="C6" s="316" t="str">
        <f>general!C5</f>
        <v>Actual for 2011</v>
      </c>
      <c r="D6" s="316" t="str">
        <f>general!D5</f>
        <v>Estimate for 2012</v>
      </c>
      <c r="E6" s="303" t="str">
        <f>general!E5</f>
        <v>Year for 2013</v>
      </c>
    </row>
    <row r="7" spans="2:5" ht="15.75">
      <c r="B7" s="148" t="s">
        <v>284</v>
      </c>
      <c r="C7" s="112"/>
      <c r="D7" s="266">
        <f>C30</f>
        <v>0</v>
      </c>
      <c r="E7" s="266">
        <f>D30</f>
        <v>0</v>
      </c>
    </row>
    <row r="8" spans="2:5" ht="15.75">
      <c r="B8" s="337" t="s">
        <v>286</v>
      </c>
      <c r="C8" s="108"/>
      <c r="D8" s="108"/>
      <c r="E8" s="108"/>
    </row>
    <row r="9" spans="2:5" ht="15.75">
      <c r="B9" s="319"/>
      <c r="C9" s="112"/>
      <c r="D9" s="112"/>
      <c r="E9" s="112"/>
    </row>
    <row r="10" spans="2:5" ht="15.75">
      <c r="B10" s="319"/>
      <c r="C10" s="112"/>
      <c r="D10" s="112"/>
      <c r="E10" s="112"/>
    </row>
    <row r="11" spans="2:5" ht="15.75">
      <c r="B11" s="319"/>
      <c r="C11" s="112"/>
      <c r="D11" s="112"/>
      <c r="E11" s="112"/>
    </row>
    <row r="12" spans="2:5" ht="15.75">
      <c r="B12" s="309" t="s">
        <v>165</v>
      </c>
      <c r="C12" s="112"/>
      <c r="D12" s="112"/>
      <c r="E12" s="112"/>
    </row>
    <row r="13" spans="2:5" ht="15.75">
      <c r="B13" s="310" t="s">
        <v>75</v>
      </c>
      <c r="C13" s="112"/>
      <c r="D13" s="305"/>
      <c r="E13" s="305"/>
    </row>
    <row r="14" spans="2:5" ht="15.75">
      <c r="B14" s="310" t="s">
        <v>684</v>
      </c>
      <c r="C14" s="480">
        <f>IF(C15*0.1&lt;C13,"Exceed 10% Rule","")</f>
      </c>
      <c r="D14" s="311">
        <f>IF(D15*0.1&lt;D13,"Exceed 10% Rule","")</f>
      </c>
      <c r="E14" s="311">
        <f>IF(E15*0.1&lt;E13,"Exceed 10% Rule","")</f>
      </c>
    </row>
    <row r="15" spans="2:5" ht="15.75">
      <c r="B15" s="312" t="s">
        <v>166</v>
      </c>
      <c r="C15" s="353">
        <f>SUM(C9:C13)</f>
        <v>0</v>
      </c>
      <c r="D15" s="353">
        <f>SUM(D9:D13)</f>
        <v>0</v>
      </c>
      <c r="E15" s="353">
        <f>SUM(E9:E13)</f>
        <v>0</v>
      </c>
    </row>
    <row r="16" spans="2:5" ht="15.75">
      <c r="B16" s="312" t="s">
        <v>167</v>
      </c>
      <c r="C16" s="353">
        <f>C15+C7</f>
        <v>0</v>
      </c>
      <c r="D16" s="353">
        <f>D15+D7</f>
        <v>0</v>
      </c>
      <c r="E16" s="353">
        <f>E15+E7</f>
        <v>0</v>
      </c>
    </row>
    <row r="17" spans="2:5" ht="15.75">
      <c r="B17" s="148" t="s">
        <v>170</v>
      </c>
      <c r="C17" s="266"/>
      <c r="D17" s="266"/>
      <c r="E17" s="266"/>
    </row>
    <row r="18" spans="2:5" ht="15.75">
      <c r="B18" s="319"/>
      <c r="C18" s="112"/>
      <c r="D18" s="112"/>
      <c r="E18" s="112"/>
    </row>
    <row r="19" spans="2:5" ht="15.75">
      <c r="B19" s="319"/>
      <c r="C19" s="112"/>
      <c r="D19" s="112"/>
      <c r="E19" s="112"/>
    </row>
    <row r="20" spans="2:5" ht="15.75">
      <c r="B20" s="319"/>
      <c r="C20" s="112"/>
      <c r="D20" s="112"/>
      <c r="E20" s="112"/>
    </row>
    <row r="21" spans="2:5" ht="15.75">
      <c r="B21" s="319"/>
      <c r="C21" s="112"/>
      <c r="D21" s="112"/>
      <c r="E21" s="112"/>
    </row>
    <row r="22" spans="2:5" ht="15.75">
      <c r="B22" s="319"/>
      <c r="C22" s="112"/>
      <c r="D22" s="112"/>
      <c r="E22" s="112"/>
    </row>
    <row r="23" spans="2:5" ht="15.75">
      <c r="B23" s="319"/>
      <c r="C23" s="112"/>
      <c r="D23" s="112"/>
      <c r="E23" s="112"/>
    </row>
    <row r="24" spans="2:5" ht="15.75">
      <c r="B24" s="319"/>
      <c r="C24" s="112"/>
      <c r="D24" s="112"/>
      <c r="E24" s="112"/>
    </row>
    <row r="25" spans="2:5" ht="15.75">
      <c r="B25" s="319"/>
      <c r="C25" s="112"/>
      <c r="D25" s="112"/>
      <c r="E25" s="112"/>
    </row>
    <row r="26" spans="2:5" ht="15.75">
      <c r="B26" s="319"/>
      <c r="C26" s="112"/>
      <c r="D26" s="112"/>
      <c r="E26" s="112"/>
    </row>
    <row r="27" spans="2:5" ht="15.75">
      <c r="B27" s="310" t="s">
        <v>75</v>
      </c>
      <c r="C27" s="112"/>
      <c r="D27" s="305"/>
      <c r="E27" s="305"/>
    </row>
    <row r="28" spans="2:5" ht="15.75">
      <c r="B28" s="310" t="s">
        <v>683</v>
      </c>
      <c r="C28" s="480">
        <f>IF(C29*0.1&lt;C27,"Exceed 10% Rule","")</f>
      </c>
      <c r="D28" s="311">
        <f>IF(D29*0.1&lt;D27,"Exceed 10% Rule","")</f>
      </c>
      <c r="E28" s="311">
        <f>IF(E29*0.1&lt;E27,"Exceed 10% Rule","")</f>
      </c>
    </row>
    <row r="29" spans="2:5" ht="15.75">
      <c r="B29" s="312" t="s">
        <v>171</v>
      </c>
      <c r="C29" s="353">
        <f>SUM(C18:C27)</f>
        <v>0</v>
      </c>
      <c r="D29" s="353">
        <f>SUM(D18:D27)</f>
        <v>0</v>
      </c>
      <c r="E29" s="353">
        <f>SUM(E18:E27)</f>
        <v>0</v>
      </c>
    </row>
    <row r="30" spans="2:5" ht="15.75">
      <c r="B30" s="148" t="s">
        <v>285</v>
      </c>
      <c r="C30" s="120">
        <f>C16-C29</f>
        <v>0</v>
      </c>
      <c r="D30" s="120">
        <f>D16-D29</f>
        <v>0</v>
      </c>
      <c r="E30" s="120">
        <f>E16-E29</f>
        <v>0</v>
      </c>
    </row>
    <row r="31" spans="2:5" ht="15.75">
      <c r="B31" s="288" t="str">
        <f>CONCATENATE("",E$1-2,"/",E$1-1," Budget Authority Amount:")</f>
        <v>2011/2012 Budget Authority Amount:</v>
      </c>
      <c r="C31" s="280">
        <f>inputOth!B69</f>
        <v>0</v>
      </c>
      <c r="D31" s="280">
        <f>inputPrYr!D57</f>
        <v>0</v>
      </c>
      <c r="E31" s="479">
        <f>IF(E30&lt;0,"See Tab E","")</f>
      </c>
    </row>
    <row r="32" spans="2:5" ht="15.75">
      <c r="B32" s="288"/>
      <c r="C32" s="322">
        <f>IF(C29&gt;C31,"See Tab A","")</f>
      </c>
      <c r="D32" s="322">
        <f>IF(D29&gt;D31,"See Tab C","")</f>
      </c>
      <c r="E32" s="145"/>
    </row>
    <row r="33" spans="2:5" ht="15.75">
      <c r="B33" s="288"/>
      <c r="C33" s="322">
        <f>IF(C30&lt;0,"See Tab B","")</f>
      </c>
      <c r="D33" s="322">
        <f>IF(D30&lt;0,"See Tab D","")</f>
      </c>
      <c r="E33" s="145"/>
    </row>
    <row r="34" spans="2:5" ht="15.75">
      <c r="B34" s="85"/>
      <c r="C34" s="145"/>
      <c r="D34" s="145"/>
      <c r="E34" s="145"/>
    </row>
    <row r="35" spans="2:5" ht="15.75">
      <c r="B35" s="84" t="s">
        <v>160</v>
      </c>
      <c r="C35" s="328"/>
      <c r="D35" s="328"/>
      <c r="E35" s="328"/>
    </row>
    <row r="36" spans="2:5" ht="15.75">
      <c r="B36" s="85"/>
      <c r="C36" s="324" t="str">
        <f aca="true" t="shared" si="0" ref="C36:E37">C5</f>
        <v>Prior Year </v>
      </c>
      <c r="D36" s="215" t="str">
        <f t="shared" si="0"/>
        <v>Current Year </v>
      </c>
      <c r="E36" s="215" t="str">
        <f t="shared" si="0"/>
        <v>Proposed Budget </v>
      </c>
    </row>
    <row r="37" spans="2:5" ht="15.75">
      <c r="B37" s="483">
        <f>inputPrYr!B58</f>
        <v>0</v>
      </c>
      <c r="C37" s="316" t="str">
        <f t="shared" si="0"/>
        <v>Actual for 2011</v>
      </c>
      <c r="D37" s="316" t="str">
        <f t="shared" si="0"/>
        <v>Estimate for 2012</v>
      </c>
      <c r="E37" s="303" t="str">
        <f t="shared" si="0"/>
        <v>Year for 2013</v>
      </c>
    </row>
    <row r="38" spans="2:5" ht="15.75">
      <c r="B38" s="148" t="s">
        <v>284</v>
      </c>
      <c r="C38" s="112"/>
      <c r="D38" s="266">
        <f>C61</f>
        <v>0</v>
      </c>
      <c r="E38" s="266">
        <f>D61</f>
        <v>0</v>
      </c>
    </row>
    <row r="39" spans="2:5" ht="15.75">
      <c r="B39" s="148" t="s">
        <v>286</v>
      </c>
      <c r="C39" s="108"/>
      <c r="D39" s="108"/>
      <c r="E39" s="108"/>
    </row>
    <row r="40" spans="2:5" ht="15.75">
      <c r="B40" s="319"/>
      <c r="C40" s="112"/>
      <c r="D40" s="112"/>
      <c r="E40" s="112"/>
    </row>
    <row r="41" spans="2:5" ht="15.75">
      <c r="B41" s="319"/>
      <c r="C41" s="112"/>
      <c r="D41" s="112"/>
      <c r="E41" s="112"/>
    </row>
    <row r="42" spans="2:5" ht="15.75">
      <c r="B42" s="319"/>
      <c r="C42" s="112"/>
      <c r="D42" s="112"/>
      <c r="E42" s="112"/>
    </row>
    <row r="43" spans="2:5" ht="15.75">
      <c r="B43" s="309" t="s">
        <v>165</v>
      </c>
      <c r="C43" s="112"/>
      <c r="D43" s="112"/>
      <c r="E43" s="112"/>
    </row>
    <row r="44" spans="2:5" ht="15.75">
      <c r="B44" s="310" t="s">
        <v>75</v>
      </c>
      <c r="C44" s="112"/>
      <c r="D44" s="305"/>
      <c r="E44" s="305"/>
    </row>
    <row r="45" spans="2:5" ht="15.75">
      <c r="B45" s="310" t="s">
        <v>684</v>
      </c>
      <c r="C45" s="480">
        <f>IF(C46*0.1&lt;C44,"Exceed 10% Rule","")</f>
      </c>
      <c r="D45" s="311">
        <f>IF(D46*0.1&lt;D44,"Exceed 10% Rule","")</f>
      </c>
      <c r="E45" s="311">
        <f>IF(E46*0.1&lt;E44,"Exceed 10% Rule","")</f>
      </c>
    </row>
    <row r="46" spans="2:5" ht="15.75">
      <c r="B46" s="312" t="s">
        <v>166</v>
      </c>
      <c r="C46" s="353">
        <f>SUM(C40:C44)</f>
        <v>0</v>
      </c>
      <c r="D46" s="353">
        <f>SUM(D40:D44)</f>
        <v>0</v>
      </c>
      <c r="E46" s="353">
        <f>SUM(E40:E44)</f>
        <v>0</v>
      </c>
    </row>
    <row r="47" spans="2:5" ht="15.75">
      <c r="B47" s="312" t="s">
        <v>167</v>
      </c>
      <c r="C47" s="353">
        <f>C38+C46</f>
        <v>0</v>
      </c>
      <c r="D47" s="353">
        <f>D38+D46</f>
        <v>0</v>
      </c>
      <c r="E47" s="353">
        <f>E38+E46</f>
        <v>0</v>
      </c>
    </row>
    <row r="48" spans="2:5" ht="15.75">
      <c r="B48" s="148" t="s">
        <v>170</v>
      </c>
      <c r="C48" s="266"/>
      <c r="D48" s="266"/>
      <c r="E48" s="266"/>
    </row>
    <row r="49" spans="2:5" ht="15.75">
      <c r="B49" s="319"/>
      <c r="C49" s="112"/>
      <c r="D49" s="112"/>
      <c r="E49" s="112"/>
    </row>
    <row r="50" spans="2:5" ht="15.75">
      <c r="B50" s="319"/>
      <c r="C50" s="112"/>
      <c r="D50" s="112"/>
      <c r="E50" s="112"/>
    </row>
    <row r="51" spans="2:5" ht="15.75">
      <c r="B51" s="319"/>
      <c r="C51" s="112"/>
      <c r="D51" s="112"/>
      <c r="E51" s="112"/>
    </row>
    <row r="52" spans="2:5" ht="15.75">
      <c r="B52" s="319"/>
      <c r="C52" s="112"/>
      <c r="D52" s="112"/>
      <c r="E52" s="112"/>
    </row>
    <row r="53" spans="2:5" ht="15.75">
      <c r="B53" s="319"/>
      <c r="C53" s="112"/>
      <c r="D53" s="112"/>
      <c r="E53" s="112"/>
    </row>
    <row r="54" spans="2:5" ht="15.75">
      <c r="B54" s="319"/>
      <c r="C54" s="112"/>
      <c r="D54" s="112"/>
      <c r="E54" s="112"/>
    </row>
    <row r="55" spans="2:5" ht="15.75">
      <c r="B55" s="319"/>
      <c r="C55" s="112"/>
      <c r="D55" s="112"/>
      <c r="E55" s="112"/>
    </row>
    <row r="56" spans="2:5" ht="15.75">
      <c r="B56" s="319"/>
      <c r="C56" s="112"/>
      <c r="D56" s="112"/>
      <c r="E56" s="112"/>
    </row>
    <row r="57" spans="2:5" ht="15.75">
      <c r="B57" s="319"/>
      <c r="C57" s="112"/>
      <c r="D57" s="112"/>
      <c r="E57" s="112"/>
    </row>
    <row r="58" spans="2:5" ht="15.75">
      <c r="B58" s="310" t="s">
        <v>75</v>
      </c>
      <c r="C58" s="112"/>
      <c r="D58" s="305"/>
      <c r="E58" s="305"/>
    </row>
    <row r="59" spans="2:5" ht="15.75">
      <c r="B59" s="310" t="s">
        <v>683</v>
      </c>
      <c r="C59" s="480">
        <f>IF(C60*0.1&lt;C58,"Exceed 10% Rule","")</f>
      </c>
      <c r="D59" s="311">
        <f>IF(D60*0.1&lt;D58,"Exceed 10% Rule","")</f>
      </c>
      <c r="E59" s="311">
        <f>IF(E60*0.1&lt;E58,"Exceed 10% Rule","")</f>
      </c>
    </row>
    <row r="60" spans="2:5" ht="15.75">
      <c r="B60" s="312" t="s">
        <v>171</v>
      </c>
      <c r="C60" s="353">
        <f>SUM(C49:C58)</f>
        <v>0</v>
      </c>
      <c r="D60" s="353">
        <f>SUM(D49:D58)</f>
        <v>0</v>
      </c>
      <c r="E60" s="353">
        <f>SUM(E49:E58)</f>
        <v>0</v>
      </c>
    </row>
    <row r="61" spans="2:5" ht="15.75">
      <c r="B61" s="148" t="s">
        <v>285</v>
      </c>
      <c r="C61" s="120">
        <f>C47-C60</f>
        <v>0</v>
      </c>
      <c r="D61" s="120">
        <f>D47-D60</f>
        <v>0</v>
      </c>
      <c r="E61" s="120">
        <f>E47-E60</f>
        <v>0</v>
      </c>
    </row>
    <row r="62" spans="2:5" ht="15.75">
      <c r="B62" s="288" t="str">
        <f>CONCATENATE("",E$1-2,"/",E$1-1," Budget Authority Amount:")</f>
        <v>2011/2012 Budget Authority Amount:</v>
      </c>
      <c r="C62" s="280">
        <f>inputOth!B70</f>
        <v>0</v>
      </c>
      <c r="D62" s="280">
        <f>inputPrYr!D58</f>
        <v>0</v>
      </c>
      <c r="E62" s="478">
        <f>IF(E61&lt;0,"See Tab E","")</f>
      </c>
    </row>
    <row r="63" spans="2:5" ht="15.75">
      <c r="B63" s="288"/>
      <c r="C63" s="322">
        <f>IF(C60&gt;C62,"See Tab A","")</f>
      </c>
      <c r="D63" s="322">
        <f>IF(D60&gt;D62,"See Tab C","")</f>
      </c>
      <c r="E63" s="85"/>
    </row>
    <row r="64" spans="2:5" ht="15.75">
      <c r="B64" s="288"/>
      <c r="C64" s="322">
        <f>IF(C61&lt;0,"See Tab B","")</f>
      </c>
      <c r="D64" s="322">
        <f>IF(D61&lt;0,"See Tab D","")</f>
      </c>
      <c r="E64" s="85"/>
    </row>
    <row r="65" spans="2:5" ht="15.75">
      <c r="B65" s="85"/>
      <c r="C65" s="85"/>
      <c r="D65" s="85"/>
      <c r="E65" s="85"/>
    </row>
    <row r="66" spans="2:5" ht="15.75">
      <c r="B66" s="288" t="s">
        <v>194</v>
      </c>
      <c r="C66" s="350"/>
      <c r="D66" s="85"/>
      <c r="E66" s="85"/>
    </row>
  </sheetData>
  <sheetProtection sheet="1"/>
  <conditionalFormatting sqref="C27">
    <cfRule type="cellIs" priority="4" dxfId="408" operator="greaterThan" stopIfTrue="1">
      <formula>$C$29*0.1</formula>
    </cfRule>
  </conditionalFormatting>
  <conditionalFormatting sqref="D27">
    <cfRule type="cellIs" priority="5" dxfId="408" operator="greaterThan" stopIfTrue="1">
      <formula>$D$29*0.1</formula>
    </cfRule>
  </conditionalFormatting>
  <conditionalFormatting sqref="E27">
    <cfRule type="cellIs" priority="6" dxfId="408" operator="greaterThan" stopIfTrue="1">
      <formula>$E$29*0.1</formula>
    </cfRule>
  </conditionalFormatting>
  <conditionalFormatting sqref="C13">
    <cfRule type="cellIs" priority="7" dxfId="408" operator="greaterThan" stopIfTrue="1">
      <formula>$C$15*0.1</formula>
    </cfRule>
  </conditionalFormatting>
  <conditionalFormatting sqref="D13">
    <cfRule type="cellIs" priority="8" dxfId="408" operator="greaterThan" stopIfTrue="1">
      <formula>$D$15*0.1</formula>
    </cfRule>
  </conditionalFormatting>
  <conditionalFormatting sqref="E13">
    <cfRule type="cellIs" priority="9" dxfId="408" operator="greaterThan" stopIfTrue="1">
      <formula>$E$15*0.1</formula>
    </cfRule>
  </conditionalFormatting>
  <conditionalFormatting sqref="C44">
    <cfRule type="cellIs" priority="10" dxfId="408" operator="greaterThan" stopIfTrue="1">
      <formula>$C$46*0.1</formula>
    </cfRule>
  </conditionalFormatting>
  <conditionalFormatting sqref="D44">
    <cfRule type="cellIs" priority="11" dxfId="408" operator="greaterThan" stopIfTrue="1">
      <formula>$D$46*0.1</formula>
    </cfRule>
  </conditionalFormatting>
  <conditionalFormatting sqref="E44">
    <cfRule type="cellIs" priority="12" dxfId="408" operator="greaterThan" stopIfTrue="1">
      <formula>$E$46*0.1</formula>
    </cfRule>
  </conditionalFormatting>
  <conditionalFormatting sqref="C58">
    <cfRule type="cellIs" priority="13" dxfId="408" operator="greaterThan" stopIfTrue="1">
      <formula>$C$60*0.1</formula>
    </cfRule>
  </conditionalFormatting>
  <conditionalFormatting sqref="D58">
    <cfRule type="cellIs" priority="14" dxfId="408" operator="greaterThan" stopIfTrue="1">
      <formula>$D$60*0.1</formula>
    </cfRule>
  </conditionalFormatting>
  <conditionalFormatting sqref="E58">
    <cfRule type="cellIs" priority="15" dxfId="408" operator="greaterThan" stopIfTrue="1">
      <formula>$E$60*0.1</formula>
    </cfRule>
  </conditionalFormatting>
  <conditionalFormatting sqref="E30 E61 C61 C30">
    <cfRule type="cellIs" priority="16" dxfId="2" operator="lessThan" stopIfTrue="1">
      <formula>0</formula>
    </cfRule>
  </conditionalFormatting>
  <conditionalFormatting sqref="D60">
    <cfRule type="cellIs" priority="17" dxfId="2" operator="greaterThan" stopIfTrue="1">
      <formula>$D$62</formula>
    </cfRule>
  </conditionalFormatting>
  <conditionalFormatting sqref="C60">
    <cfRule type="cellIs" priority="18" dxfId="2" operator="greaterThan" stopIfTrue="1">
      <formula>$C$62</formula>
    </cfRule>
  </conditionalFormatting>
  <conditionalFormatting sqref="D29">
    <cfRule type="cellIs" priority="19" dxfId="2" operator="greaterThan" stopIfTrue="1">
      <formula>$D$31</formula>
    </cfRule>
  </conditionalFormatting>
  <conditionalFormatting sqref="C29">
    <cfRule type="cellIs" priority="20" dxfId="2" operator="greaterThan" stopIfTrue="1">
      <formula>$C$31</formula>
    </cfRule>
  </conditionalFormatting>
  <conditionalFormatting sqref="D30">
    <cfRule type="cellIs" priority="3" dxfId="0" operator="lessThan" stopIfTrue="1">
      <formula>0</formula>
    </cfRule>
  </conditionalFormatting>
  <conditionalFormatting sqref="D6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County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796875" defaultRowHeight="15"/>
  <cols>
    <col min="1" max="1" width="11.59765625" style="72" customWidth="1"/>
    <col min="2" max="2" width="7.3984375" style="72" customWidth="1"/>
    <col min="3" max="3" width="11.59765625" style="72" customWidth="1"/>
    <col min="4" max="4" width="7.3984375" style="72" customWidth="1"/>
    <col min="5" max="5" width="11.59765625" style="72" customWidth="1"/>
    <col min="6" max="6" width="7.3984375" style="72" customWidth="1"/>
    <col min="7" max="7" width="11.59765625" style="72" customWidth="1"/>
    <col min="8" max="8" width="7.3984375" style="72" customWidth="1"/>
    <col min="9" max="9" width="11.59765625" style="72" customWidth="1"/>
    <col min="10" max="16384" width="8.8984375" style="72" customWidth="1"/>
  </cols>
  <sheetData>
    <row r="1" spans="1:11" ht="15.75">
      <c r="A1" s="144" t="str">
        <f>inputPrYr!$C$2</f>
        <v>Rice County</v>
      </c>
      <c r="B1" s="358"/>
      <c r="C1" s="125"/>
      <c r="D1" s="125"/>
      <c r="E1" s="125"/>
      <c r="F1" s="359" t="s">
        <v>14</v>
      </c>
      <c r="G1" s="125"/>
      <c r="H1" s="125"/>
      <c r="I1" s="125"/>
      <c r="J1" s="125"/>
      <c r="K1" s="125">
        <f>inputPrYr!$C$4</f>
        <v>2013</v>
      </c>
    </row>
    <row r="2" spans="1:11" ht="15.75">
      <c r="A2" s="125"/>
      <c r="B2" s="125"/>
      <c r="C2" s="125"/>
      <c r="D2" s="125"/>
      <c r="E2" s="125"/>
      <c r="F2" s="360" t="str">
        <f>CONCATENATE("(Only the actual budget year for ",K1-2," is to be shown)")</f>
        <v>(Only the actual budget year for 2011 is to be shown)</v>
      </c>
      <c r="G2" s="125"/>
      <c r="H2" s="125"/>
      <c r="I2" s="125"/>
      <c r="J2" s="125"/>
      <c r="K2" s="125"/>
    </row>
    <row r="3" spans="1:11" ht="15.75">
      <c r="A3" s="125" t="s">
        <v>15</v>
      </c>
      <c r="B3" s="125"/>
      <c r="C3" s="125"/>
      <c r="D3" s="125"/>
      <c r="E3" s="125"/>
      <c r="F3" s="358"/>
      <c r="G3" s="125"/>
      <c r="H3" s="125"/>
      <c r="I3" s="125"/>
      <c r="J3" s="125"/>
      <c r="K3" s="125"/>
    </row>
    <row r="4" spans="1:11" ht="15.75">
      <c r="A4" s="125" t="s">
        <v>16</v>
      </c>
      <c r="B4" s="125"/>
      <c r="C4" s="125" t="s">
        <v>17</v>
      </c>
      <c r="D4" s="125"/>
      <c r="E4" s="125" t="s">
        <v>18</v>
      </c>
      <c r="F4" s="358"/>
      <c r="G4" s="125" t="s">
        <v>19</v>
      </c>
      <c r="H4" s="125"/>
      <c r="I4" s="125" t="s">
        <v>20</v>
      </c>
      <c r="J4" s="125"/>
      <c r="K4" s="125"/>
    </row>
    <row r="5" spans="1:11" ht="15.75">
      <c r="A5" s="792" t="str">
        <f>IF(inputPrYr!B62&gt;" ",(inputPrYr!B62)," ")</f>
        <v>Road &amp; Bridge Sp Machinery</v>
      </c>
      <c r="B5" s="793"/>
      <c r="C5" s="792" t="str">
        <f>IF(inputPrYr!B63&gt;" ",(inputPrYr!B63)," ")</f>
        <v>Treasurer Motor Vehicle</v>
      </c>
      <c r="D5" s="793"/>
      <c r="E5" s="792" t="str">
        <f>IF(inputPrYr!B64&gt;" ",(inputPrYr!B64)," ")</f>
        <v>Sp Prosecutors Trust</v>
      </c>
      <c r="F5" s="793"/>
      <c r="G5" s="792" t="str">
        <f>IF(inputPrYr!B65&gt;" ",(inputPrYr!B65)," ")</f>
        <v>Prosecutor Training Assistance</v>
      </c>
      <c r="H5" s="793"/>
      <c r="I5" s="792" t="str">
        <f>IF(inputPrYr!B66&gt;" ",(inputPrYr!B66)," ")</f>
        <v>Asset Forfeiture</v>
      </c>
      <c r="J5" s="793"/>
      <c r="K5" s="362"/>
    </row>
    <row r="6" spans="1:11" ht="15.75">
      <c r="A6" s="363" t="s">
        <v>21</v>
      </c>
      <c r="B6" s="364"/>
      <c r="C6" s="365" t="s">
        <v>21</v>
      </c>
      <c r="D6" s="366"/>
      <c r="E6" s="365" t="s">
        <v>21</v>
      </c>
      <c r="F6" s="361"/>
      <c r="G6" s="365" t="s">
        <v>21</v>
      </c>
      <c r="H6" s="367"/>
      <c r="I6" s="365" t="s">
        <v>21</v>
      </c>
      <c r="J6" s="125"/>
      <c r="K6" s="368" t="s">
        <v>132</v>
      </c>
    </row>
    <row r="7" spans="1:11" ht="15.75">
      <c r="A7" s="369" t="s">
        <v>86</v>
      </c>
      <c r="B7" s="370">
        <v>602602</v>
      </c>
      <c r="C7" s="371" t="s">
        <v>86</v>
      </c>
      <c r="D7" s="370">
        <v>37731</v>
      </c>
      <c r="E7" s="371" t="s">
        <v>86</v>
      </c>
      <c r="F7" s="370">
        <v>2390</v>
      </c>
      <c r="G7" s="371" t="s">
        <v>86</v>
      </c>
      <c r="H7" s="370">
        <v>8080</v>
      </c>
      <c r="I7" s="371" t="s">
        <v>86</v>
      </c>
      <c r="J7" s="370">
        <v>6843</v>
      </c>
      <c r="K7" s="372">
        <f>SUM(B7+D7+F7+H7+J7)</f>
        <v>657646</v>
      </c>
    </row>
    <row r="8" spans="1:11" ht="15.75">
      <c r="A8" s="373" t="s">
        <v>286</v>
      </c>
      <c r="B8" s="374"/>
      <c r="C8" s="373" t="s">
        <v>286</v>
      </c>
      <c r="D8" s="375"/>
      <c r="E8" s="373" t="s">
        <v>286</v>
      </c>
      <c r="F8" s="358"/>
      <c r="G8" s="373" t="s">
        <v>286</v>
      </c>
      <c r="H8" s="125"/>
      <c r="I8" s="373" t="s">
        <v>286</v>
      </c>
      <c r="J8" s="125"/>
      <c r="K8" s="358"/>
    </row>
    <row r="9" spans="1:11" ht="15.75">
      <c r="A9" s="376" t="s">
        <v>1052</v>
      </c>
      <c r="B9" s="370">
        <v>250000</v>
      </c>
      <c r="C9" s="376" t="s">
        <v>1055</v>
      </c>
      <c r="D9" s="370">
        <v>83376</v>
      </c>
      <c r="E9" s="376"/>
      <c r="F9" s="370">
        <v>0</v>
      </c>
      <c r="G9" s="376" t="s">
        <v>1053</v>
      </c>
      <c r="H9" s="370">
        <v>1584</v>
      </c>
      <c r="I9" s="376"/>
      <c r="J9" s="370">
        <v>0</v>
      </c>
      <c r="K9" s="358"/>
    </row>
    <row r="10" spans="1:11" ht="15.75">
      <c r="A10" s="376" t="s">
        <v>1053</v>
      </c>
      <c r="B10" s="370">
        <v>38070</v>
      </c>
      <c r="C10" s="376" t="s">
        <v>1056</v>
      </c>
      <c r="D10" s="370">
        <v>711</v>
      </c>
      <c r="E10" s="376"/>
      <c r="F10" s="370"/>
      <c r="G10" s="376"/>
      <c r="H10" s="370"/>
      <c r="I10" s="376"/>
      <c r="J10" s="370"/>
      <c r="K10" s="358"/>
    </row>
    <row r="11" spans="1:11" ht="15.75">
      <c r="A11" s="376"/>
      <c r="B11" s="370"/>
      <c r="C11" s="377" t="s">
        <v>1057</v>
      </c>
      <c r="D11" s="370">
        <v>30603</v>
      </c>
      <c r="E11" s="377"/>
      <c r="F11" s="370"/>
      <c r="G11" s="377"/>
      <c r="H11" s="370"/>
      <c r="I11" s="378"/>
      <c r="J11" s="370"/>
      <c r="K11" s="358"/>
    </row>
    <row r="12" spans="1:11" ht="15.75">
      <c r="A12" s="376"/>
      <c r="B12" s="370"/>
      <c r="C12" s="376" t="s">
        <v>1053</v>
      </c>
      <c r="D12" s="370">
        <v>7107</v>
      </c>
      <c r="E12" s="379"/>
      <c r="F12" s="370"/>
      <c r="G12" s="379"/>
      <c r="H12" s="370"/>
      <c r="I12" s="379"/>
      <c r="J12" s="370"/>
      <c r="K12" s="358"/>
    </row>
    <row r="13" spans="1:11" ht="15.75">
      <c r="A13" s="380"/>
      <c r="B13" s="370"/>
      <c r="C13" s="381"/>
      <c r="D13" s="370"/>
      <c r="E13" s="381"/>
      <c r="F13" s="370"/>
      <c r="G13" s="381"/>
      <c r="H13" s="370"/>
      <c r="I13" s="378"/>
      <c r="J13" s="370"/>
      <c r="K13" s="358"/>
    </row>
    <row r="14" spans="1:11" ht="15.75">
      <c r="A14" s="376"/>
      <c r="B14" s="370"/>
      <c r="C14" s="379"/>
      <c r="D14" s="370"/>
      <c r="E14" s="379"/>
      <c r="F14" s="370"/>
      <c r="G14" s="379"/>
      <c r="H14" s="370"/>
      <c r="I14" s="379"/>
      <c r="J14" s="370"/>
      <c r="K14" s="358"/>
    </row>
    <row r="15" spans="1:11" ht="15.75">
      <c r="A15" s="376"/>
      <c r="B15" s="370"/>
      <c r="C15" s="379"/>
      <c r="D15" s="370"/>
      <c r="E15" s="379"/>
      <c r="F15" s="370"/>
      <c r="G15" s="379"/>
      <c r="H15" s="370"/>
      <c r="I15" s="379"/>
      <c r="J15" s="370"/>
      <c r="K15" s="358"/>
    </row>
    <row r="16" spans="1:11" ht="15.75">
      <c r="A16" s="376"/>
      <c r="B16" s="370"/>
      <c r="C16" s="376"/>
      <c r="D16" s="370"/>
      <c r="E16" s="376"/>
      <c r="F16" s="370"/>
      <c r="G16" s="379"/>
      <c r="H16" s="370"/>
      <c r="I16" s="376"/>
      <c r="J16" s="370"/>
      <c r="K16" s="358"/>
    </row>
    <row r="17" spans="1:11" ht="15.75">
      <c r="A17" s="373" t="s">
        <v>166</v>
      </c>
      <c r="B17" s="382">
        <f>SUM(B9:B16)</f>
        <v>288070</v>
      </c>
      <c r="C17" s="373" t="s">
        <v>166</v>
      </c>
      <c r="D17" s="372">
        <f>SUM(D9:D16)</f>
        <v>121797</v>
      </c>
      <c r="E17" s="373" t="s">
        <v>166</v>
      </c>
      <c r="F17" s="447">
        <f>SUM(F9:F16)</f>
        <v>0</v>
      </c>
      <c r="G17" s="373" t="s">
        <v>166</v>
      </c>
      <c r="H17" s="372">
        <f>SUM(H9:H16)</f>
        <v>1584</v>
      </c>
      <c r="I17" s="373" t="s">
        <v>166</v>
      </c>
      <c r="J17" s="372">
        <f>SUM(J9:J16)</f>
        <v>0</v>
      </c>
      <c r="K17" s="372">
        <f>SUM(B17+D17+F17+H17+J17)</f>
        <v>411451</v>
      </c>
    </row>
    <row r="18" spans="1:11" ht="15.75">
      <c r="A18" s="373" t="s">
        <v>167</v>
      </c>
      <c r="B18" s="382">
        <f>SUM(B7+B17)</f>
        <v>890672</v>
      </c>
      <c r="C18" s="373" t="s">
        <v>167</v>
      </c>
      <c r="D18" s="372">
        <f>SUM(D7+D17)</f>
        <v>159528</v>
      </c>
      <c r="E18" s="373" t="s">
        <v>167</v>
      </c>
      <c r="F18" s="372">
        <f>SUM(F7+F17)</f>
        <v>2390</v>
      </c>
      <c r="G18" s="373" t="s">
        <v>167</v>
      </c>
      <c r="H18" s="372">
        <f>SUM(H7+H17)</f>
        <v>9664</v>
      </c>
      <c r="I18" s="373" t="s">
        <v>167</v>
      </c>
      <c r="J18" s="372">
        <f>SUM(J7+J17)</f>
        <v>6843</v>
      </c>
      <c r="K18" s="372">
        <f>SUM(B18+D18+F18+H18+J18)</f>
        <v>1069097</v>
      </c>
    </row>
    <row r="19" spans="1:11" ht="15.75">
      <c r="A19" s="373" t="s">
        <v>170</v>
      </c>
      <c r="B19" s="374"/>
      <c r="C19" s="373" t="s">
        <v>170</v>
      </c>
      <c r="D19" s="375"/>
      <c r="E19" s="373" t="s">
        <v>170</v>
      </c>
      <c r="F19" s="358"/>
      <c r="G19" s="373" t="s">
        <v>170</v>
      </c>
      <c r="H19" s="125"/>
      <c r="I19" s="373" t="s">
        <v>170</v>
      </c>
      <c r="J19" s="125"/>
      <c r="K19" s="358"/>
    </row>
    <row r="20" spans="1:11" ht="15.75">
      <c r="A20" s="376" t="s">
        <v>1042</v>
      </c>
      <c r="B20" s="370">
        <v>224823</v>
      </c>
      <c r="C20" s="379" t="s">
        <v>1058</v>
      </c>
      <c r="D20" s="370">
        <v>37730</v>
      </c>
      <c r="E20" s="379"/>
      <c r="F20" s="370">
        <v>0</v>
      </c>
      <c r="G20" s="379" t="s">
        <v>1067</v>
      </c>
      <c r="H20" s="370">
        <v>618</v>
      </c>
      <c r="I20" s="379"/>
      <c r="J20" s="370">
        <v>0</v>
      </c>
      <c r="K20" s="358"/>
    </row>
    <row r="21" spans="1:11" ht="15.75">
      <c r="A21" s="376"/>
      <c r="B21" s="370"/>
      <c r="C21" s="379" t="s">
        <v>1059</v>
      </c>
      <c r="D21" s="370">
        <v>3000</v>
      </c>
      <c r="E21" s="379"/>
      <c r="F21" s="370"/>
      <c r="G21" s="379"/>
      <c r="H21" s="370"/>
      <c r="I21" s="379"/>
      <c r="J21" s="370"/>
      <c r="K21" s="358"/>
    </row>
    <row r="22" spans="1:11" ht="15.75">
      <c r="A22" s="376"/>
      <c r="B22" s="370"/>
      <c r="C22" s="381" t="s">
        <v>1061</v>
      </c>
      <c r="D22" s="370">
        <v>1008</v>
      </c>
      <c r="E22" s="381"/>
      <c r="F22" s="370"/>
      <c r="G22" s="381"/>
      <c r="H22" s="370"/>
      <c r="I22" s="378"/>
      <c r="J22" s="370"/>
      <c r="K22" s="358"/>
    </row>
    <row r="23" spans="1:11" ht="15.75">
      <c r="A23" s="376"/>
      <c r="B23" s="370"/>
      <c r="C23" s="379" t="s">
        <v>1060</v>
      </c>
      <c r="D23" s="370">
        <v>29887</v>
      </c>
      <c r="E23" s="379"/>
      <c r="F23" s="370"/>
      <c r="G23" s="379"/>
      <c r="H23" s="370"/>
      <c r="I23" s="379"/>
      <c r="J23" s="370"/>
      <c r="K23" s="358"/>
    </row>
    <row r="24" spans="1:11" ht="15.75">
      <c r="A24" s="376"/>
      <c r="B24" s="370"/>
      <c r="C24" s="381" t="s">
        <v>980</v>
      </c>
      <c r="D24" s="370">
        <v>45979</v>
      </c>
      <c r="E24" s="381"/>
      <c r="F24" s="370"/>
      <c r="G24" s="381"/>
      <c r="H24" s="370"/>
      <c r="I24" s="378"/>
      <c r="J24" s="370"/>
      <c r="K24" s="358"/>
    </row>
    <row r="25" spans="1:11" ht="15.75">
      <c r="A25" s="376"/>
      <c r="B25" s="370"/>
      <c r="C25" s="379" t="s">
        <v>1007</v>
      </c>
      <c r="D25" s="370">
        <v>9196</v>
      </c>
      <c r="E25" s="379"/>
      <c r="F25" s="370"/>
      <c r="G25" s="379"/>
      <c r="H25" s="370"/>
      <c r="I25" s="379"/>
      <c r="J25" s="370"/>
      <c r="K25" s="358"/>
    </row>
    <row r="26" spans="1:11" ht="15.75">
      <c r="A26" s="376"/>
      <c r="B26" s="370"/>
      <c r="C26" s="379" t="s">
        <v>995</v>
      </c>
      <c r="D26" s="370">
        <v>3918</v>
      </c>
      <c r="E26" s="379"/>
      <c r="F26" s="370"/>
      <c r="G26" s="379"/>
      <c r="H26" s="370"/>
      <c r="I26" s="379"/>
      <c r="J26" s="370"/>
      <c r="K26" s="358"/>
    </row>
    <row r="27" spans="1:11" ht="15.75">
      <c r="A27" s="376"/>
      <c r="B27" s="370"/>
      <c r="C27" s="376"/>
      <c r="D27" s="370"/>
      <c r="E27" s="376"/>
      <c r="F27" s="370"/>
      <c r="G27" s="379"/>
      <c r="H27" s="370"/>
      <c r="I27" s="379"/>
      <c r="J27" s="370"/>
      <c r="K27" s="358"/>
    </row>
    <row r="28" spans="1:11" ht="15.75">
      <c r="A28" s="373" t="s">
        <v>171</v>
      </c>
      <c r="B28" s="372">
        <f>SUM(B20:B27)</f>
        <v>224823</v>
      </c>
      <c r="C28" s="373" t="s">
        <v>171</v>
      </c>
      <c r="D28" s="372">
        <f>SUM(D20:D27)</f>
        <v>130718</v>
      </c>
      <c r="E28" s="373" t="s">
        <v>171</v>
      </c>
      <c r="F28" s="447">
        <f>SUM(F20:F27)</f>
        <v>0</v>
      </c>
      <c r="G28" s="373" t="s">
        <v>171</v>
      </c>
      <c r="H28" s="447">
        <f>SUM(H20:H27)</f>
        <v>618</v>
      </c>
      <c r="I28" s="373" t="s">
        <v>171</v>
      </c>
      <c r="J28" s="372">
        <f>SUM(J20:J27)</f>
        <v>0</v>
      </c>
      <c r="K28" s="372">
        <f>SUM(B28+D28+F28+H28+J28)</f>
        <v>356159</v>
      </c>
    </row>
    <row r="29" spans="1:12" ht="15.75">
      <c r="A29" s="373" t="s">
        <v>22</v>
      </c>
      <c r="B29" s="372">
        <f>B18-B28</f>
        <v>665849</v>
      </c>
      <c r="C29" s="373" t="s">
        <v>22</v>
      </c>
      <c r="D29" s="372">
        <f>D18-D28</f>
        <v>28810</v>
      </c>
      <c r="E29" s="373" t="s">
        <v>22</v>
      </c>
      <c r="F29" s="372">
        <f>F18-F28</f>
        <v>2390</v>
      </c>
      <c r="G29" s="373" t="s">
        <v>22</v>
      </c>
      <c r="H29" s="372">
        <f>H18-H28</f>
        <v>9046</v>
      </c>
      <c r="I29" s="373" t="s">
        <v>22</v>
      </c>
      <c r="J29" s="372">
        <f>J18-J28</f>
        <v>6843</v>
      </c>
      <c r="K29" s="383">
        <f>SUM(B29+D29+F29+H29+J29)</f>
        <v>712938</v>
      </c>
      <c r="L29" s="72" t="s">
        <v>63</v>
      </c>
    </row>
    <row r="30" spans="1:12" ht="15.75">
      <c r="A30" s="373"/>
      <c r="B30" s="413">
        <f>IF(B29&lt;0,"See Tab B","")</f>
      </c>
      <c r="C30" s="373"/>
      <c r="D30" s="413">
        <f>IF(D29&lt;0,"See Tab B","")</f>
      </c>
      <c r="E30" s="373"/>
      <c r="F30" s="413">
        <f>IF(F29&lt;0,"See Tab B","")</f>
      </c>
      <c r="G30" s="125"/>
      <c r="H30" s="413">
        <f>IF(H29&lt;0,"See Tab B","")</f>
      </c>
      <c r="I30" s="125"/>
      <c r="J30" s="413">
        <f>IF(J29&lt;0,"See Tab B","")</f>
      </c>
      <c r="K30" s="383">
        <f>SUM(K7+K17-K28)</f>
        <v>712938</v>
      </c>
      <c r="L30" s="72" t="s">
        <v>63</v>
      </c>
    </row>
    <row r="31" spans="1:11" ht="15.75">
      <c r="A31" s="125"/>
      <c r="B31" s="384"/>
      <c r="C31" s="125"/>
      <c r="D31" s="358"/>
      <c r="E31" s="125"/>
      <c r="F31" s="125"/>
      <c r="G31" s="82" t="s">
        <v>64</v>
      </c>
      <c r="H31" s="82"/>
      <c r="I31" s="82"/>
      <c r="J31" s="82"/>
      <c r="K31" s="125"/>
    </row>
    <row r="32" spans="1:11" ht="15.75">
      <c r="A32" s="125"/>
      <c r="B32" s="384"/>
      <c r="C32" s="125"/>
      <c r="D32" s="125"/>
      <c r="E32" s="125"/>
      <c r="F32" s="125"/>
      <c r="G32" s="125"/>
      <c r="H32" s="125"/>
      <c r="I32" s="125"/>
      <c r="J32" s="125"/>
      <c r="K32" s="125"/>
    </row>
    <row r="33" spans="1:11" ht="15.75">
      <c r="A33" s="125"/>
      <c r="B33" s="384"/>
      <c r="C33" s="125"/>
      <c r="D33" s="125"/>
      <c r="E33" s="323" t="s">
        <v>194</v>
      </c>
      <c r="F33" s="350">
        <v>19</v>
      </c>
      <c r="G33" s="125"/>
      <c r="H33" s="125"/>
      <c r="I33" s="125"/>
      <c r="J33" s="125"/>
      <c r="K33" s="125"/>
    </row>
    <row r="34" ht="15.75">
      <c r="B34" s="385"/>
    </row>
    <row r="35" ht="15.75">
      <c r="B35" s="385"/>
    </row>
    <row r="36" ht="15.75">
      <c r="B36" s="385"/>
    </row>
    <row r="37" ht="15.75">
      <c r="B37" s="385"/>
    </row>
    <row r="38" ht="15.75">
      <c r="B38" s="385"/>
    </row>
    <row r="39" ht="15.75">
      <c r="B39" s="385"/>
    </row>
    <row r="40" ht="15.75">
      <c r="B40" s="385"/>
    </row>
    <row r="41" ht="15.75">
      <c r="B41" s="38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County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796875" defaultRowHeight="15"/>
  <cols>
    <col min="1" max="1" width="11.59765625" style="72" customWidth="1"/>
    <col min="2" max="2" width="7.3984375" style="72" customWidth="1"/>
    <col min="3" max="3" width="11.59765625" style="72" customWidth="1"/>
    <col min="4" max="4" width="7.3984375" style="72" customWidth="1"/>
    <col min="5" max="5" width="11.59765625" style="72" customWidth="1"/>
    <col min="6" max="6" width="7.3984375" style="72" customWidth="1"/>
    <col min="7" max="7" width="11.59765625" style="72" customWidth="1"/>
    <col min="8" max="8" width="7.3984375" style="72" customWidth="1"/>
    <col min="9" max="9" width="11.59765625" style="72" customWidth="1"/>
    <col min="10" max="16384" width="8.8984375" style="72" customWidth="1"/>
  </cols>
  <sheetData>
    <row r="1" spans="1:11" ht="15.75">
      <c r="A1" s="144" t="str">
        <f>inputPrYr!$C$2</f>
        <v>Rice County</v>
      </c>
      <c r="B1" s="358"/>
      <c r="C1" s="125"/>
      <c r="D1" s="125"/>
      <c r="E1" s="125"/>
      <c r="F1" s="359" t="s">
        <v>23</v>
      </c>
      <c r="G1" s="125"/>
      <c r="H1" s="125"/>
      <c r="I1" s="125"/>
      <c r="J1" s="125"/>
      <c r="K1" s="125">
        <f>inputPrYr!$C$4</f>
        <v>2013</v>
      </c>
    </row>
    <row r="2" spans="1:11" ht="15.75">
      <c r="A2" s="125"/>
      <c r="B2" s="125"/>
      <c r="C2" s="125"/>
      <c r="D2" s="125"/>
      <c r="E2" s="125"/>
      <c r="F2" s="360" t="str">
        <f>CONCATENATE("(Only the actual budget year for ",K1-2," is to be shown)")</f>
        <v>(Only the actual budget year for 2011 is to be shown)</v>
      </c>
      <c r="G2" s="125"/>
      <c r="H2" s="125"/>
      <c r="I2" s="125"/>
      <c r="J2" s="125"/>
      <c r="K2" s="125"/>
    </row>
    <row r="3" spans="1:11" ht="15.75">
      <c r="A3" s="125" t="s">
        <v>24</v>
      </c>
      <c r="B3" s="125"/>
      <c r="C3" s="125"/>
      <c r="D3" s="125"/>
      <c r="E3" s="125"/>
      <c r="F3" s="358"/>
      <c r="G3" s="125"/>
      <c r="H3" s="125"/>
      <c r="I3" s="125"/>
      <c r="J3" s="125"/>
      <c r="K3" s="125"/>
    </row>
    <row r="4" spans="1:11" ht="15.75">
      <c r="A4" s="125" t="s">
        <v>16</v>
      </c>
      <c r="B4" s="125"/>
      <c r="C4" s="125" t="s">
        <v>17</v>
      </c>
      <c r="D4" s="125"/>
      <c r="E4" s="125" t="s">
        <v>18</v>
      </c>
      <c r="F4" s="358"/>
      <c r="G4" s="125" t="s">
        <v>19</v>
      </c>
      <c r="H4" s="125"/>
      <c r="I4" s="125" t="s">
        <v>20</v>
      </c>
      <c r="J4" s="125"/>
      <c r="K4" s="125"/>
    </row>
    <row r="5" spans="1:11" ht="15.75">
      <c r="A5" s="792" t="str">
        <f>IF(inputPrYr!B68&gt;" ",(inputPrYr!B68)," ")</f>
        <v>EMS Reserve</v>
      </c>
      <c r="B5" s="793"/>
      <c r="C5" s="792" t="str">
        <f>IF(inputPrYr!B69&gt;" ",(inputPrYr!B69)," ")</f>
        <v>Deeds Technology</v>
      </c>
      <c r="D5" s="793"/>
      <c r="E5" s="792" t="str">
        <f>IF(inputPrYr!B70&gt;" ",(inputPrYr!B70)," ")</f>
        <v>Parks &amp; Recreation</v>
      </c>
      <c r="F5" s="793"/>
      <c r="G5" s="792" t="str">
        <f>IF(inputPrYr!B71&gt;" ",(inputPrYr!B71)," ")</f>
        <v>Energy Manager Grant</v>
      </c>
      <c r="H5" s="793"/>
      <c r="I5" s="792" t="str">
        <f>IF(inputPrYr!B72&gt;" ",(inputPrYr!B72)," ")</f>
        <v> </v>
      </c>
      <c r="J5" s="793"/>
      <c r="K5" s="362"/>
    </row>
    <row r="6" spans="1:11" ht="15.75">
      <c r="A6" s="363" t="s">
        <v>21</v>
      </c>
      <c r="B6" s="364"/>
      <c r="C6" s="365" t="s">
        <v>21</v>
      </c>
      <c r="D6" s="366"/>
      <c r="E6" s="365" t="s">
        <v>21</v>
      </c>
      <c r="F6" s="361"/>
      <c r="G6" s="365" t="s">
        <v>21</v>
      </c>
      <c r="H6" s="367"/>
      <c r="I6" s="365" t="s">
        <v>21</v>
      </c>
      <c r="J6" s="125"/>
      <c r="K6" s="368" t="s">
        <v>132</v>
      </c>
    </row>
    <row r="7" spans="1:11" ht="15.75">
      <c r="A7" s="369" t="s">
        <v>86</v>
      </c>
      <c r="B7" s="370">
        <v>11623</v>
      </c>
      <c r="C7" s="371" t="s">
        <v>86</v>
      </c>
      <c r="D7" s="370">
        <v>37733</v>
      </c>
      <c r="E7" s="371" t="s">
        <v>86</v>
      </c>
      <c r="F7" s="370">
        <v>2796</v>
      </c>
      <c r="G7" s="371" t="s">
        <v>86</v>
      </c>
      <c r="H7" s="370">
        <v>53170</v>
      </c>
      <c r="I7" s="371" t="s">
        <v>86</v>
      </c>
      <c r="J7" s="370"/>
      <c r="K7" s="372">
        <f>SUM(B7+D7+F7+H7+J7)</f>
        <v>105322</v>
      </c>
    </row>
    <row r="8" spans="1:11" ht="15.75">
      <c r="A8" s="373" t="s">
        <v>286</v>
      </c>
      <c r="B8" s="374"/>
      <c r="C8" s="373" t="s">
        <v>286</v>
      </c>
      <c r="D8" s="375"/>
      <c r="E8" s="373" t="s">
        <v>286</v>
      </c>
      <c r="F8" s="358"/>
      <c r="G8" s="373" t="s">
        <v>286</v>
      </c>
      <c r="H8" s="125"/>
      <c r="I8" s="373" t="s">
        <v>286</v>
      </c>
      <c r="J8" s="125"/>
      <c r="K8" s="358"/>
    </row>
    <row r="9" spans="1:11" ht="15.75">
      <c r="A9" s="376" t="s">
        <v>1053</v>
      </c>
      <c r="B9" s="370">
        <v>20682</v>
      </c>
      <c r="C9" s="376" t="s">
        <v>978</v>
      </c>
      <c r="D9" s="370">
        <v>20612</v>
      </c>
      <c r="E9" s="376" t="s">
        <v>1066</v>
      </c>
      <c r="F9" s="370">
        <v>1015</v>
      </c>
      <c r="G9" s="376" t="s">
        <v>929</v>
      </c>
      <c r="H9" s="370">
        <v>17767</v>
      </c>
      <c r="I9" s="376"/>
      <c r="J9" s="370"/>
      <c r="K9" s="358"/>
    </row>
    <row r="10" spans="1:11" ht="15.75">
      <c r="A10" s="376"/>
      <c r="B10" s="370"/>
      <c r="C10" s="376" t="s">
        <v>225</v>
      </c>
      <c r="D10" s="370">
        <v>110</v>
      </c>
      <c r="E10" s="376"/>
      <c r="F10" s="370"/>
      <c r="G10" s="376" t="s">
        <v>225</v>
      </c>
      <c r="H10" s="370">
        <v>37</v>
      </c>
      <c r="I10" s="376" t="s">
        <v>1065</v>
      </c>
      <c r="J10" s="370"/>
      <c r="K10" s="358"/>
    </row>
    <row r="11" spans="1:11" ht="15.75">
      <c r="A11" s="376"/>
      <c r="B11" s="370"/>
      <c r="C11" s="377"/>
      <c r="D11" s="370"/>
      <c r="E11" s="377"/>
      <c r="F11" s="370"/>
      <c r="G11" s="377"/>
      <c r="H11" s="370"/>
      <c r="I11" s="378"/>
      <c r="J11" s="370"/>
      <c r="K11" s="358"/>
    </row>
    <row r="12" spans="1:11" ht="15.75">
      <c r="A12" s="376"/>
      <c r="B12" s="370"/>
      <c r="C12" s="376"/>
      <c r="D12" s="370"/>
      <c r="E12" s="379"/>
      <c r="F12" s="370"/>
      <c r="G12" s="379"/>
      <c r="H12" s="370"/>
      <c r="I12" s="379"/>
      <c r="J12" s="370"/>
      <c r="K12" s="358"/>
    </row>
    <row r="13" spans="1:11" ht="15.75">
      <c r="A13" s="380"/>
      <c r="B13" s="370"/>
      <c r="C13" s="381"/>
      <c r="D13" s="370"/>
      <c r="E13" s="381"/>
      <c r="F13" s="370"/>
      <c r="G13" s="381"/>
      <c r="H13" s="370"/>
      <c r="I13" s="378"/>
      <c r="J13" s="370"/>
      <c r="K13" s="358"/>
    </row>
    <row r="14" spans="1:11" ht="15.75">
      <c r="A14" s="376"/>
      <c r="B14" s="370"/>
      <c r="C14" s="379"/>
      <c r="D14" s="370"/>
      <c r="E14" s="379"/>
      <c r="F14" s="370"/>
      <c r="G14" s="379"/>
      <c r="H14" s="370"/>
      <c r="I14" s="379"/>
      <c r="J14" s="370"/>
      <c r="K14" s="358"/>
    </row>
    <row r="15" spans="1:11" ht="15.75">
      <c r="A15" s="376"/>
      <c r="B15" s="370"/>
      <c r="C15" s="379"/>
      <c r="D15" s="370"/>
      <c r="E15" s="379"/>
      <c r="F15" s="370"/>
      <c r="G15" s="379"/>
      <c r="H15" s="370"/>
      <c r="I15" s="379"/>
      <c r="J15" s="370"/>
      <c r="K15" s="358"/>
    </row>
    <row r="16" spans="1:11" ht="15.75">
      <c r="A16" s="376"/>
      <c r="B16" s="370"/>
      <c r="C16" s="376"/>
      <c r="D16" s="370"/>
      <c r="E16" s="376"/>
      <c r="F16" s="370"/>
      <c r="G16" s="379"/>
      <c r="H16" s="370"/>
      <c r="I16" s="376"/>
      <c r="J16" s="370"/>
      <c r="K16" s="358"/>
    </row>
    <row r="17" spans="1:11" ht="15.75">
      <c r="A17" s="373" t="s">
        <v>166</v>
      </c>
      <c r="B17" s="372">
        <f>SUM(B9:B16)</f>
        <v>20682</v>
      </c>
      <c r="C17" s="373" t="s">
        <v>166</v>
      </c>
      <c r="D17" s="372">
        <f>SUM(D9:D16)</f>
        <v>20722</v>
      </c>
      <c r="E17" s="373" t="s">
        <v>166</v>
      </c>
      <c r="F17" s="447">
        <f>SUM(F9:F16)</f>
        <v>1015</v>
      </c>
      <c r="G17" s="373" t="s">
        <v>166</v>
      </c>
      <c r="H17" s="372">
        <f>SUM(H9:H16)</f>
        <v>17804</v>
      </c>
      <c r="I17" s="373" t="s">
        <v>166</v>
      </c>
      <c r="J17" s="372">
        <f>SUM(J9:J16)</f>
        <v>0</v>
      </c>
      <c r="K17" s="372">
        <f>SUM(B17+D17+F17+H17+J17)</f>
        <v>60223</v>
      </c>
    </row>
    <row r="18" spans="1:11" ht="15.75">
      <c r="A18" s="373" t="s">
        <v>167</v>
      </c>
      <c r="B18" s="372">
        <f>SUM(B7+B17)</f>
        <v>32305</v>
      </c>
      <c r="C18" s="373" t="s">
        <v>167</v>
      </c>
      <c r="D18" s="372">
        <f>SUM(D7+D17)</f>
        <v>58455</v>
      </c>
      <c r="E18" s="373" t="s">
        <v>167</v>
      </c>
      <c r="F18" s="372">
        <f>SUM(F7+F17)</f>
        <v>3811</v>
      </c>
      <c r="G18" s="373" t="s">
        <v>167</v>
      </c>
      <c r="H18" s="372">
        <f>SUM(H7+H17)</f>
        <v>70974</v>
      </c>
      <c r="I18" s="373" t="s">
        <v>167</v>
      </c>
      <c r="J18" s="372">
        <f>SUM(J7+J17)</f>
        <v>0</v>
      </c>
      <c r="K18" s="372">
        <f>SUM(B18+D18+F18+H18+J18)</f>
        <v>165545</v>
      </c>
    </row>
    <row r="19" spans="1:11" ht="15.75">
      <c r="A19" s="373" t="s">
        <v>170</v>
      </c>
      <c r="B19" s="374"/>
      <c r="C19" s="373" t="s">
        <v>170</v>
      </c>
      <c r="D19" s="375"/>
      <c r="E19" s="373" t="s">
        <v>170</v>
      </c>
      <c r="F19" s="358"/>
      <c r="G19" s="373" t="s">
        <v>170</v>
      </c>
      <c r="H19" s="125"/>
      <c r="I19" s="373" t="s">
        <v>170</v>
      </c>
      <c r="J19" s="125"/>
      <c r="K19" s="358"/>
    </row>
    <row r="20" spans="1:11" ht="15.75">
      <c r="A20" s="376" t="s">
        <v>1007</v>
      </c>
      <c r="B20" s="370">
        <v>7179</v>
      </c>
      <c r="C20" s="379" t="s">
        <v>1059</v>
      </c>
      <c r="D20" s="370">
        <v>6046</v>
      </c>
      <c r="E20" s="379"/>
      <c r="F20" s="370"/>
      <c r="G20" s="379" t="s">
        <v>1047</v>
      </c>
      <c r="H20" s="370">
        <v>14919</v>
      </c>
      <c r="I20" s="379"/>
      <c r="J20" s="370"/>
      <c r="K20" s="358"/>
    </row>
    <row r="21" spans="1:11" ht="15.75">
      <c r="A21" s="376" t="s">
        <v>995</v>
      </c>
      <c r="B21" s="370">
        <v>4101</v>
      </c>
      <c r="C21" s="379" t="s">
        <v>1063</v>
      </c>
      <c r="D21" s="370">
        <v>1200</v>
      </c>
      <c r="E21" s="379"/>
      <c r="F21" s="370"/>
      <c r="G21" s="379" t="s">
        <v>980</v>
      </c>
      <c r="H21" s="370">
        <v>51943</v>
      </c>
      <c r="I21" s="379"/>
      <c r="J21" s="370"/>
      <c r="K21" s="358"/>
    </row>
    <row r="22" spans="1:11" ht="15.75">
      <c r="A22" s="376" t="s">
        <v>1062</v>
      </c>
      <c r="B22" s="370">
        <v>10620</v>
      </c>
      <c r="C22" s="381"/>
      <c r="D22" s="370"/>
      <c r="E22" s="381"/>
      <c r="F22" s="370"/>
      <c r="G22" s="381" t="s">
        <v>1048</v>
      </c>
      <c r="H22" s="370">
        <v>957</v>
      </c>
      <c r="I22" s="378"/>
      <c r="J22" s="370"/>
      <c r="K22" s="358"/>
    </row>
    <row r="23" spans="1:11" ht="15.75">
      <c r="A23" s="376"/>
      <c r="B23" s="370"/>
      <c r="C23" s="379"/>
      <c r="D23" s="370"/>
      <c r="E23" s="379"/>
      <c r="F23" s="370"/>
      <c r="G23" s="379" t="s">
        <v>1049</v>
      </c>
      <c r="H23" s="370">
        <v>32</v>
      </c>
      <c r="I23" s="379"/>
      <c r="J23" s="370"/>
      <c r="K23" s="358"/>
    </row>
    <row r="24" spans="1:11" ht="15.75">
      <c r="A24" s="376"/>
      <c r="B24" s="370"/>
      <c r="C24" s="381"/>
      <c r="D24" s="370"/>
      <c r="E24" s="381"/>
      <c r="F24" s="370"/>
      <c r="G24" s="381" t="s">
        <v>1029</v>
      </c>
      <c r="H24" s="370">
        <v>326</v>
      </c>
      <c r="I24" s="378"/>
      <c r="J24" s="370"/>
      <c r="K24" s="358"/>
    </row>
    <row r="25" spans="1:11" ht="15.75">
      <c r="A25" s="376"/>
      <c r="B25" s="370"/>
      <c r="C25" s="379"/>
      <c r="D25" s="370"/>
      <c r="E25" s="379"/>
      <c r="F25" s="370"/>
      <c r="G25" s="379" t="s">
        <v>1050</v>
      </c>
      <c r="H25" s="370">
        <v>6721</v>
      </c>
      <c r="I25" s="379"/>
      <c r="J25" s="370"/>
      <c r="K25" s="358"/>
    </row>
    <row r="26" spans="1:11" ht="15.75">
      <c r="A26" s="376"/>
      <c r="B26" s="370"/>
      <c r="C26" s="379"/>
      <c r="D26" s="370"/>
      <c r="E26" s="379"/>
      <c r="F26" s="370"/>
      <c r="G26" s="379"/>
      <c r="H26" s="370"/>
      <c r="I26" s="379"/>
      <c r="J26" s="370"/>
      <c r="K26" s="358"/>
    </row>
    <row r="27" spans="1:11" ht="15.75">
      <c r="A27" s="376"/>
      <c r="B27" s="370"/>
      <c r="C27" s="376"/>
      <c r="D27" s="370"/>
      <c r="E27" s="376"/>
      <c r="F27" s="370"/>
      <c r="G27" s="379"/>
      <c r="H27" s="370"/>
      <c r="I27" s="379"/>
      <c r="J27" s="370"/>
      <c r="K27" s="358"/>
    </row>
    <row r="28" spans="1:11" ht="15.75">
      <c r="A28" s="373" t="s">
        <v>171</v>
      </c>
      <c r="B28" s="372">
        <f>SUM(B20:B27)</f>
        <v>21900</v>
      </c>
      <c r="C28" s="373" t="s">
        <v>171</v>
      </c>
      <c r="D28" s="372">
        <f>SUM(D20:D27)</f>
        <v>7246</v>
      </c>
      <c r="E28" s="373" t="s">
        <v>171</v>
      </c>
      <c r="F28" s="447">
        <f>SUM(F20:F27)</f>
        <v>0</v>
      </c>
      <c r="G28" s="373" t="s">
        <v>171</v>
      </c>
      <c r="H28" s="447">
        <f>SUM(H20:H27)</f>
        <v>74898</v>
      </c>
      <c r="I28" s="373" t="s">
        <v>171</v>
      </c>
      <c r="J28" s="372">
        <f>SUM(J20:J27)</f>
        <v>0</v>
      </c>
      <c r="K28" s="372">
        <f>SUM(B28+D28+F28+H28+J28)</f>
        <v>104044</v>
      </c>
    </row>
    <row r="29" spans="1:12" ht="15.75">
      <c r="A29" s="373" t="s">
        <v>22</v>
      </c>
      <c r="B29" s="372">
        <f>B18-B28</f>
        <v>10405</v>
      </c>
      <c r="C29" s="373" t="s">
        <v>22</v>
      </c>
      <c r="D29" s="372">
        <f>D18-D28</f>
        <v>51209</v>
      </c>
      <c r="E29" s="373" t="s">
        <v>22</v>
      </c>
      <c r="F29" s="372">
        <f>F18-F28</f>
        <v>3811</v>
      </c>
      <c r="G29" s="373" t="s">
        <v>22</v>
      </c>
      <c r="H29" s="372">
        <f>H18-H28</f>
        <v>-3924</v>
      </c>
      <c r="I29" s="373" t="s">
        <v>22</v>
      </c>
      <c r="J29" s="372">
        <f>J18-J28</f>
        <v>0</v>
      </c>
      <c r="K29" s="383">
        <f>SUM(B29+D29+F29+H29+J29)</f>
        <v>61501</v>
      </c>
      <c r="L29" s="72" t="s">
        <v>63</v>
      </c>
    </row>
    <row r="30" spans="1:12" ht="15.75">
      <c r="A30" s="373"/>
      <c r="B30" s="413">
        <f>IF(B29&lt;0,"See Tab B","")</f>
      </c>
      <c r="C30" s="373"/>
      <c r="D30" s="413">
        <f>IF(D29&lt;0,"See Tab B","")</f>
      </c>
      <c r="E30" s="373"/>
      <c r="F30" s="413">
        <f>IF(F29&lt;0,"See Tab B","")</f>
      </c>
      <c r="G30" s="125"/>
      <c r="H30" s="413" t="str">
        <f>IF(H29&lt;0,"See Tab B","")</f>
        <v>See Tab B</v>
      </c>
      <c r="I30" s="125"/>
      <c r="J30" s="413">
        <f>IF(J29&lt;0,"See Tab B","")</f>
      </c>
      <c r="K30" s="383">
        <f>SUM(K7+K17-K28)</f>
        <v>61501</v>
      </c>
      <c r="L30" s="72" t="s">
        <v>63</v>
      </c>
    </row>
    <row r="31" spans="1:11" ht="15.75">
      <c r="A31" s="125"/>
      <c r="B31" s="384"/>
      <c r="C31" s="125"/>
      <c r="D31" s="358"/>
      <c r="E31" s="125"/>
      <c r="F31" s="125"/>
      <c r="G31" s="82" t="s">
        <v>64</v>
      </c>
      <c r="H31" s="82"/>
      <c r="I31" s="82"/>
      <c r="J31" s="82"/>
      <c r="K31" s="125"/>
    </row>
    <row r="32" spans="1:11" ht="15.75">
      <c r="A32" s="125"/>
      <c r="B32" s="384"/>
      <c r="C32" s="125"/>
      <c r="D32" s="125"/>
      <c r="E32" s="125"/>
      <c r="F32" s="125"/>
      <c r="G32" s="125"/>
      <c r="H32" s="125"/>
      <c r="I32" s="125"/>
      <c r="J32" s="125"/>
      <c r="K32" s="125"/>
    </row>
    <row r="33" spans="1:11" ht="15.75">
      <c r="A33" s="125"/>
      <c r="B33" s="384"/>
      <c r="C33" s="125"/>
      <c r="D33" s="125"/>
      <c r="E33" s="323" t="s">
        <v>194</v>
      </c>
      <c r="F33" s="350">
        <v>20</v>
      </c>
      <c r="G33" s="125"/>
      <c r="H33" s="125"/>
      <c r="I33" s="125"/>
      <c r="J33" s="125"/>
      <c r="K33" s="125"/>
    </row>
    <row r="34" ht="15.75">
      <c r="B34" s="385"/>
    </row>
    <row r="35" ht="15.75">
      <c r="B35" s="385"/>
    </row>
    <row r="36" ht="15.75">
      <c r="B36" s="385"/>
    </row>
    <row r="37" ht="15.75">
      <c r="B37" s="385"/>
    </row>
    <row r="38" ht="15.75">
      <c r="B38" s="385"/>
    </row>
    <row r="39" ht="15.75">
      <c r="B39" s="385"/>
    </row>
    <row r="40" ht="15.75">
      <c r="B40" s="385"/>
    </row>
    <row r="41" ht="15.75">
      <c r="B41" s="38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County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3" sqref="B23:J23"/>
    </sheetView>
  </sheetViews>
  <sheetFormatPr defaultColWidth="8.796875" defaultRowHeight="15"/>
  <cols>
    <col min="1" max="1" width="11.59765625" style="72" customWidth="1"/>
    <col min="2" max="2" width="7.3984375" style="72" customWidth="1"/>
    <col min="3" max="3" width="11.59765625" style="72" customWidth="1"/>
    <col min="4" max="4" width="7.3984375" style="72" customWidth="1"/>
    <col min="5" max="5" width="11.59765625" style="72" customWidth="1"/>
    <col min="6" max="6" width="7.3984375" style="72" customWidth="1"/>
    <col min="7" max="7" width="11.59765625" style="72" customWidth="1"/>
    <col min="8" max="8" width="7.3984375" style="72" customWidth="1"/>
    <col min="9" max="9" width="11.59765625" style="72" customWidth="1"/>
    <col min="10" max="16384" width="8.8984375" style="72" customWidth="1"/>
  </cols>
  <sheetData>
    <row r="1" spans="1:11" ht="15.75">
      <c r="A1" s="144" t="str">
        <f>inputPrYr!$C$2</f>
        <v>Rice County</v>
      </c>
      <c r="B1" s="358"/>
      <c r="C1" s="125"/>
      <c r="D1" s="125"/>
      <c r="E1" s="125"/>
      <c r="F1" s="359" t="s">
        <v>25</v>
      </c>
      <c r="G1" s="125"/>
      <c r="H1" s="125"/>
      <c r="I1" s="125"/>
      <c r="J1" s="125"/>
      <c r="K1" s="125">
        <f>inputPrYr!$C$4</f>
        <v>2013</v>
      </c>
    </row>
    <row r="2" spans="1:11" ht="15.75">
      <c r="A2" s="125"/>
      <c r="B2" s="125"/>
      <c r="C2" s="125"/>
      <c r="D2" s="125"/>
      <c r="E2" s="125"/>
      <c r="F2" s="360" t="str">
        <f>CONCATENATE("(Only the actual budget year for ",K1-2," is to be shown)")</f>
        <v>(Only the actual budget year for 2011 is to be shown)</v>
      </c>
      <c r="G2" s="125"/>
      <c r="H2" s="125"/>
      <c r="I2" s="125"/>
      <c r="J2" s="125"/>
      <c r="K2" s="125"/>
    </row>
    <row r="3" spans="1:11" ht="15.75">
      <c r="A3" s="125" t="s">
        <v>26</v>
      </c>
      <c r="B3" s="125"/>
      <c r="C3" s="125"/>
      <c r="D3" s="125"/>
      <c r="E3" s="125"/>
      <c r="F3" s="358"/>
      <c r="G3" s="125"/>
      <c r="H3" s="125"/>
      <c r="I3" s="125"/>
      <c r="J3" s="125"/>
      <c r="K3" s="125"/>
    </row>
    <row r="4" spans="1:11" ht="15.75">
      <c r="A4" s="125" t="s">
        <v>16</v>
      </c>
      <c r="B4" s="125"/>
      <c r="C4" s="125" t="s">
        <v>17</v>
      </c>
      <c r="D4" s="125"/>
      <c r="E4" s="125" t="s">
        <v>18</v>
      </c>
      <c r="F4" s="358"/>
      <c r="G4" s="125" t="s">
        <v>19</v>
      </c>
      <c r="H4" s="125"/>
      <c r="I4" s="125" t="s">
        <v>20</v>
      </c>
      <c r="J4" s="125"/>
      <c r="K4" s="125"/>
    </row>
    <row r="5" spans="1:11" ht="15.75">
      <c r="A5" s="792" t="str">
        <f>IF(inputPrYr!B74&gt;" ",(inputPrYr!B74)," ")</f>
        <v> </v>
      </c>
      <c r="B5" s="793"/>
      <c r="C5" s="792" t="str">
        <f>IF(inputPrYr!B75&gt;" ",(inputPrYr!B75)," ")</f>
        <v> </v>
      </c>
      <c r="D5" s="793"/>
      <c r="E5" s="792" t="str">
        <f>IF(inputPrYr!B76&gt;" ",(inputPrYr!B76)," ")</f>
        <v> </v>
      </c>
      <c r="F5" s="793"/>
      <c r="G5" s="792" t="str">
        <f>IF(inputPrYr!B77&gt;" ",(inputPrYr!B77)," ")</f>
        <v> </v>
      </c>
      <c r="H5" s="793"/>
      <c r="I5" s="792" t="str">
        <f>IF(inputPrYr!B78&gt;" ",(inputPrYr!B78)," ")</f>
        <v> </v>
      </c>
      <c r="J5" s="793"/>
      <c r="K5" s="362"/>
    </row>
    <row r="6" spans="1:11" ht="15.75">
      <c r="A6" s="363" t="s">
        <v>21</v>
      </c>
      <c r="B6" s="364"/>
      <c r="C6" s="365" t="s">
        <v>21</v>
      </c>
      <c r="D6" s="366"/>
      <c r="E6" s="365" t="s">
        <v>21</v>
      </c>
      <c r="F6" s="361"/>
      <c r="G6" s="365" t="s">
        <v>21</v>
      </c>
      <c r="H6" s="367"/>
      <c r="I6" s="365" t="s">
        <v>21</v>
      </c>
      <c r="J6" s="125"/>
      <c r="K6" s="368" t="s">
        <v>132</v>
      </c>
    </row>
    <row r="7" spans="1:11" ht="15.75">
      <c r="A7" s="369" t="s">
        <v>86</v>
      </c>
      <c r="B7" s="370"/>
      <c r="C7" s="371" t="s">
        <v>86</v>
      </c>
      <c r="D7" s="370"/>
      <c r="E7" s="371" t="s">
        <v>86</v>
      </c>
      <c r="F7" s="370"/>
      <c r="G7" s="371" t="s">
        <v>86</v>
      </c>
      <c r="H7" s="370"/>
      <c r="I7" s="371" t="s">
        <v>86</v>
      </c>
      <c r="J7" s="370"/>
      <c r="K7" s="372">
        <f>SUM(B7+D7+F7+H7+J7)</f>
        <v>0</v>
      </c>
    </row>
    <row r="8" spans="1:11" ht="15.75">
      <c r="A8" s="373" t="s">
        <v>286</v>
      </c>
      <c r="B8" s="374"/>
      <c r="C8" s="373" t="s">
        <v>286</v>
      </c>
      <c r="D8" s="375"/>
      <c r="E8" s="373" t="s">
        <v>286</v>
      </c>
      <c r="F8" s="358"/>
      <c r="G8" s="373" t="s">
        <v>286</v>
      </c>
      <c r="H8" s="125"/>
      <c r="I8" s="373" t="s">
        <v>286</v>
      </c>
      <c r="J8" s="125"/>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0"/>
      <c r="E11" s="377"/>
      <c r="F11" s="370"/>
      <c r="G11" s="377"/>
      <c r="H11" s="370"/>
      <c r="I11" s="378"/>
      <c r="J11" s="370"/>
      <c r="K11" s="358"/>
    </row>
    <row r="12" spans="1:11" ht="15.75">
      <c r="A12" s="376"/>
      <c r="B12" s="370"/>
      <c r="C12" s="376"/>
      <c r="D12" s="370"/>
      <c r="E12" s="379"/>
      <c r="F12" s="370"/>
      <c r="G12" s="379"/>
      <c r="H12" s="370"/>
      <c r="I12" s="379"/>
      <c r="J12" s="370"/>
      <c r="K12" s="358"/>
    </row>
    <row r="13" spans="1:11" ht="15.75">
      <c r="A13" s="380"/>
      <c r="B13" s="370"/>
      <c r="C13" s="381"/>
      <c r="D13" s="370"/>
      <c r="E13" s="381"/>
      <c r="F13" s="370"/>
      <c r="G13" s="381"/>
      <c r="H13" s="370"/>
      <c r="I13" s="378"/>
      <c r="J13" s="370"/>
      <c r="K13" s="358"/>
    </row>
    <row r="14" spans="1:11" ht="15.75">
      <c r="A14" s="376"/>
      <c r="B14" s="370"/>
      <c r="C14" s="379"/>
      <c r="D14" s="370"/>
      <c r="E14" s="379"/>
      <c r="F14" s="370"/>
      <c r="G14" s="379"/>
      <c r="H14" s="370"/>
      <c r="I14" s="379"/>
      <c r="J14" s="370"/>
      <c r="K14" s="358"/>
    </row>
    <row r="15" spans="1:11" ht="15.75">
      <c r="A15" s="376"/>
      <c r="B15" s="370"/>
      <c r="C15" s="379"/>
      <c r="D15" s="370"/>
      <c r="E15" s="379"/>
      <c r="F15" s="370"/>
      <c r="G15" s="379"/>
      <c r="H15" s="370"/>
      <c r="I15" s="379"/>
      <c r="J15" s="370"/>
      <c r="K15" s="358"/>
    </row>
    <row r="16" spans="1:11" ht="15.75">
      <c r="A16" s="376"/>
      <c r="B16" s="370"/>
      <c r="C16" s="376"/>
      <c r="D16" s="370"/>
      <c r="E16" s="376"/>
      <c r="F16" s="370"/>
      <c r="G16" s="379"/>
      <c r="H16" s="370"/>
      <c r="I16" s="376"/>
      <c r="J16" s="370"/>
      <c r="K16" s="358"/>
    </row>
    <row r="17" spans="1:11" ht="15.75">
      <c r="A17" s="373" t="s">
        <v>166</v>
      </c>
      <c r="B17" s="372">
        <f>SUM(B9:B16)</f>
        <v>0</v>
      </c>
      <c r="C17" s="373" t="s">
        <v>166</v>
      </c>
      <c r="D17" s="372">
        <f>SUM(D9:D16)</f>
        <v>0</v>
      </c>
      <c r="E17" s="373" t="s">
        <v>166</v>
      </c>
      <c r="F17" s="447">
        <f>SUM(F9:F16)</f>
        <v>0</v>
      </c>
      <c r="G17" s="373" t="s">
        <v>166</v>
      </c>
      <c r="H17" s="372">
        <f>SUM(H9:H16)</f>
        <v>0</v>
      </c>
      <c r="I17" s="373" t="s">
        <v>166</v>
      </c>
      <c r="J17" s="372">
        <f>SUM(J9:J16)</f>
        <v>0</v>
      </c>
      <c r="K17" s="372">
        <f>SUM(B17+D17+F17+H17+J17)</f>
        <v>0</v>
      </c>
    </row>
    <row r="18" spans="1:11" ht="15.75">
      <c r="A18" s="373" t="s">
        <v>167</v>
      </c>
      <c r="B18" s="372">
        <f>SUM(B7+B17)</f>
        <v>0</v>
      </c>
      <c r="C18" s="373" t="s">
        <v>167</v>
      </c>
      <c r="D18" s="372">
        <f>SUM(D7+D17)</f>
        <v>0</v>
      </c>
      <c r="E18" s="373" t="s">
        <v>167</v>
      </c>
      <c r="F18" s="372">
        <f>SUM(F7+F17)</f>
        <v>0</v>
      </c>
      <c r="G18" s="373" t="s">
        <v>167</v>
      </c>
      <c r="H18" s="372">
        <f>SUM(H7+H17)</f>
        <v>0</v>
      </c>
      <c r="I18" s="373" t="s">
        <v>167</v>
      </c>
      <c r="J18" s="372">
        <f>SUM(J7+J17)</f>
        <v>0</v>
      </c>
      <c r="K18" s="372">
        <f>SUM(B18+D18+F18+H18+J18)</f>
        <v>0</v>
      </c>
    </row>
    <row r="19" spans="1:11" ht="15.75">
      <c r="A19" s="373" t="s">
        <v>170</v>
      </c>
      <c r="B19" s="374"/>
      <c r="C19" s="373" t="s">
        <v>170</v>
      </c>
      <c r="D19" s="375"/>
      <c r="E19" s="373" t="s">
        <v>170</v>
      </c>
      <c r="F19" s="358"/>
      <c r="G19" s="373" t="s">
        <v>170</v>
      </c>
      <c r="H19" s="125"/>
      <c r="I19" s="373" t="s">
        <v>170</v>
      </c>
      <c r="J19" s="125"/>
      <c r="K19" s="358"/>
    </row>
    <row r="20" spans="1:11" ht="15.75">
      <c r="A20" s="376"/>
      <c r="B20" s="370"/>
      <c r="C20" s="379"/>
      <c r="D20" s="370"/>
      <c r="E20" s="379"/>
      <c r="F20" s="370"/>
      <c r="G20" s="379"/>
      <c r="H20" s="370"/>
      <c r="I20" s="379"/>
      <c r="J20" s="370"/>
      <c r="K20" s="358"/>
    </row>
    <row r="21" spans="1:11" ht="15.75">
      <c r="A21" s="376"/>
      <c r="B21" s="370"/>
      <c r="C21" s="379"/>
      <c r="D21" s="370"/>
      <c r="E21" s="379"/>
      <c r="F21" s="370"/>
      <c r="G21" s="379"/>
      <c r="H21" s="370"/>
      <c r="I21" s="379"/>
      <c r="J21" s="370"/>
      <c r="K21" s="358"/>
    </row>
    <row r="22" spans="1:11" ht="15.75">
      <c r="A22" s="376"/>
      <c r="B22" s="370"/>
      <c r="C22" s="381"/>
      <c r="D22" s="370"/>
      <c r="E22" s="381"/>
      <c r="F22" s="370"/>
      <c r="G22" s="381"/>
      <c r="H22" s="370"/>
      <c r="I22" s="378"/>
      <c r="J22" s="370"/>
      <c r="K22" s="358"/>
    </row>
    <row r="23" spans="1:11" ht="15.75">
      <c r="A23" s="376"/>
      <c r="B23" s="370"/>
      <c r="C23" s="379"/>
      <c r="D23" s="370"/>
      <c r="E23" s="379"/>
      <c r="F23" s="370"/>
      <c r="G23" s="379"/>
      <c r="H23" s="370"/>
      <c r="I23" s="379"/>
      <c r="J23" s="370"/>
      <c r="K23" s="358"/>
    </row>
    <row r="24" spans="1:11" ht="15.75">
      <c r="A24" s="376"/>
      <c r="B24" s="370"/>
      <c r="C24" s="381"/>
      <c r="D24" s="370"/>
      <c r="E24" s="381"/>
      <c r="F24" s="370"/>
      <c r="G24" s="381"/>
      <c r="H24" s="370"/>
      <c r="I24" s="378"/>
      <c r="J24" s="370"/>
      <c r="K24" s="358"/>
    </row>
    <row r="25" spans="1:11" ht="15.75">
      <c r="A25" s="376"/>
      <c r="B25" s="370"/>
      <c r="C25" s="379"/>
      <c r="D25" s="370"/>
      <c r="E25" s="379"/>
      <c r="F25" s="370"/>
      <c r="G25" s="379"/>
      <c r="H25" s="370"/>
      <c r="I25" s="379"/>
      <c r="J25" s="370"/>
      <c r="K25" s="358"/>
    </row>
    <row r="26" spans="1:11" ht="15.75">
      <c r="A26" s="376"/>
      <c r="B26" s="370"/>
      <c r="C26" s="379"/>
      <c r="D26" s="370"/>
      <c r="E26" s="379"/>
      <c r="F26" s="370"/>
      <c r="G26" s="379"/>
      <c r="H26" s="370"/>
      <c r="I26" s="379"/>
      <c r="J26" s="370"/>
      <c r="K26" s="358"/>
    </row>
    <row r="27" spans="1:11" ht="15.75">
      <c r="A27" s="376"/>
      <c r="B27" s="370"/>
      <c r="C27" s="376"/>
      <c r="D27" s="370"/>
      <c r="E27" s="376"/>
      <c r="F27" s="370"/>
      <c r="G27" s="379"/>
      <c r="H27" s="370"/>
      <c r="I27" s="379"/>
      <c r="J27" s="370"/>
      <c r="K27" s="358"/>
    </row>
    <row r="28" spans="1:11" ht="15.75">
      <c r="A28" s="373" t="s">
        <v>171</v>
      </c>
      <c r="B28" s="372">
        <f>SUM(B20:B27)</f>
        <v>0</v>
      </c>
      <c r="C28" s="373" t="s">
        <v>171</v>
      </c>
      <c r="D28" s="372">
        <f>SUM(D20:D27)</f>
        <v>0</v>
      </c>
      <c r="E28" s="373" t="s">
        <v>171</v>
      </c>
      <c r="F28" s="447">
        <f>SUM(F20:F27)</f>
        <v>0</v>
      </c>
      <c r="G28" s="373" t="s">
        <v>171</v>
      </c>
      <c r="H28" s="447">
        <f>SUM(H20:H27)</f>
        <v>0</v>
      </c>
      <c r="I28" s="373" t="s">
        <v>171</v>
      </c>
      <c r="J28" s="372">
        <f>SUM(J20:J27)</f>
        <v>0</v>
      </c>
      <c r="K28" s="372">
        <f>SUM(B28+D28+F28+H28+J28)</f>
        <v>0</v>
      </c>
    </row>
    <row r="29" spans="1:12" ht="15.75">
      <c r="A29" s="373" t="s">
        <v>22</v>
      </c>
      <c r="B29" s="372">
        <f>B18-B28</f>
        <v>0</v>
      </c>
      <c r="C29" s="373" t="s">
        <v>22</v>
      </c>
      <c r="D29" s="372">
        <f>D18-D28</f>
        <v>0</v>
      </c>
      <c r="E29" s="373" t="s">
        <v>22</v>
      </c>
      <c r="F29" s="372">
        <f>F18-F28</f>
        <v>0</v>
      </c>
      <c r="G29" s="373" t="s">
        <v>22</v>
      </c>
      <c r="H29" s="372">
        <f>H18-H28</f>
        <v>0</v>
      </c>
      <c r="I29" s="373" t="s">
        <v>22</v>
      </c>
      <c r="J29" s="372">
        <f>J18-J28</f>
        <v>0</v>
      </c>
      <c r="K29" s="383">
        <f>SUM(B29+D29+F29+H29+J29)</f>
        <v>0</v>
      </c>
      <c r="L29" s="72" t="s">
        <v>63</v>
      </c>
    </row>
    <row r="30" spans="1:12" ht="15.75">
      <c r="A30" s="373"/>
      <c r="B30" s="413">
        <f>IF(B29&lt;0,"See Tab B","")</f>
      </c>
      <c r="C30" s="373"/>
      <c r="D30" s="413">
        <f>IF(D29&lt;0,"See Tab B","")</f>
      </c>
      <c r="E30" s="373"/>
      <c r="F30" s="413">
        <f>IF(F29&lt;0,"See Tab B","")</f>
      </c>
      <c r="G30" s="125"/>
      <c r="H30" s="413">
        <f>IF(H29&lt;0,"See Tab B","")</f>
      </c>
      <c r="I30" s="125"/>
      <c r="J30" s="413">
        <f>IF(J29&lt;0,"See Tab B","")</f>
      </c>
      <c r="K30" s="383">
        <f>SUM(K7+K17-K28)</f>
        <v>0</v>
      </c>
      <c r="L30" s="72" t="s">
        <v>63</v>
      </c>
    </row>
    <row r="31" spans="1:11" ht="15.75">
      <c r="A31" s="125"/>
      <c r="B31" s="384"/>
      <c r="C31" s="125"/>
      <c r="D31" s="358"/>
      <c r="E31" s="125"/>
      <c r="F31" s="125"/>
      <c r="G31" s="82" t="s">
        <v>64</v>
      </c>
      <c r="H31" s="82"/>
      <c r="I31" s="82"/>
      <c r="J31" s="82"/>
      <c r="K31" s="125"/>
    </row>
    <row r="32" spans="1:11" ht="15.75">
      <c r="A32" s="125"/>
      <c r="B32" s="384"/>
      <c r="C32" s="125"/>
      <c r="D32" s="125"/>
      <c r="E32" s="125"/>
      <c r="F32" s="125"/>
      <c r="G32" s="125"/>
      <c r="H32" s="125"/>
      <c r="I32" s="125"/>
      <c r="J32" s="125"/>
      <c r="K32" s="125"/>
    </row>
    <row r="33" spans="1:11" ht="15.75">
      <c r="A33" s="125"/>
      <c r="B33" s="384"/>
      <c r="C33" s="125"/>
      <c r="D33" s="125"/>
      <c r="E33" s="323" t="s">
        <v>194</v>
      </c>
      <c r="F33" s="350"/>
      <c r="G33" s="125"/>
      <c r="H33" s="125"/>
      <c r="I33" s="125"/>
      <c r="J33" s="125"/>
      <c r="K33" s="125"/>
    </row>
    <row r="34" ht="15.75">
      <c r="B34" s="385"/>
    </row>
    <row r="35" ht="15.75">
      <c r="B35" s="385"/>
    </row>
    <row r="36" ht="15.75">
      <c r="B36" s="385"/>
    </row>
    <row r="37" ht="15.75">
      <c r="B37" s="385"/>
    </row>
    <row r="38" ht="15.75">
      <c r="B38" s="385"/>
    </row>
    <row r="39" ht="15.75">
      <c r="B39" s="385"/>
    </row>
    <row r="40" ht="15.75">
      <c r="B40" s="385"/>
    </row>
    <row r="41" ht="15.75">
      <c r="B41" s="38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County</oddHeader>
  </headerFooter>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1" ht="15">
      <c r="J1" s="637" t="s">
        <v>825</v>
      </c>
    </row>
    <row r="2" spans="1:10" ht="54" customHeight="1">
      <c r="A2" s="742" t="s">
        <v>415</v>
      </c>
      <c r="B2" s="743"/>
      <c r="C2" s="743"/>
      <c r="D2" s="743"/>
      <c r="E2" s="743"/>
      <c r="F2" s="743"/>
      <c r="J2" s="637" t="s">
        <v>826</v>
      </c>
    </row>
    <row r="3" spans="1:10" ht="15.75">
      <c r="A3" s="2" t="s">
        <v>823</v>
      </c>
      <c r="B3" s="718" t="s">
        <v>1105</v>
      </c>
      <c r="J3" s="637" t="s">
        <v>827</v>
      </c>
    </row>
    <row r="4" spans="1:10" ht="15.75">
      <c r="A4" s="422"/>
      <c r="B4" s="422"/>
      <c r="C4" s="422"/>
      <c r="D4" s="636" t="s">
        <v>824</v>
      </c>
      <c r="E4" s="422"/>
      <c r="F4" s="422"/>
      <c r="J4" s="637" t="s">
        <v>828</v>
      </c>
    </row>
    <row r="5" spans="1:10" ht="15.75">
      <c r="A5" s="423" t="s">
        <v>416</v>
      </c>
      <c r="B5" s="424" t="s">
        <v>1106</v>
      </c>
      <c r="C5" s="425"/>
      <c r="D5" s="636" t="str">
        <f>IF(B5="","",CONCATENATE("Latest date for notice to be published in your newspaper: ",G18," ",G22,", ",G23))</f>
        <v>Latest date for notice to be published in your newspaper: August 3, 2012</v>
      </c>
      <c r="E5" s="422"/>
      <c r="F5" s="422"/>
      <c r="J5" s="637" t="s">
        <v>829</v>
      </c>
    </row>
    <row r="6" spans="1:10" ht="15.75">
      <c r="A6" s="423"/>
      <c r="B6" s="426"/>
      <c r="C6" s="427"/>
      <c r="D6" s="423"/>
      <c r="E6" s="422"/>
      <c r="F6" s="422"/>
      <c r="J6" s="637" t="s">
        <v>830</v>
      </c>
    </row>
    <row r="7" spans="1:10" ht="15.75">
      <c r="A7" s="423" t="s">
        <v>417</v>
      </c>
      <c r="B7" s="424" t="s">
        <v>1107</v>
      </c>
      <c r="C7" s="428"/>
      <c r="D7" s="423"/>
      <c r="E7" s="422"/>
      <c r="F7" s="422"/>
      <c r="J7" s="637" t="s">
        <v>831</v>
      </c>
    </row>
    <row r="8" spans="1:10" ht="15.75">
      <c r="A8" s="423"/>
      <c r="B8" s="423"/>
      <c r="C8" s="423"/>
      <c r="D8" s="423"/>
      <c r="E8" s="422"/>
      <c r="F8" s="422"/>
      <c r="J8" s="637" t="s">
        <v>832</v>
      </c>
    </row>
    <row r="9" spans="1:10" ht="15.75">
      <c r="A9" s="423" t="s">
        <v>418</v>
      </c>
      <c r="B9" s="429" t="s">
        <v>1108</v>
      </c>
      <c r="C9" s="429"/>
      <c r="D9" s="429"/>
      <c r="E9" s="430"/>
      <c r="F9" s="422"/>
      <c r="J9" s="637" t="s">
        <v>833</v>
      </c>
    </row>
    <row r="10" spans="1:10" ht="15.75">
      <c r="A10" s="423"/>
      <c r="B10" s="423"/>
      <c r="C10" s="423"/>
      <c r="D10" s="423"/>
      <c r="E10" s="422"/>
      <c r="F10" s="422"/>
      <c r="J10" s="637" t="s">
        <v>834</v>
      </c>
    </row>
    <row r="11" spans="1:10" ht="15.75">
      <c r="A11" s="423"/>
      <c r="B11" s="423"/>
      <c r="C11" s="423"/>
      <c r="D11" s="423"/>
      <c r="E11" s="422"/>
      <c r="F11" s="422"/>
      <c r="J11" s="637" t="s">
        <v>835</v>
      </c>
    </row>
    <row r="12" spans="1:10" ht="15.75">
      <c r="A12" s="423" t="s">
        <v>420</v>
      </c>
      <c r="B12" s="429" t="s">
        <v>1109</v>
      </c>
      <c r="C12" s="429"/>
      <c r="D12" s="429"/>
      <c r="E12" s="430"/>
      <c r="F12" s="422"/>
      <c r="J12" s="637" t="s">
        <v>836</v>
      </c>
    </row>
    <row r="15" spans="1:6" ht="15.75">
      <c r="A15" s="744" t="s">
        <v>421</v>
      </c>
      <c r="B15" s="744"/>
      <c r="C15" s="423"/>
      <c r="D15" s="423"/>
      <c r="E15" s="423"/>
      <c r="F15" s="422"/>
    </row>
    <row r="16" spans="1:6" ht="15.75">
      <c r="A16" s="423"/>
      <c r="B16" s="423"/>
      <c r="C16" s="423"/>
      <c r="D16" s="423"/>
      <c r="E16" s="423"/>
      <c r="F16" s="422"/>
    </row>
    <row r="17" spans="1:5" ht="15.75">
      <c r="A17" s="423" t="s">
        <v>416</v>
      </c>
      <c r="B17" s="426" t="s">
        <v>422</v>
      </c>
      <c r="C17" s="423"/>
      <c r="D17" s="423"/>
      <c r="E17" s="423"/>
    </row>
    <row r="18" spans="1:7" ht="15.75">
      <c r="A18" s="423"/>
      <c r="B18" s="423"/>
      <c r="C18" s="423"/>
      <c r="D18" s="423"/>
      <c r="E18" s="423"/>
      <c r="G18" s="637" t="str">
        <f ca="1">IF(B5="","",INDIRECT(G19))</f>
        <v>August</v>
      </c>
    </row>
    <row r="19" spans="1:7" ht="15.75">
      <c r="A19" s="423" t="s">
        <v>417</v>
      </c>
      <c r="B19" s="423" t="s">
        <v>423</v>
      </c>
      <c r="C19" s="423"/>
      <c r="D19" s="423"/>
      <c r="E19" s="423"/>
      <c r="G19" s="638" t="str">
        <f>IF(B5="","",CONCATENATE("J",G21))</f>
        <v>J8</v>
      </c>
    </row>
    <row r="20" spans="1:7" ht="15.75">
      <c r="A20" s="423"/>
      <c r="B20" s="423"/>
      <c r="C20" s="423"/>
      <c r="D20" s="423"/>
      <c r="E20" s="423"/>
      <c r="G20" s="639">
        <f>B5-10</f>
        <v>41124</v>
      </c>
    </row>
    <row r="21" spans="1:7" ht="15.75">
      <c r="A21" s="423" t="s">
        <v>418</v>
      </c>
      <c r="B21" s="423" t="s">
        <v>419</v>
      </c>
      <c r="C21" s="423"/>
      <c r="D21" s="423"/>
      <c r="E21" s="423"/>
      <c r="G21" s="640">
        <f>IF(B5="","",MONTH(G20))</f>
        <v>8</v>
      </c>
    </row>
    <row r="22" spans="1:7" ht="15.75">
      <c r="A22" s="423"/>
      <c r="B22" s="423"/>
      <c r="C22" s="423"/>
      <c r="D22" s="423"/>
      <c r="E22" s="423"/>
      <c r="G22" s="641">
        <f>IF(B5="","",DAY(G20))</f>
        <v>3</v>
      </c>
    </row>
    <row r="23" spans="1:7" ht="15.75">
      <c r="A23" s="423" t="s">
        <v>420</v>
      </c>
      <c r="B23" s="423" t="s">
        <v>419</v>
      </c>
      <c r="C23" s="423"/>
      <c r="D23" s="423"/>
      <c r="E23" s="423"/>
      <c r="G23" s="642">
        <f>IF(B5="","",YEAR(G20))</f>
        <v>2012</v>
      </c>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72" customWidth="1"/>
    <col min="2" max="2" width="7.3984375" style="72" customWidth="1"/>
    <col min="3" max="3" width="11.59765625" style="72" customWidth="1"/>
    <col min="4" max="4" width="7.3984375" style="72" customWidth="1"/>
    <col min="5" max="5" width="11.59765625" style="72" customWidth="1"/>
    <col min="6" max="6" width="7.3984375" style="72" customWidth="1"/>
    <col min="7" max="7" width="11.59765625" style="72" customWidth="1"/>
    <col min="8" max="8" width="7.3984375" style="72" customWidth="1"/>
    <col min="9" max="9" width="11.59765625" style="72" customWidth="1"/>
    <col min="10" max="16384" width="8.8984375" style="72" customWidth="1"/>
  </cols>
  <sheetData>
    <row r="1" spans="1:11" ht="15.75">
      <c r="A1" s="144" t="str">
        <f>inputPrYr!$C$2</f>
        <v>Rice County</v>
      </c>
      <c r="B1" s="358"/>
      <c r="C1" s="125"/>
      <c r="D1" s="125"/>
      <c r="E1" s="125"/>
      <c r="F1" s="359" t="s">
        <v>27</v>
      </c>
      <c r="G1" s="125"/>
      <c r="H1" s="125"/>
      <c r="I1" s="125"/>
      <c r="J1" s="125"/>
      <c r="K1" s="125">
        <f>inputPrYr!$C$4</f>
        <v>2013</v>
      </c>
    </row>
    <row r="2" spans="1:11" ht="15.75">
      <c r="A2" s="125"/>
      <c r="B2" s="125"/>
      <c r="C2" s="125"/>
      <c r="D2" s="125"/>
      <c r="E2" s="125"/>
      <c r="F2" s="360" t="str">
        <f>CONCATENATE("(Only the actual budget year for ",K1-2," is to be shown)")</f>
        <v>(Only the actual budget year for 2011 is to be shown)</v>
      </c>
      <c r="G2" s="125"/>
      <c r="H2" s="125"/>
      <c r="I2" s="125"/>
      <c r="J2" s="125"/>
      <c r="K2" s="125"/>
    </row>
    <row r="3" spans="1:11" ht="15.75">
      <c r="A3" s="125" t="s">
        <v>28</v>
      </c>
      <c r="B3" s="125"/>
      <c r="C3" s="125"/>
      <c r="D3" s="125"/>
      <c r="E3" s="125"/>
      <c r="F3" s="358"/>
      <c r="G3" s="125"/>
      <c r="H3" s="125"/>
      <c r="I3" s="125"/>
      <c r="J3" s="125"/>
      <c r="K3" s="125"/>
    </row>
    <row r="4" spans="1:11" ht="15.75">
      <c r="A4" s="125" t="s">
        <v>16</v>
      </c>
      <c r="B4" s="125"/>
      <c r="C4" s="125" t="s">
        <v>17</v>
      </c>
      <c r="D4" s="125"/>
      <c r="E4" s="125" t="s">
        <v>18</v>
      </c>
      <c r="F4" s="358"/>
      <c r="G4" s="125" t="s">
        <v>19</v>
      </c>
      <c r="H4" s="125"/>
      <c r="I4" s="125" t="s">
        <v>20</v>
      </c>
      <c r="J4" s="125"/>
      <c r="K4" s="125"/>
    </row>
    <row r="5" spans="1:11" ht="15.75">
      <c r="A5" s="792" t="str">
        <f>IF(inputPrYr!B80&gt;" ",(inputPrYr!B80)," ")</f>
        <v> </v>
      </c>
      <c r="B5" s="793"/>
      <c r="C5" s="792" t="str">
        <f>IF(inputPrYr!B81&gt;" ",(inputPrYr!B81)," ")</f>
        <v> </v>
      </c>
      <c r="D5" s="793"/>
      <c r="E5" s="792" t="str">
        <f>IF(inputPrYr!B82&gt;" ",(inputPrYr!B82)," ")</f>
        <v> </v>
      </c>
      <c r="F5" s="793"/>
      <c r="G5" s="792" t="str">
        <f>IF(inputPrYr!B83&gt;" ",(inputPrYr!B83)," ")</f>
        <v> </v>
      </c>
      <c r="H5" s="793"/>
      <c r="I5" s="792" t="str">
        <f>IF(inputPrYr!B84&gt;" ",(inputPrYr!B84)," ")</f>
        <v> </v>
      </c>
      <c r="J5" s="793"/>
      <c r="K5" s="362"/>
    </row>
    <row r="6" spans="1:11" ht="15.75">
      <c r="A6" s="363" t="s">
        <v>21</v>
      </c>
      <c r="B6" s="364"/>
      <c r="C6" s="365" t="s">
        <v>21</v>
      </c>
      <c r="D6" s="366"/>
      <c r="E6" s="365" t="s">
        <v>21</v>
      </c>
      <c r="F6" s="361"/>
      <c r="G6" s="365" t="s">
        <v>21</v>
      </c>
      <c r="H6" s="367"/>
      <c r="I6" s="365" t="s">
        <v>21</v>
      </c>
      <c r="J6" s="125"/>
      <c r="K6" s="368" t="s">
        <v>132</v>
      </c>
    </row>
    <row r="7" spans="1:11" ht="15.75">
      <c r="A7" s="369" t="s">
        <v>86</v>
      </c>
      <c r="B7" s="370"/>
      <c r="C7" s="371" t="s">
        <v>86</v>
      </c>
      <c r="D7" s="370"/>
      <c r="E7" s="371" t="s">
        <v>86</v>
      </c>
      <c r="F7" s="370"/>
      <c r="G7" s="371" t="s">
        <v>86</v>
      </c>
      <c r="H7" s="370"/>
      <c r="I7" s="371" t="s">
        <v>86</v>
      </c>
      <c r="J7" s="370"/>
      <c r="K7" s="372">
        <f>SUM(B7+D7+F7+H7+J7)</f>
        <v>0</v>
      </c>
    </row>
    <row r="8" spans="1:11" ht="15.75">
      <c r="A8" s="373" t="s">
        <v>286</v>
      </c>
      <c r="B8" s="374"/>
      <c r="C8" s="373" t="s">
        <v>286</v>
      </c>
      <c r="D8" s="375"/>
      <c r="E8" s="373" t="s">
        <v>286</v>
      </c>
      <c r="F8" s="358"/>
      <c r="G8" s="373" t="s">
        <v>286</v>
      </c>
      <c r="H8" s="125"/>
      <c r="I8" s="373" t="s">
        <v>286</v>
      </c>
      <c r="J8" s="125"/>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0"/>
      <c r="E11" s="377"/>
      <c r="F11" s="370"/>
      <c r="G11" s="377"/>
      <c r="H11" s="370"/>
      <c r="I11" s="378"/>
      <c r="J11" s="370"/>
      <c r="K11" s="358"/>
    </row>
    <row r="12" spans="1:11" ht="15.75">
      <c r="A12" s="376"/>
      <c r="B12" s="370"/>
      <c r="C12" s="376"/>
      <c r="D12" s="370"/>
      <c r="E12" s="379"/>
      <c r="F12" s="370"/>
      <c r="G12" s="379"/>
      <c r="H12" s="370"/>
      <c r="I12" s="379"/>
      <c r="J12" s="370"/>
      <c r="K12" s="358"/>
    </row>
    <row r="13" spans="1:11" ht="15.75">
      <c r="A13" s="380"/>
      <c r="B13" s="370"/>
      <c r="C13" s="381"/>
      <c r="D13" s="370"/>
      <c r="E13" s="381"/>
      <c r="F13" s="370"/>
      <c r="G13" s="381"/>
      <c r="H13" s="370"/>
      <c r="I13" s="378"/>
      <c r="J13" s="370"/>
      <c r="K13" s="358"/>
    </row>
    <row r="14" spans="1:11" ht="15.75">
      <c r="A14" s="376"/>
      <c r="B14" s="370"/>
      <c r="C14" s="379"/>
      <c r="D14" s="370"/>
      <c r="E14" s="379"/>
      <c r="F14" s="370"/>
      <c r="G14" s="379"/>
      <c r="H14" s="370"/>
      <c r="I14" s="379"/>
      <c r="J14" s="370"/>
      <c r="K14" s="358"/>
    </row>
    <row r="15" spans="1:11" ht="15.75">
      <c r="A15" s="376"/>
      <c r="B15" s="370"/>
      <c r="C15" s="379"/>
      <c r="D15" s="370"/>
      <c r="E15" s="379"/>
      <c r="F15" s="370"/>
      <c r="G15" s="379"/>
      <c r="H15" s="370"/>
      <c r="I15" s="379"/>
      <c r="J15" s="370"/>
      <c r="K15" s="358"/>
    </row>
    <row r="16" spans="1:11" ht="15.75">
      <c r="A16" s="376"/>
      <c r="B16" s="370"/>
      <c r="C16" s="376"/>
      <c r="D16" s="370"/>
      <c r="E16" s="376"/>
      <c r="F16" s="370"/>
      <c r="G16" s="379"/>
      <c r="H16" s="370"/>
      <c r="I16" s="376"/>
      <c r="J16" s="370"/>
      <c r="K16" s="358"/>
    </row>
    <row r="17" spans="1:11" ht="15.75">
      <c r="A17" s="373" t="s">
        <v>166</v>
      </c>
      <c r="B17" s="372">
        <f>SUM(B9:B16)</f>
        <v>0</v>
      </c>
      <c r="C17" s="373" t="s">
        <v>166</v>
      </c>
      <c r="D17" s="372">
        <f>SUM(D9:D16)</f>
        <v>0</v>
      </c>
      <c r="E17" s="373" t="s">
        <v>166</v>
      </c>
      <c r="F17" s="447">
        <f>SUM(F9:F16)</f>
        <v>0</v>
      </c>
      <c r="G17" s="373" t="s">
        <v>166</v>
      </c>
      <c r="H17" s="372">
        <f>SUM(H9:H16)</f>
        <v>0</v>
      </c>
      <c r="I17" s="373" t="s">
        <v>166</v>
      </c>
      <c r="J17" s="372">
        <f>SUM(J9:J16)</f>
        <v>0</v>
      </c>
      <c r="K17" s="372">
        <f>SUM(B17+D17+F17+H17+J17)</f>
        <v>0</v>
      </c>
    </row>
    <row r="18" spans="1:11" ht="15.75">
      <c r="A18" s="373" t="s">
        <v>167</v>
      </c>
      <c r="B18" s="372">
        <f>SUM(B7+B17)</f>
        <v>0</v>
      </c>
      <c r="C18" s="373" t="s">
        <v>167</v>
      </c>
      <c r="D18" s="372">
        <f>SUM(D7+D17)</f>
        <v>0</v>
      </c>
      <c r="E18" s="373" t="s">
        <v>167</v>
      </c>
      <c r="F18" s="372">
        <f>SUM(F7+F17)</f>
        <v>0</v>
      </c>
      <c r="G18" s="373" t="s">
        <v>167</v>
      </c>
      <c r="H18" s="372">
        <f>SUM(H7+H17)</f>
        <v>0</v>
      </c>
      <c r="I18" s="373" t="s">
        <v>167</v>
      </c>
      <c r="J18" s="372">
        <f>SUM(J7+J17)</f>
        <v>0</v>
      </c>
      <c r="K18" s="372">
        <f>SUM(B18+D18+F18+H18+J18)</f>
        <v>0</v>
      </c>
    </row>
    <row r="19" spans="1:11" ht="15.75">
      <c r="A19" s="373" t="s">
        <v>170</v>
      </c>
      <c r="B19" s="374"/>
      <c r="C19" s="373" t="s">
        <v>170</v>
      </c>
      <c r="D19" s="375"/>
      <c r="E19" s="373" t="s">
        <v>170</v>
      </c>
      <c r="F19" s="358"/>
      <c r="G19" s="373" t="s">
        <v>170</v>
      </c>
      <c r="H19" s="125"/>
      <c r="I19" s="373" t="s">
        <v>170</v>
      </c>
      <c r="J19" s="125"/>
      <c r="K19" s="358"/>
    </row>
    <row r="20" spans="1:11" ht="15.75">
      <c r="A20" s="376"/>
      <c r="B20" s="370"/>
      <c r="C20" s="379"/>
      <c r="D20" s="370"/>
      <c r="E20" s="379"/>
      <c r="F20" s="370"/>
      <c r="G20" s="379"/>
      <c r="H20" s="370"/>
      <c r="I20" s="379"/>
      <c r="J20" s="370"/>
      <c r="K20" s="358"/>
    </row>
    <row r="21" spans="1:11" ht="15.75">
      <c r="A21" s="376"/>
      <c r="B21" s="370"/>
      <c r="C21" s="379"/>
      <c r="D21" s="370"/>
      <c r="E21" s="379"/>
      <c r="F21" s="370"/>
      <c r="G21" s="379"/>
      <c r="H21" s="370"/>
      <c r="I21" s="379"/>
      <c r="J21" s="370"/>
      <c r="K21" s="358"/>
    </row>
    <row r="22" spans="1:11" ht="15.75">
      <c r="A22" s="376"/>
      <c r="B22" s="370"/>
      <c r="C22" s="381"/>
      <c r="D22" s="370"/>
      <c r="E22" s="381"/>
      <c r="F22" s="370"/>
      <c r="G22" s="381"/>
      <c r="H22" s="370"/>
      <c r="I22" s="378"/>
      <c r="J22" s="370"/>
      <c r="K22" s="358"/>
    </row>
    <row r="23" spans="1:11" ht="15.75">
      <c r="A23" s="376"/>
      <c r="B23" s="370"/>
      <c r="C23" s="379"/>
      <c r="D23" s="370"/>
      <c r="E23" s="379"/>
      <c r="F23" s="370"/>
      <c r="G23" s="379"/>
      <c r="H23" s="370"/>
      <c r="I23" s="379"/>
      <c r="J23" s="370"/>
      <c r="K23" s="358"/>
    </row>
    <row r="24" spans="1:11" ht="15.75">
      <c r="A24" s="376"/>
      <c r="B24" s="370"/>
      <c r="C24" s="381"/>
      <c r="D24" s="370"/>
      <c r="E24" s="381"/>
      <c r="F24" s="370"/>
      <c r="G24" s="381"/>
      <c r="H24" s="370"/>
      <c r="I24" s="378"/>
      <c r="J24" s="370"/>
      <c r="K24" s="358"/>
    </row>
    <row r="25" spans="1:11" ht="15.75">
      <c r="A25" s="376"/>
      <c r="B25" s="370"/>
      <c r="C25" s="379"/>
      <c r="D25" s="370"/>
      <c r="E25" s="379"/>
      <c r="F25" s="370"/>
      <c r="G25" s="379"/>
      <c r="H25" s="370"/>
      <c r="I25" s="379"/>
      <c r="J25" s="370"/>
      <c r="K25" s="358"/>
    </row>
    <row r="26" spans="1:11" ht="15.75">
      <c r="A26" s="376"/>
      <c r="B26" s="370"/>
      <c r="C26" s="379"/>
      <c r="D26" s="370"/>
      <c r="E26" s="379"/>
      <c r="F26" s="370"/>
      <c r="G26" s="379"/>
      <c r="H26" s="370"/>
      <c r="I26" s="379"/>
      <c r="J26" s="370"/>
      <c r="K26" s="358"/>
    </row>
    <row r="27" spans="1:11" ht="15.75">
      <c r="A27" s="376"/>
      <c r="B27" s="370"/>
      <c r="C27" s="376"/>
      <c r="D27" s="370"/>
      <c r="E27" s="376"/>
      <c r="F27" s="370"/>
      <c r="G27" s="379"/>
      <c r="H27" s="370"/>
      <c r="I27" s="379"/>
      <c r="J27" s="370"/>
      <c r="K27" s="358"/>
    </row>
    <row r="28" spans="1:11" ht="15.75">
      <c r="A28" s="373" t="s">
        <v>171</v>
      </c>
      <c r="B28" s="372">
        <f>SUM(B20:B27)</f>
        <v>0</v>
      </c>
      <c r="C28" s="373" t="s">
        <v>171</v>
      </c>
      <c r="D28" s="372">
        <f>SUM(D20:D27)</f>
        <v>0</v>
      </c>
      <c r="E28" s="373" t="s">
        <v>171</v>
      </c>
      <c r="F28" s="447">
        <f>SUM(F20:F27)</f>
        <v>0</v>
      </c>
      <c r="G28" s="373" t="s">
        <v>171</v>
      </c>
      <c r="H28" s="447">
        <f>SUM(H20:H27)</f>
        <v>0</v>
      </c>
      <c r="I28" s="373" t="s">
        <v>171</v>
      </c>
      <c r="J28" s="372">
        <f>SUM(J20:J27)</f>
        <v>0</v>
      </c>
      <c r="K28" s="372">
        <f>SUM(B28+D28+F28+H28+J28)</f>
        <v>0</v>
      </c>
    </row>
    <row r="29" spans="1:12" ht="15.75">
      <c r="A29" s="373" t="s">
        <v>22</v>
      </c>
      <c r="B29" s="372">
        <f>B18-B28</f>
        <v>0</v>
      </c>
      <c r="C29" s="373" t="s">
        <v>22</v>
      </c>
      <c r="D29" s="372">
        <f>D18-D28</f>
        <v>0</v>
      </c>
      <c r="E29" s="373" t="s">
        <v>22</v>
      </c>
      <c r="F29" s="372">
        <f>F18-F28</f>
        <v>0</v>
      </c>
      <c r="G29" s="373" t="s">
        <v>22</v>
      </c>
      <c r="H29" s="372">
        <f>H18-H28</f>
        <v>0</v>
      </c>
      <c r="I29" s="373" t="s">
        <v>22</v>
      </c>
      <c r="J29" s="372">
        <f>J18-J28</f>
        <v>0</v>
      </c>
      <c r="K29" s="386">
        <f>SUM(B29+D29+F29+H29+J29)</f>
        <v>0</v>
      </c>
      <c r="L29" s="72" t="s">
        <v>63</v>
      </c>
    </row>
    <row r="30" spans="1:12" ht="15.75">
      <c r="A30" s="373"/>
      <c r="B30" s="413">
        <f>IF(B29&lt;0,"See Tab B","")</f>
      </c>
      <c r="C30" s="373"/>
      <c r="D30" s="413">
        <f>IF(D29&lt;0,"See Tab B","")</f>
      </c>
      <c r="E30" s="373"/>
      <c r="F30" s="413">
        <f>IF(F29&lt;0,"See Tab B","")</f>
      </c>
      <c r="G30" s="125"/>
      <c r="H30" s="413">
        <f>IF(H29&lt;0,"See Tab B","")</f>
      </c>
      <c r="I30" s="125"/>
      <c r="J30" s="413">
        <f>IF(J29&lt;0,"See Tab B","")</f>
      </c>
      <c r="K30" s="383">
        <f>SUM(K7+K17-K28)</f>
        <v>0</v>
      </c>
      <c r="L30" s="72" t="s">
        <v>63</v>
      </c>
    </row>
    <row r="31" spans="1:11" ht="15.75">
      <c r="A31" s="125"/>
      <c r="B31" s="384"/>
      <c r="C31" s="125"/>
      <c r="D31" s="358"/>
      <c r="E31" s="125"/>
      <c r="F31" s="125"/>
      <c r="G31" s="82" t="s">
        <v>64</v>
      </c>
      <c r="H31" s="82"/>
      <c r="I31" s="82"/>
      <c r="J31" s="82"/>
      <c r="K31" s="125"/>
    </row>
    <row r="32" spans="1:11" ht="15.75">
      <c r="A32" s="125"/>
      <c r="B32" s="384"/>
      <c r="C32" s="125"/>
      <c r="D32" s="125"/>
      <c r="E32" s="125"/>
      <c r="F32" s="125"/>
      <c r="G32" s="125"/>
      <c r="H32" s="125"/>
      <c r="I32" s="125"/>
      <c r="J32" s="125"/>
      <c r="K32" s="125"/>
    </row>
    <row r="33" spans="1:11" ht="15.75">
      <c r="A33" s="125"/>
      <c r="B33" s="384"/>
      <c r="C33" s="125"/>
      <c r="D33" s="125"/>
      <c r="E33" s="323" t="s">
        <v>194</v>
      </c>
      <c r="F33" s="350"/>
      <c r="G33" s="125"/>
      <c r="H33" s="125"/>
      <c r="I33" s="125"/>
      <c r="J33" s="125"/>
      <c r="K33" s="125"/>
    </row>
    <row r="34" ht="15.75">
      <c r="B34" s="385"/>
    </row>
    <row r="35" ht="15.75">
      <c r="B35" s="385"/>
    </row>
    <row r="36" ht="15.75">
      <c r="B36" s="385"/>
    </row>
    <row r="37" ht="15.75">
      <c r="B37" s="385"/>
    </row>
    <row r="38" ht="15.75">
      <c r="B38" s="385"/>
    </row>
    <row r="39" ht="15.75">
      <c r="B39" s="385"/>
    </row>
    <row r="40" ht="15.75">
      <c r="B40" s="385"/>
    </row>
    <row r="41" ht="15.75">
      <c r="B41" s="38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County</oddHeader>
  </headerFooter>
</worksheet>
</file>

<file path=xl/worksheets/sheet41.xml><?xml version="1.0" encoding="utf-8"?>
<worksheet xmlns="http://schemas.openxmlformats.org/spreadsheetml/2006/main" xmlns:r="http://schemas.openxmlformats.org/officeDocument/2006/relationships">
  <dimension ref="A1:A48"/>
  <sheetViews>
    <sheetView zoomScalePageLayoutView="0" workbookViewId="0" topLeftCell="A1">
      <selection activeCell="B7" sqref="B7"/>
    </sheetView>
  </sheetViews>
  <sheetFormatPr defaultColWidth="8.796875" defaultRowHeight="15"/>
  <cols>
    <col min="1" max="1" width="62.3984375" style="165" customWidth="1"/>
    <col min="2" max="16384" width="8.8984375" style="165" customWidth="1"/>
  </cols>
  <sheetData>
    <row r="1" ht="18.75">
      <c r="A1" s="411" t="s">
        <v>371</v>
      </c>
    </row>
    <row r="2" ht="15.75">
      <c r="A2" s="72"/>
    </row>
    <row r="3" ht="54.75" customHeight="1">
      <c r="A3" s="412" t="s">
        <v>372</v>
      </c>
    </row>
    <row r="4" ht="15.75">
      <c r="A4" s="538"/>
    </row>
    <row r="5" ht="51" customHeight="1">
      <c r="A5" s="412" t="s">
        <v>373</v>
      </c>
    </row>
    <row r="6" ht="15.75">
      <c r="A6" s="72"/>
    </row>
    <row r="7" ht="51.75" customHeight="1">
      <c r="A7" s="412" t="s">
        <v>374</v>
      </c>
    </row>
    <row r="8" ht="13.5" customHeight="1">
      <c r="A8" s="412"/>
    </row>
    <row r="9" ht="51.75" customHeight="1">
      <c r="A9" s="487" t="s">
        <v>793</v>
      </c>
    </row>
    <row r="10" ht="15.75">
      <c r="A10" s="538"/>
    </row>
    <row r="11" ht="36" customHeight="1">
      <c r="A11" s="412" t="s">
        <v>375</v>
      </c>
    </row>
    <row r="12" ht="15.75">
      <c r="A12" s="72"/>
    </row>
    <row r="13" ht="51.75" customHeight="1">
      <c r="A13" s="412" t="s">
        <v>376</v>
      </c>
    </row>
    <row r="14" ht="15.75">
      <c r="A14" s="538"/>
    </row>
    <row r="15" ht="33" customHeight="1">
      <c r="A15" s="412" t="s">
        <v>377</v>
      </c>
    </row>
    <row r="16" ht="15.75">
      <c r="A16" s="538"/>
    </row>
    <row r="17" ht="32.25" customHeight="1">
      <c r="A17" s="412" t="s">
        <v>378</v>
      </c>
    </row>
    <row r="18" ht="15.75">
      <c r="A18" s="538"/>
    </row>
    <row r="19" ht="53.25" customHeight="1">
      <c r="A19" s="412" t="s">
        <v>379</v>
      </c>
    </row>
    <row r="20" ht="15.75">
      <c r="A20" s="72"/>
    </row>
    <row r="21" ht="50.25" customHeight="1">
      <c r="A21" s="412" t="s">
        <v>380</v>
      </c>
    </row>
    <row r="22" ht="15.75">
      <c r="A22" s="72"/>
    </row>
    <row r="23" ht="15.75">
      <c r="A23" s="72"/>
    </row>
    <row r="24" ht="96" customHeight="1">
      <c r="A24" s="412" t="s">
        <v>381</v>
      </c>
    </row>
    <row r="25" ht="15.75">
      <c r="A25" s="72"/>
    </row>
    <row r="26" ht="30.75" customHeight="1">
      <c r="A26" s="75" t="s">
        <v>382</v>
      </c>
    </row>
    <row r="27" ht="15.75">
      <c r="A27" s="72"/>
    </row>
    <row r="28" ht="95.25" customHeight="1">
      <c r="A28" s="489" t="s">
        <v>794</v>
      </c>
    </row>
    <row r="29" ht="15.75">
      <c r="A29" s="72"/>
    </row>
    <row r="30" ht="34.5" customHeight="1">
      <c r="A30" s="412" t="s">
        <v>383</v>
      </c>
    </row>
    <row r="31" ht="15.75">
      <c r="A31" s="72"/>
    </row>
    <row r="32" ht="66" customHeight="1">
      <c r="A32" s="412" t="s">
        <v>384</v>
      </c>
    </row>
    <row r="33" ht="15.75">
      <c r="A33" s="538"/>
    </row>
    <row r="34" ht="57" customHeight="1">
      <c r="A34" s="412" t="s">
        <v>385</v>
      </c>
    </row>
    <row r="35" ht="15.75">
      <c r="A35" s="72"/>
    </row>
    <row r="36" ht="49.5" customHeight="1">
      <c r="A36" s="412" t="s">
        <v>386</v>
      </c>
    </row>
    <row r="37" ht="15.75">
      <c r="A37" s="72"/>
    </row>
    <row r="38" ht="74.25" customHeight="1">
      <c r="A38" s="489" t="s">
        <v>795</v>
      </c>
    </row>
    <row r="39" ht="15.75">
      <c r="A39" s="72"/>
    </row>
    <row r="40" ht="55.5" customHeight="1">
      <c r="A40" s="412" t="s">
        <v>387</v>
      </c>
    </row>
    <row r="41" ht="15.75">
      <c r="A41" s="72"/>
    </row>
    <row r="42" ht="53.25" customHeight="1">
      <c r="A42" s="412" t="s">
        <v>388</v>
      </c>
    </row>
    <row r="43" ht="15.75">
      <c r="A43" s="538"/>
    </row>
    <row r="44" ht="47.25" customHeight="1">
      <c r="A44" s="412" t="s">
        <v>389</v>
      </c>
    </row>
    <row r="45" ht="15.75">
      <c r="A45" s="538"/>
    </row>
    <row r="46" ht="49.5" customHeight="1">
      <c r="A46" s="412" t="s">
        <v>390</v>
      </c>
    </row>
    <row r="47" ht="15.75">
      <c r="A47" s="538"/>
    </row>
    <row r="48" ht="36" customHeight="1">
      <c r="A48" s="412" t="s">
        <v>391</v>
      </c>
    </row>
  </sheetData>
  <sheetProtection sheet="1"/>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E78" sqref="E78"/>
    </sheetView>
  </sheetViews>
  <sheetFormatPr defaultColWidth="8.796875" defaultRowHeight="15"/>
  <cols>
    <col min="1" max="1" width="17.796875" style="72" customWidth="1"/>
    <col min="2" max="2" width="15.69921875" style="72" customWidth="1"/>
    <col min="3" max="3" width="9.3984375" style="72" customWidth="1"/>
    <col min="4" max="4" width="16.796875" style="72" customWidth="1"/>
    <col min="5" max="5" width="9.796875" style="72" customWidth="1"/>
    <col min="6" max="6" width="15.796875" style="72" customWidth="1"/>
    <col min="7" max="7" width="13.69921875" style="72" customWidth="1"/>
    <col min="8" max="8" width="9.796875" style="72" customWidth="1"/>
    <col min="9" max="9" width="8.8984375" style="72" customWidth="1"/>
    <col min="10" max="10" width="12.3984375" style="72" customWidth="1"/>
    <col min="11" max="11" width="12.296875" style="72" customWidth="1"/>
    <col min="12" max="12" width="10.59765625" style="72" customWidth="1"/>
    <col min="13" max="13" width="12.09765625" style="72" customWidth="1"/>
    <col min="14" max="16384" width="8.8984375" style="72" customWidth="1"/>
  </cols>
  <sheetData>
    <row r="1" spans="1:8" ht="15.75">
      <c r="A1" s="85"/>
      <c r="B1" s="85"/>
      <c r="C1" s="85"/>
      <c r="D1" s="85"/>
      <c r="E1" s="85"/>
      <c r="F1" s="85"/>
      <c r="G1" s="85"/>
      <c r="H1" s="287">
        <f>inputPrYr!C4</f>
        <v>2013</v>
      </c>
    </row>
    <row r="2" spans="1:9" ht="15.75">
      <c r="A2" s="732" t="s">
        <v>236</v>
      </c>
      <c r="B2" s="732"/>
      <c r="C2" s="732"/>
      <c r="D2" s="732"/>
      <c r="E2" s="732"/>
      <c r="F2" s="732"/>
      <c r="G2" s="732"/>
      <c r="H2" s="732"/>
      <c r="I2" s="387"/>
    </row>
    <row r="3" spans="1:8" ht="15.75">
      <c r="A3" s="85"/>
      <c r="B3" s="85"/>
      <c r="C3" s="85"/>
      <c r="D3" s="85"/>
      <c r="E3" s="85"/>
      <c r="F3" s="85"/>
      <c r="G3" s="85"/>
      <c r="H3" s="85"/>
    </row>
    <row r="4" spans="1:8" ht="15.75">
      <c r="A4" s="788" t="s">
        <v>267</v>
      </c>
      <c r="B4" s="788"/>
      <c r="C4" s="788"/>
      <c r="D4" s="788"/>
      <c r="E4" s="788"/>
      <c r="F4" s="788"/>
      <c r="G4" s="788"/>
      <c r="H4" s="788"/>
    </row>
    <row r="5" spans="1:8" ht="15.75">
      <c r="A5" s="794" t="str">
        <f>inputPrYr!C2</f>
        <v>Rice County</v>
      </c>
      <c r="B5" s="794"/>
      <c r="C5" s="794"/>
      <c r="D5" s="794"/>
      <c r="E5" s="794"/>
      <c r="F5" s="794"/>
      <c r="G5" s="794"/>
      <c r="H5" s="794"/>
    </row>
    <row r="6" spans="1:8" ht="15.75">
      <c r="A6" s="795" t="str">
        <f>CONCATENATE("will meet on ",inputBudSum!B5," at ",inputBudSum!B7," at ",inputBudSum!B9," for the purpose of hearing and")</f>
        <v>will meet on August 13, 2012 at 10:00 a.m. at Commissioners Room at the Courthouse for the purpose of hearing and</v>
      </c>
      <c r="B6" s="795"/>
      <c r="C6" s="795"/>
      <c r="D6" s="795"/>
      <c r="E6" s="795"/>
      <c r="F6" s="795"/>
      <c r="G6" s="795"/>
      <c r="H6" s="795"/>
    </row>
    <row r="7" spans="1:8" ht="15.75">
      <c r="A7" s="788" t="s">
        <v>656</v>
      </c>
      <c r="B7" s="788"/>
      <c r="C7" s="788"/>
      <c r="D7" s="788"/>
      <c r="E7" s="788"/>
      <c r="F7" s="788"/>
      <c r="G7" s="788"/>
      <c r="H7" s="788"/>
    </row>
    <row r="8" spans="1:8" ht="15.75">
      <c r="A8" s="795" t="str">
        <f>CONCATENATE("Detailed budget information is available at ",inputBudSum!B12," and will be available at this hearing.")</f>
        <v>Detailed budget information is available at the Rice County Clerks Office and will be available at this hearing.</v>
      </c>
      <c r="B8" s="795"/>
      <c r="C8" s="795"/>
      <c r="D8" s="795"/>
      <c r="E8" s="795"/>
      <c r="F8" s="795"/>
      <c r="G8" s="795"/>
      <c r="H8" s="795"/>
    </row>
    <row r="9" spans="1:8" ht="15.75">
      <c r="A9" s="92" t="s">
        <v>237</v>
      </c>
      <c r="B9" s="93"/>
      <c r="C9" s="93"/>
      <c r="D9" s="211"/>
      <c r="E9" s="93"/>
      <c r="F9" s="93"/>
      <c r="G9" s="93"/>
      <c r="H9" s="93"/>
    </row>
    <row r="10" spans="1:8" ht="15.75">
      <c r="A10" s="788" t="str">
        <f>CONCATENATE("Proposed Budget ",H1," Expenditures and Amount of ",H1-1," Ad Valorem Tax establish the maximum limits of the ",H1," budget.")</f>
        <v>Proposed Budget 2013 Expenditures and Amount of 2012 Ad Valorem Tax establish the maximum limits of the 2013 budget.</v>
      </c>
      <c r="B10" s="788"/>
      <c r="C10" s="788"/>
      <c r="D10" s="788"/>
      <c r="E10" s="788"/>
      <c r="F10" s="788"/>
      <c r="G10" s="788"/>
      <c r="H10" s="788"/>
    </row>
    <row r="11" spans="1:8" ht="15.75">
      <c r="A11" s="788" t="s">
        <v>292</v>
      </c>
      <c r="B11" s="788"/>
      <c r="C11" s="788"/>
      <c r="D11" s="788"/>
      <c r="E11" s="788"/>
      <c r="F11" s="788"/>
      <c r="G11" s="788"/>
      <c r="H11" s="788"/>
    </row>
    <row r="12" spans="1:9" ht="15.75">
      <c r="A12" s="85"/>
      <c r="B12" s="85"/>
      <c r="C12" s="85"/>
      <c r="D12" s="85"/>
      <c r="E12" s="85"/>
      <c r="F12" s="85"/>
      <c r="G12" s="85"/>
      <c r="H12" s="85"/>
      <c r="I12" s="143"/>
    </row>
    <row r="13" spans="1:8" ht="15.75">
      <c r="A13" s="85"/>
      <c r="B13" s="388" t="str">
        <f>CONCATENATE("Prior Year Actual for ",H1-2,"")</f>
        <v>Prior Year Actual for 2011</v>
      </c>
      <c r="C13" s="214"/>
      <c r="D13" s="389" t="str">
        <f>CONCATENATE("Current Year Estimate for ",H1-1,"")</f>
        <v>Current Year Estimate for 2012</v>
      </c>
      <c r="E13" s="214"/>
      <c r="F13" s="212" t="str">
        <f>CONCATENATE("Proposed Budget Year for ",H1,"")</f>
        <v>Proposed Budget Year for 2013</v>
      </c>
      <c r="G13" s="213"/>
      <c r="H13" s="214"/>
    </row>
    <row r="14" spans="1:8" ht="18.75" customHeight="1">
      <c r="A14" s="84"/>
      <c r="B14" s="324"/>
      <c r="C14" s="215" t="s">
        <v>196</v>
      </c>
      <c r="D14" s="215"/>
      <c r="E14" s="215" t="s">
        <v>196</v>
      </c>
      <c r="F14" s="514" t="s">
        <v>677</v>
      </c>
      <c r="G14" s="759" t="str">
        <f>CONCATENATE("Amount of ",H1-1,"       Ad Valorem Tax")</f>
        <v>Amount of 2012       Ad Valorem Tax</v>
      </c>
      <c r="H14" s="215" t="s">
        <v>197</v>
      </c>
    </row>
    <row r="15" spans="1:8" ht="15.75">
      <c r="A15" s="113" t="s">
        <v>198</v>
      </c>
      <c r="B15" s="264" t="s">
        <v>141</v>
      </c>
      <c r="C15" s="264" t="s">
        <v>199</v>
      </c>
      <c r="D15" s="264" t="s">
        <v>141</v>
      </c>
      <c r="E15" s="264" t="s">
        <v>199</v>
      </c>
      <c r="F15" s="515" t="s">
        <v>678</v>
      </c>
      <c r="G15" s="739"/>
      <c r="H15" s="264" t="s">
        <v>199</v>
      </c>
    </row>
    <row r="16" spans="1:8" ht="15.75">
      <c r="A16" s="127" t="str">
        <f>inputPrYr!B16</f>
        <v>General</v>
      </c>
      <c r="B16" s="127">
        <f>IF(general!$C$113&lt;&gt;0,general!$C$113,"  ")</f>
        <v>3835798</v>
      </c>
      <c r="C16" s="390">
        <f>IF(inputPrYr!D90&lt;&gt;0,inputPrYr!D90,"  ")</f>
        <v>22.864</v>
      </c>
      <c r="D16" s="127">
        <f>IF(general!$D$113&lt;&gt;0,general!$D$113,"  ")</f>
        <v>4617952</v>
      </c>
      <c r="E16" s="390">
        <f>IF(inputPrYr!F16&lt;&gt;0,inputPrYr!F16,"  ")</f>
        <v>26.986</v>
      </c>
      <c r="F16" s="127">
        <f>IF(general!$E$113&lt;&gt;0,general!$E$113,"  ")</f>
        <v>4959306</v>
      </c>
      <c r="G16" s="127">
        <f>IF(general!$E$120&lt;&gt;0,general!$E$120,"  ")</f>
        <v>2426914.84</v>
      </c>
      <c r="H16" s="390">
        <f>IF(general!E120&lt;&gt;0,ROUND(G16/$F$65*1000,3),"  ")</f>
        <v>19.438</v>
      </c>
    </row>
    <row r="17" spans="1:8" ht="15.75">
      <c r="A17" s="127" t="str">
        <f>inputPrYr!B17</f>
        <v>Debt Service</v>
      </c>
      <c r="B17" s="127" t="str">
        <f>IF(DebtService!$C$50&lt;&gt;0,DebtService!$C$50,"  ")</f>
        <v>  </v>
      </c>
      <c r="C17" s="390" t="str">
        <f>IF(inputPrYr!D91&lt;&gt;0,inputPrYr!D91,"  ")</f>
        <v>  </v>
      </c>
      <c r="D17" s="127">
        <f>IF(DebtService!$D$50&lt;&gt;0,DebtService!$D$50,"  ")</f>
        <v>81543</v>
      </c>
      <c r="E17" s="390" t="str">
        <f>IF(inputPrYr!F17&lt;&gt;0,inputPrYr!F17,"  ")</f>
        <v>  </v>
      </c>
      <c r="F17" s="127">
        <f>IF(DebtService!$E$50&lt;&gt;0,DebtService!$E$50,"  ")</f>
        <v>1120</v>
      </c>
      <c r="G17" s="127" t="str">
        <f>IF(DebtService!$E$57&lt;&gt;0,DebtService!$E$57,"  ")</f>
        <v>  </v>
      </c>
      <c r="H17" s="390" t="str">
        <f>IF(DebtService!E57&lt;&gt;0,ROUND(G17/$F$65*1000,3),"  ")</f>
        <v>  </v>
      </c>
    </row>
    <row r="18" spans="1:8" ht="15.75">
      <c r="A18" s="127" t="str">
        <f>inputPrYr!B18</f>
        <v>Road &amp; Bridge</v>
      </c>
      <c r="B18" s="127">
        <f>IF(road!$C$111&lt;&gt;0,road!$C$111,"  ")</f>
        <v>1693357</v>
      </c>
      <c r="C18" s="390">
        <f>IF(inputPrYr!D92&lt;&gt;0,inputPrYr!D92,"  ")</f>
        <v>3.891</v>
      </c>
      <c r="D18" s="127">
        <f>IF(road!$D$111&lt;&gt;0,road!$D$111,"  ")</f>
        <v>1525662</v>
      </c>
      <c r="E18" s="390">
        <f>IF(inputPrYr!F18&lt;&gt;0,inputPrYr!F18,"  ")</f>
        <v>1.988</v>
      </c>
      <c r="F18" s="127">
        <f>IF(road!$E$111&lt;&gt;0,road!$E$111,"  ")</f>
        <v>1985837</v>
      </c>
      <c r="G18" s="127">
        <f>IF(road!$E$118&lt;&gt;0,road!$E$118,"  ")</f>
        <v>690896.19</v>
      </c>
      <c r="H18" s="390">
        <f>IF(road!E118&lt;&gt;0,ROUND(G18/$F$65*1000,3),"  ")</f>
        <v>5.534</v>
      </c>
    </row>
    <row r="19" spans="1:8" ht="15.75">
      <c r="A19" s="127" t="str">
        <f>IF((inputPrYr!$B19&gt;" "),(inputPrYr!$B19),"  ")</f>
        <v>Employee Benefits</v>
      </c>
      <c r="B19" s="127">
        <f>IF('levy page10'!$C$33&lt;&gt;0,'levy page10'!$C$33,"  ")</f>
        <v>1325505</v>
      </c>
      <c r="C19" s="390">
        <f>IF(inputPrYr!D93&lt;&gt;0,inputPrYr!D93,"  ")</f>
        <v>9.061</v>
      </c>
      <c r="D19" s="127">
        <f>IF('levy page10'!$D$33&lt;&gt;0,'levy page10'!$D$33,"  ")</f>
        <v>1308501</v>
      </c>
      <c r="E19" s="390">
        <f>IF(inputPrYr!F19&lt;&gt;0,inputPrYr!F19,"  ")</f>
        <v>8.94</v>
      </c>
      <c r="F19" s="127">
        <f>IF('levy page10'!$E$33&lt;&gt;0,'levy page10'!$E$33,"  ")</f>
        <v>1449697</v>
      </c>
      <c r="G19" s="127">
        <f>IF('levy page10'!$E$40&lt;&gt;0,'levy page10'!$E$40,"  ")</f>
        <v>1401159</v>
      </c>
      <c r="H19" s="390">
        <f>IF('levy page10'!E40&lt;&gt;0,ROUND(G19/$F$65*1000,3),"  ")</f>
        <v>11.222</v>
      </c>
    </row>
    <row r="20" spans="1:8" ht="15.75">
      <c r="A20" s="127" t="str">
        <f>IF((inputPrYr!$B20&gt;" "),(inputPrYr!$B20),"  ")</f>
        <v>Emergency Medical Services</v>
      </c>
      <c r="B20" s="127">
        <f>IF('levy page10'!$C$73&lt;&gt;0,'levy page10'!$C$73,"  ")</f>
        <v>438391</v>
      </c>
      <c r="C20" s="390">
        <f>IF(inputPrYr!D94&lt;&gt;0,inputPrYr!D94,"  ")</f>
        <v>1.411</v>
      </c>
      <c r="D20" s="127">
        <f>IF('levy page10'!$D$73&lt;&gt;0,'levy page10'!$D$73,"  ")</f>
        <v>420939</v>
      </c>
      <c r="E20" s="390">
        <f>IF(inputPrYr!F20&lt;&gt;0,inputPrYr!F20,"  ")</f>
        <v>1.518</v>
      </c>
      <c r="F20" s="127">
        <f>IF('levy page10'!$E$73&lt;&gt;0,'levy page10'!$E$73,"  ")</f>
        <v>540023</v>
      </c>
      <c r="G20" s="127">
        <f>IF('levy page10'!$E$80&lt;&gt;0,'levy page10'!$E$80,"  ")</f>
        <v>168007</v>
      </c>
      <c r="H20" s="390">
        <f>IF('levy page10'!E80&lt;&gt;0,ROUND(G20/$F$65*1000,3),"  ")</f>
        <v>1.346</v>
      </c>
    </row>
    <row r="21" spans="1:8" ht="15.75">
      <c r="A21" s="127" t="str">
        <f>IF((inputPrYr!$B21&gt;" "),(inputPrYr!$B21),"  ")</f>
        <v>Noxious Weed</v>
      </c>
      <c r="B21" s="127">
        <f>IF('levy page11'!$C$33&lt;&gt;0,'levy page11'!$C$33,"  ")</f>
        <v>263941</v>
      </c>
      <c r="C21" s="390">
        <f>IF(inputPrYr!D95&lt;&gt;0,inputPrYr!D95,"  ")</f>
        <v>1.071</v>
      </c>
      <c r="D21" s="127">
        <f>IF('levy page11'!$D$33&lt;&gt;0,'levy page11'!$D$33,"  ")</f>
        <v>268392</v>
      </c>
      <c r="E21" s="390">
        <f>IF(inputPrYr!F21&lt;&gt;0,inputPrYr!F21,"  ")</f>
        <v>1.361</v>
      </c>
      <c r="F21" s="127">
        <f>IF('levy page11'!$E$33&lt;&gt;0,'levy page11'!$E$33,"  ")</f>
        <v>281981</v>
      </c>
      <c r="G21" s="127">
        <f>IF('levy page11'!$E$40&lt;&gt;0,'levy page11'!$E$40,"  ")</f>
        <v>173204</v>
      </c>
      <c r="H21" s="390">
        <f>IF('levy page11'!$E$40&lt;&gt;0,ROUND(G21/$F$65*1000,3),"  ")</f>
        <v>1.387</v>
      </c>
    </row>
    <row r="22" spans="1:8" ht="15.75">
      <c r="A22" s="127" t="str">
        <f>IF((inputPrYr!$B22&gt;" "),(inputPrYr!$B22),"  ")</f>
        <v>Health</v>
      </c>
      <c r="B22" s="127">
        <f>IF('levy page11'!$C$73&lt;&gt;0,'levy page11'!$C$73,"  ")</f>
        <v>209181</v>
      </c>
      <c r="C22" s="390">
        <f>IF(inputPrYr!D96&lt;&gt;0,inputPrYr!D96,"  ")</f>
        <v>0.745</v>
      </c>
      <c r="D22" s="127">
        <f>IF('levy page11'!$D$73&lt;&gt;0,'levy page11'!$D$73,"  ")</f>
        <v>206847</v>
      </c>
      <c r="E22" s="390">
        <f>IF(inputPrYr!F22&lt;&gt;0,inputPrYr!F22,"  ")</f>
        <v>0.309</v>
      </c>
      <c r="F22" s="127">
        <f>IF('levy page11'!$E$73&lt;&gt;0,'levy page11'!$E$73,"  ")</f>
        <v>260006</v>
      </c>
      <c r="G22" s="127">
        <f>IF('levy page11'!$E$80&lt;&gt;0,'levy page11'!$E$80,"  ")</f>
        <v>111916</v>
      </c>
      <c r="H22" s="390">
        <f>IF('levy page11'!$E$80&lt;&gt;0,ROUND(G22/$F$65*1000,3),"  ")</f>
        <v>0.896</v>
      </c>
    </row>
    <row r="23" spans="1:8" ht="15.75">
      <c r="A23" s="127" t="str">
        <f>IF((inputPrYr!$B23&gt;" "),(inputPrYr!$B23),"  ")</f>
        <v>Historical Society</v>
      </c>
      <c r="B23" s="127">
        <f>IF('levy page12'!$C$33&lt;&gt;0,'levy page12'!$C$33,"  ")</f>
        <v>103685</v>
      </c>
      <c r="C23" s="390">
        <f>IF(inputPrYr!D97&lt;&gt;0,inputPrYr!D97,"  ")</f>
        <v>0.809</v>
      </c>
      <c r="D23" s="127">
        <f>IF('levy page12'!$D$33&lt;&gt;0,'levy page12'!$D$33,"  ")</f>
        <v>115000</v>
      </c>
      <c r="E23" s="390">
        <f>IF(inputPrYr!F23&lt;&gt;0,inputPrYr!F23,"  ")</f>
        <v>0.913</v>
      </c>
      <c r="F23" s="127">
        <f>IF('levy page12'!$E$33&lt;&gt;0,'levy page12'!$E$33,"  ")</f>
        <v>132554</v>
      </c>
      <c r="G23" s="127">
        <f>IF('levy page12'!$E$40&lt;&gt;0,'levy page12'!$E$40,"  ")</f>
        <v>124804</v>
      </c>
      <c r="H23" s="390">
        <f>IF('levy page12'!$E$40&lt;&gt;0,ROUND(G23/$F$65*1000,3),"  ")</f>
        <v>1</v>
      </c>
    </row>
    <row r="24" spans="1:8" ht="15.75">
      <c r="A24" s="127" t="str">
        <f>IF((inputPrYr!$B24&gt;" "),(inputPrYr!$B24),"  ")</f>
        <v>Senior Citizens</v>
      </c>
      <c r="B24" s="127">
        <f>IF('levy page12'!$C$73&lt;&gt;0,'levy page12'!$C$73,"  ")</f>
        <v>249959</v>
      </c>
      <c r="C24" s="390">
        <f>IF(inputPrYr!D98&lt;&gt;0,inputPrYr!D98,"  ")</f>
        <v>1.998</v>
      </c>
      <c r="D24" s="127">
        <f>IF('levy page12'!$D$73&lt;&gt;0,'levy page12'!$D$73,"  ")</f>
        <v>251117</v>
      </c>
      <c r="E24" s="390">
        <f>IF(inputPrYr!F24&lt;&gt;0,inputPrYr!F24,"  ")</f>
        <v>1.92</v>
      </c>
      <c r="F24" s="127">
        <f>IF('levy page12'!$E$73&lt;&gt;0,'levy page12'!$E$73,"  ")</f>
        <v>256566</v>
      </c>
      <c r="G24" s="127">
        <f>IF('levy page12'!$E$80&lt;&gt;0,'levy page12'!$E$80,"  ")</f>
        <v>241953</v>
      </c>
      <c r="H24" s="390">
        <f>IF('levy page12'!$E$80&lt;&gt;0,ROUND(G24/$F$65*1000,3),"  ")</f>
        <v>1.938</v>
      </c>
    </row>
    <row r="25" spans="1:8" ht="15.75">
      <c r="A25" s="127" t="str">
        <f>IF((inputPrYr!$B25&gt;" "),(inputPrYr!$B25),"  ")</f>
        <v>  </v>
      </c>
      <c r="B25" s="127" t="str">
        <f>IF('levy page13'!$C$33&lt;&gt;0,'levy page13'!$C$33,"  ")</f>
        <v>  </v>
      </c>
      <c r="C25" s="390" t="str">
        <f>IF(inputPrYr!D99&lt;&gt;0,inputPrYr!D99,"  ")</f>
        <v>  </v>
      </c>
      <c r="D25" s="127" t="str">
        <f>IF('levy page13'!$D$33&lt;&gt;0,'levy page13'!$D$33,"  ")</f>
        <v>  </v>
      </c>
      <c r="E25" s="390" t="str">
        <f>IF(inputPrYr!F25&lt;&gt;0,inputPrYr!F25,"  ")</f>
        <v>  </v>
      </c>
      <c r="F25" s="127" t="str">
        <f>IF('levy page13'!$E$33&lt;&gt;0,'levy page13'!$E$33,"  ")</f>
        <v>  </v>
      </c>
      <c r="G25" s="127" t="str">
        <f>IF('levy page13'!$E$40&lt;&gt;0,'levy page13'!$E$40,"  ")</f>
        <v>  </v>
      </c>
      <c r="H25" s="390" t="str">
        <f>IF('levy page13'!$E$40&lt;&gt;0,ROUND(G25/$F$65*1000,3),"  ")</f>
        <v>  </v>
      </c>
    </row>
    <row r="26" spans="1:8" ht="15.75">
      <c r="A26" s="127" t="str">
        <f>IF((inputPrYr!$B26&gt;" "),(inputPrYr!$B26),"  ")</f>
        <v>  </v>
      </c>
      <c r="B26" s="127" t="str">
        <f>IF('levy page13'!$C$73&lt;&gt;0,'levy page13'!$C$73,"  ")</f>
        <v>  </v>
      </c>
      <c r="C26" s="390" t="str">
        <f>IF(inputPrYr!D100&lt;&gt;0,inputPrYr!D100,"  ")</f>
        <v>  </v>
      </c>
      <c r="D26" s="127" t="str">
        <f>IF('levy page13'!$D$73&lt;&gt;0,'levy page13'!$D$73,"  ")</f>
        <v>  </v>
      </c>
      <c r="E26" s="390" t="str">
        <f>IF(inputPrYr!F26&lt;&gt;0,inputPrYr!F26,"  ")</f>
        <v>  </v>
      </c>
      <c r="F26" s="127" t="str">
        <f>IF('levy page13'!$E$73&lt;&gt;0,'levy page13'!$E$73,"  ")</f>
        <v>  </v>
      </c>
      <c r="G26" s="127" t="str">
        <f>IF('levy page13'!$E$80&lt;&gt;0,'levy page13'!$E$80,"  ")</f>
        <v>  </v>
      </c>
      <c r="H26" s="390" t="str">
        <f>IF('levy page13'!$E$80&lt;&gt;0,ROUND(G26/$F$65*1000,3),"  ")</f>
        <v>  </v>
      </c>
    </row>
    <row r="27" spans="1:8" ht="15.75">
      <c r="A27" s="127" t="str">
        <f>IF((inputPrYr!$B27&gt;" "),(inputPrYr!$B27),"  ")</f>
        <v>  </v>
      </c>
      <c r="B27" s="127" t="str">
        <f>IF('levy page14'!$C$33&lt;&gt;0,'levy page14'!$C$33,"  ")</f>
        <v>  </v>
      </c>
      <c r="C27" s="390" t="str">
        <f>IF(inputPrYr!D101&lt;&gt;0,inputPrYr!D101,"  ")</f>
        <v>  </v>
      </c>
      <c r="D27" s="127" t="str">
        <f>IF('levy page14'!$D$33&lt;&gt;0,'levy page14'!$D$33,"  ")</f>
        <v>  </v>
      </c>
      <c r="E27" s="390" t="str">
        <f>IF(inputPrYr!F27&lt;&gt;0,inputPrYr!F27,"  ")</f>
        <v>  </v>
      </c>
      <c r="F27" s="127" t="str">
        <f>IF('levy page14'!$E$33&lt;&gt;0,'levy page14'!$E$33,"  ")</f>
        <v>  </v>
      </c>
      <c r="G27" s="127" t="str">
        <f>IF('levy page14'!$E$40&lt;&gt;0,'levy page14'!$E$40,"  ")</f>
        <v>  </v>
      </c>
      <c r="H27" s="390" t="str">
        <f>IF('levy page14'!$E$40&lt;&gt;0,ROUND(G27/$F$65*1000,3),"  ")</f>
        <v>  </v>
      </c>
    </row>
    <row r="28" spans="1:8" ht="15.75">
      <c r="A28" s="127" t="str">
        <f>IF((inputPrYr!$B28&gt;" "),(inputPrYr!$B28),"  ")</f>
        <v>  </v>
      </c>
      <c r="B28" s="127" t="str">
        <f>IF('levy page14'!$C$73&lt;&gt;0,'levy page14'!$C$73,"  ")</f>
        <v>  </v>
      </c>
      <c r="C28" s="390" t="str">
        <f>IF(inputPrYr!D102&lt;&gt;0,inputPrYr!D102,"  ")</f>
        <v>  </v>
      </c>
      <c r="D28" s="127" t="str">
        <f>IF('levy page14'!$D$73&lt;&gt;0,'levy page14'!$D$73,"  ")</f>
        <v>  </v>
      </c>
      <c r="E28" s="390" t="str">
        <f>IF(inputPrYr!F28&lt;&gt;0,inputPrYr!F28,"  ")</f>
        <v>  </v>
      </c>
      <c r="F28" s="127" t="str">
        <f>IF('levy page14'!$E$73&lt;&gt;0,'levy page14'!$E$73,"  ")</f>
        <v>  </v>
      </c>
      <c r="G28" s="127" t="str">
        <f>IF('levy page14'!$E$80&lt;&gt;0,'levy page14'!$E$80,"  ")</f>
        <v>  </v>
      </c>
      <c r="H28" s="390" t="str">
        <f>IF('levy page14'!$E$80&lt;&gt;0,ROUND(G28/$F$65*1000,3),"  ")</f>
        <v>  </v>
      </c>
    </row>
    <row r="29" spans="1:8" ht="15.75">
      <c r="A29" s="127" t="str">
        <f>IF((inputPrYr!$B29&gt;" "),(inputPrYr!$B29),"  ")</f>
        <v>  </v>
      </c>
      <c r="B29" s="127" t="str">
        <f>IF('levy page15'!$C$33&lt;&gt;0,'levy page15'!$C$33,"  ")</f>
        <v>  </v>
      </c>
      <c r="C29" s="390" t="str">
        <f>IF(inputPrYr!D103&lt;&gt;0,inputPrYr!D103,"  ")</f>
        <v>  </v>
      </c>
      <c r="D29" s="127" t="str">
        <f>IF('levy page15'!$D$33&lt;&gt;0,'levy page15'!$D$33,"  ")</f>
        <v>  </v>
      </c>
      <c r="E29" s="390" t="str">
        <f>IF(inputPrYr!F29&lt;&gt;0,inputPrYr!F29,"  ")</f>
        <v>  </v>
      </c>
      <c r="F29" s="127" t="str">
        <f>IF('levy page15'!$E$33&lt;&gt;0,'levy page15'!$E$33,"  ")</f>
        <v>  </v>
      </c>
      <c r="G29" s="127" t="str">
        <f>IF('levy page15'!$E$40&lt;&gt;0,'levy page15'!$E$40,"  ")</f>
        <v>  </v>
      </c>
      <c r="H29" s="390" t="str">
        <f>IF('levy page15'!$E$40&lt;&gt;0,ROUND(G29/$F$65*1000,3),"  ")</f>
        <v>  </v>
      </c>
    </row>
    <row r="30" spans="1:8" ht="15.75">
      <c r="A30" s="127" t="str">
        <f>IF((inputPrYr!$B30&gt;" "),(inputPrYr!$B30),"  ")</f>
        <v>  </v>
      </c>
      <c r="B30" s="127" t="str">
        <f>IF('levy page15'!$C$73&lt;&gt;0,'levy page15'!$C$73,"  ")</f>
        <v>  </v>
      </c>
      <c r="C30" s="390" t="str">
        <f>IF(inputPrYr!D104&lt;&gt;0,inputPrYr!D104,"  ")</f>
        <v>  </v>
      </c>
      <c r="D30" s="127" t="str">
        <f>IF('levy page15'!$D$73&lt;&gt;0,'levy page15'!$D$73,"  ")</f>
        <v>  </v>
      </c>
      <c r="E30" s="390" t="str">
        <f>IF(inputPrYr!F30&lt;&gt;0,inputPrYr!F30,"  ")</f>
        <v>  </v>
      </c>
      <c r="F30" s="127" t="str">
        <f>IF('levy page15'!$E$73&lt;&gt;0,'levy page15'!$E$73,"  ")</f>
        <v>  </v>
      </c>
      <c r="G30" s="127" t="str">
        <f>IF('levy page15'!$E$80&lt;&gt;0,'levy page15'!$E$80,"  ")</f>
        <v>  </v>
      </c>
      <c r="H30" s="390" t="str">
        <f>IF('levy page15'!$E$80&lt;&gt;0,ROUND(G30/$F$65*1000,3),"  ")</f>
        <v>  </v>
      </c>
    </row>
    <row r="31" spans="1:8" ht="15.75">
      <c r="A31" s="127" t="str">
        <f>IF((inputPrYr!$B31&gt;" "),(inputPrYr!$B31),"  ")</f>
        <v>  </v>
      </c>
      <c r="B31" s="127" t="str">
        <f>IF('levy page16'!$C$33&lt;&gt;0,'levy page16'!$C$33,"  ")</f>
        <v>  </v>
      </c>
      <c r="C31" s="390" t="str">
        <f>IF(inputPrYr!D105&lt;&gt;0,inputPrYr!D105,"  ")</f>
        <v>  </v>
      </c>
      <c r="D31" s="127" t="str">
        <f>IF('levy page16'!$D$33&lt;&gt;0,'levy page16'!$D$33,"  ")</f>
        <v>  </v>
      </c>
      <c r="E31" s="390" t="str">
        <f>IF(inputPrYr!F31&lt;&gt;0,inputPrYr!F31,"  ")</f>
        <v>  </v>
      </c>
      <c r="F31" s="127" t="str">
        <f>IF('levy page16'!$E$33&lt;&gt;0,'levy page16'!$E$33,"  ")</f>
        <v>  </v>
      </c>
      <c r="G31" s="127" t="str">
        <f>IF('levy page16'!$E$40&lt;&gt;0,'levy page16'!$E$40,"  ")</f>
        <v>  </v>
      </c>
      <c r="H31" s="390" t="str">
        <f>IF('levy page16'!$E$40&lt;&gt;0,ROUND(G31/$F$65*1000,3),"  ")</f>
        <v>  </v>
      </c>
    </row>
    <row r="32" spans="1:8" ht="15.75">
      <c r="A32" s="127" t="str">
        <f>IF((inputPrYr!$B32&gt;" "),(inputPrYr!$B32),"  ")</f>
        <v>  </v>
      </c>
      <c r="B32" s="127" t="str">
        <f>IF('levy page16'!$C$73&lt;&gt;0,'levy page16'!$C$73,"  ")</f>
        <v>  </v>
      </c>
      <c r="C32" s="390" t="str">
        <f>IF(inputPrYr!D106&lt;&gt;0,inputPrYr!D106,"  ")</f>
        <v>  </v>
      </c>
      <c r="D32" s="127" t="str">
        <f>IF('levy page16'!$D$73&lt;&gt;0,'levy page16'!$D$73,"  ")</f>
        <v>  </v>
      </c>
      <c r="E32" s="390" t="str">
        <f>IF(inputPrYr!F32&lt;&gt;0,inputPrYr!F32,"  ")</f>
        <v>  </v>
      </c>
      <c r="F32" s="127" t="str">
        <f>IF('levy page16'!$E$73&lt;&gt;0,'levy page16'!$E$73,"  ")</f>
        <v>  </v>
      </c>
      <c r="G32" s="127" t="str">
        <f>IF('levy page16'!$E$80&lt;&gt;0,'levy page16'!$E$80,"  ")</f>
        <v>  </v>
      </c>
      <c r="H32" s="390" t="str">
        <f>IF('levy page16'!$E$80&lt;&gt;0,ROUND(G32/$F$65*1000,3),"  ")</f>
        <v>  </v>
      </c>
    </row>
    <row r="33" spans="1:8" ht="15.75">
      <c r="A33" s="127" t="str">
        <f>IF((inputPrYr!$B33&gt;" "),(inputPrYr!$B33),"  ")</f>
        <v>  </v>
      </c>
      <c r="B33" s="127" t="str">
        <f>IF('levy page17'!$C$33&lt;&gt;0,'levy page17'!$C$33,"  ")</f>
        <v>  </v>
      </c>
      <c r="C33" s="390" t="str">
        <f>IF(inputPrYr!D107&lt;&gt;0,inputPrYr!D107,"  ")</f>
        <v>  </v>
      </c>
      <c r="D33" s="127" t="str">
        <f>IF('levy page17'!$D$33&lt;&gt;0,'levy page17'!$D$33,"  ")</f>
        <v>  </v>
      </c>
      <c r="E33" s="390" t="str">
        <f>IF(inputPrYr!F33&lt;&gt;0,inputPrYr!F33,"  ")</f>
        <v>  </v>
      </c>
      <c r="F33" s="127" t="str">
        <f>IF('levy page17'!$E$33&lt;&gt;0,'levy page17'!$E$33,"  ")</f>
        <v>  </v>
      </c>
      <c r="G33" s="127" t="str">
        <f>IF('levy page17'!$E$40&lt;&gt;0,'levy page17'!$E$40,"  ")</f>
        <v>  </v>
      </c>
      <c r="H33" s="390" t="str">
        <f>IF('levy page17'!$E$40&lt;&gt;0,ROUND(G33/$F$65*1000,3),"  ")</f>
        <v>  </v>
      </c>
    </row>
    <row r="34" spans="1:8" ht="15.75">
      <c r="A34" s="127" t="str">
        <f>IF((inputPrYr!$B34&gt;" "),(inputPrYr!$B34),"  ")</f>
        <v>  </v>
      </c>
      <c r="B34" s="127" t="str">
        <f>IF('levy page17'!$C$73&lt;&gt;0,'levy page17'!$C$73,"  ")</f>
        <v>  </v>
      </c>
      <c r="C34" s="390" t="str">
        <f>IF(inputPrYr!D108&lt;&gt;0,inputPrYr!D108,"  ")</f>
        <v>  </v>
      </c>
      <c r="D34" s="127" t="str">
        <f>IF('levy page17'!$D$73&lt;&gt;0,'levy page17'!$D$73,"  ")</f>
        <v>  </v>
      </c>
      <c r="E34" s="390" t="str">
        <f>IF(inputPrYr!F34&lt;&gt;0,inputPrYr!F34,"  ")</f>
        <v>  </v>
      </c>
      <c r="F34" s="127" t="str">
        <f>IF('levy page17'!$E$73&lt;&gt;0,'levy page17'!$E$73,"  ")</f>
        <v>  </v>
      </c>
      <c r="G34" s="127" t="str">
        <f>IF('levy page17'!$E$80&lt;&gt;0,'levy page17'!$E$80,"  ")</f>
        <v>  </v>
      </c>
      <c r="H34" s="390" t="str">
        <f>IF('levy page17'!$E$80&lt;&gt;0,ROUND(G34/$F$65*1000,3),"  ")</f>
        <v>  </v>
      </c>
    </row>
    <row r="35" spans="1:8" ht="15.75">
      <c r="A35" s="127" t="str">
        <f>IF((inputPrYr!$B35&gt;" "),(inputPrYr!$B35),"  ")</f>
        <v>  </v>
      </c>
      <c r="B35" s="127" t="str">
        <f>IF('levy page18'!$C$33&lt;&gt;0,'levy page18'!$C$33,"  ")</f>
        <v>  </v>
      </c>
      <c r="C35" s="390" t="str">
        <f>IF(inputPrYr!D109&lt;&gt;0,inputPrYr!D109,"  ")</f>
        <v>  </v>
      </c>
      <c r="D35" s="127" t="str">
        <f>IF('levy page18'!$D$33&lt;&gt;0,'levy page18'!$D$33,"  ")</f>
        <v>  </v>
      </c>
      <c r="E35" s="390" t="str">
        <f>IF(inputPrYr!F35&lt;&gt;0,inputPrYr!F35,"  ")</f>
        <v>  </v>
      </c>
      <c r="F35" s="127" t="str">
        <f>IF('levy page18'!$E$33&lt;&gt;0,'levy page18'!$E$33,"  ")</f>
        <v>  </v>
      </c>
      <c r="G35" s="127" t="str">
        <f>IF('levy page18'!$E$40&lt;&gt;0,'levy page18'!$E$40,"  ")</f>
        <v>  </v>
      </c>
      <c r="H35" s="390" t="str">
        <f>IF('levy page18'!$E$40&lt;&gt;0,ROUND(G35/$F$65*1000,3),"  ")</f>
        <v>  </v>
      </c>
    </row>
    <row r="36" spans="1:8" ht="15.75">
      <c r="A36" s="127" t="str">
        <f>IF((inputPrYr!$B36&gt;" "),(inputPrYr!$B36),"  ")</f>
        <v>  </v>
      </c>
      <c r="B36" s="127" t="str">
        <f>IF('levy page18'!$C$73&lt;&gt;0,'levy page18'!$C$73,"  ")</f>
        <v>  </v>
      </c>
      <c r="C36" s="390" t="str">
        <f>IF(inputPrYr!D110&lt;&gt;0,inputPrYr!D110,"  ")</f>
        <v>  </v>
      </c>
      <c r="D36" s="127" t="str">
        <f>IF('levy page18'!$D$73&lt;&gt;0,'levy page18'!$D$73,"  ")</f>
        <v>  </v>
      </c>
      <c r="E36" s="390" t="str">
        <f>IF(inputPrYr!F36&lt;&gt;0,inputPrYr!F36,"  ")</f>
        <v>  </v>
      </c>
      <c r="F36" s="127" t="str">
        <f>IF('levy page18'!$E$73&lt;&gt;0,'levy page18'!$E$73,"  ")</f>
        <v>  </v>
      </c>
      <c r="G36" s="127" t="str">
        <f>IF('levy page18'!$E$80&lt;&gt;0,'levy page18'!$E$80,"  ")</f>
        <v>  </v>
      </c>
      <c r="H36" s="390" t="str">
        <f>IF('levy page18'!$E$80&lt;&gt;0,ROUND(G36/$F$65*1000,3),"  ")</f>
        <v>  </v>
      </c>
    </row>
    <row r="37" spans="1:8" ht="15.75">
      <c r="A37" s="127" t="str">
        <f>IF((inputPrYr!$B37&gt;" "),(inputPrYr!$B37),"  ")</f>
        <v>  </v>
      </c>
      <c r="B37" s="127" t="str">
        <f>IF('levy page19'!C33&lt;&gt;0,'levy page19'!C33,"  ")</f>
        <v>  </v>
      </c>
      <c r="C37" s="390" t="str">
        <f>IF(inputPrYr!D111&lt;&gt;0,inputPrYr!D111,"  ")</f>
        <v>  </v>
      </c>
      <c r="D37" s="127" t="str">
        <f>IF('levy page19'!D33&lt;&gt;0,'levy page19'!D33,"  ")</f>
        <v>  </v>
      </c>
      <c r="E37" s="390" t="str">
        <f>IF(inputPrYr!F37&lt;&gt;0,inputPrYr!F37,"  ")</f>
        <v>  </v>
      </c>
      <c r="F37" s="127" t="str">
        <f>IF('levy page19'!E33&lt;&gt;0,'levy page19'!E33,"  ")</f>
        <v>  </v>
      </c>
      <c r="G37" s="127" t="str">
        <f>IF('levy page19'!E40&lt;&gt;0,'levy page19'!E40,"  ")</f>
        <v>  </v>
      </c>
      <c r="H37" s="390" t="str">
        <f>IF('levy page19'!E40&lt;&gt;0,ROUND(G37/$F$65*1000,3),"  ")</f>
        <v>  </v>
      </c>
    </row>
    <row r="38" spans="1:8" ht="15.75">
      <c r="A38" s="127" t="str">
        <f>IF((inputPrYr!$B38&gt;" "),(inputPrYr!$B38),"  ")</f>
        <v>  </v>
      </c>
      <c r="B38" s="127" t="str">
        <f>IF('levy page19'!C73&lt;&gt;0,'levy page19'!C73,"  ")</f>
        <v>  </v>
      </c>
      <c r="C38" s="390" t="str">
        <f>IF(inputPrYr!D112&lt;&gt;0,inputPrYr!D112,"  ")</f>
        <v>  </v>
      </c>
      <c r="D38" s="127" t="str">
        <f>IF('levy page19'!D73&lt;&gt;0,'levy page19'!D73,"  ")</f>
        <v>  </v>
      </c>
      <c r="E38" s="390" t="str">
        <f>IF(inputPrYr!F38&lt;&gt;0,inputPrYr!F38,"  ")</f>
        <v>  </v>
      </c>
      <c r="F38" s="127" t="str">
        <f>IF('levy page19'!E73&lt;&gt;0,'levy page19'!E73,"  ")</f>
        <v>  </v>
      </c>
      <c r="G38" s="127" t="str">
        <f>IF('levy page19'!E80&lt;&gt;0,'levy page19'!E80,"  ")</f>
        <v>  </v>
      </c>
      <c r="H38" s="390" t="str">
        <f>IF('levy page19'!E80&lt;&gt;0,ROUND(G38/$F$65*1000,3),"  ")</f>
        <v>  </v>
      </c>
    </row>
    <row r="39" spans="1:8" ht="15.75">
      <c r="A39" s="127" t="str">
        <f>IF((inputPrYr!$B39&gt;" "),(inputPrYr!$B39),"  ")</f>
        <v>  </v>
      </c>
      <c r="B39" s="127" t="str">
        <f>IF('levy page20'!$C$33&lt;&gt;0,'levy page20'!$C$33,"  ")</f>
        <v>  </v>
      </c>
      <c r="C39" s="390" t="str">
        <f>IF(inputPrYr!D113&lt;&gt;0,inputPrYr!D113,"  ")</f>
        <v>  </v>
      </c>
      <c r="D39" s="127" t="str">
        <f>IF('levy page20'!$D$33&lt;&gt;0,'levy page20'!$D$33,"  ")</f>
        <v>  </v>
      </c>
      <c r="E39" s="390" t="str">
        <f>IF(inputPrYr!F39&lt;&gt;0,inputPrYr!F39,"  ")</f>
        <v>  </v>
      </c>
      <c r="F39" s="127" t="str">
        <f>IF('levy page20'!$E$33&lt;&gt;0,'levy page20'!$E$33,"  ")</f>
        <v>  </v>
      </c>
      <c r="G39" s="127" t="str">
        <f>IF('levy page20'!$E$40&lt;&gt;0,'levy page20'!$E$40,"  ")</f>
        <v>  </v>
      </c>
      <c r="H39" s="390" t="str">
        <f>IF('levy page20'!$E$40&lt;&gt;0,ROUND(G39/$F$65*1000,3),"  ")</f>
        <v>  </v>
      </c>
    </row>
    <row r="40" spans="1:8" ht="15.75">
      <c r="A40" s="127" t="str">
        <f>IF((inputPrYr!$B40&gt;" "),(inputPrYr!$B40),"  ")</f>
        <v>  </v>
      </c>
      <c r="B40" s="127" t="str">
        <f>IF('levy page20'!$C$73&lt;&gt;0,'levy page20'!$C$73,"  ")</f>
        <v>  </v>
      </c>
      <c r="C40" s="390" t="str">
        <f>IF(inputPrYr!D114&lt;&gt;0,inputPrYr!D114,"  ")</f>
        <v>  </v>
      </c>
      <c r="D40" s="127" t="str">
        <f>IF('levy page20'!$D$73&lt;&gt;0,'levy page20'!$D$73,"  ")</f>
        <v>  </v>
      </c>
      <c r="E40" s="390" t="str">
        <f>IF(inputPrYr!F40&lt;&gt;0,inputPrYr!F40,"  ")</f>
        <v>  </v>
      </c>
      <c r="F40" s="127" t="str">
        <f>IF('levy page20'!$E$73&lt;&gt;0,'levy page20'!$E$73,"  ")</f>
        <v>  </v>
      </c>
      <c r="G40" s="127" t="str">
        <f>IF('levy page20'!$E$80&lt;&gt;0,'levy page20'!$E$80,"  ")</f>
        <v>  </v>
      </c>
      <c r="H40" s="390" t="str">
        <f>IF('levy page20'!$E$80&lt;&gt;0,ROUND(G40/$F$65*1000,3),"  ")</f>
        <v>  </v>
      </c>
    </row>
    <row r="41" spans="1:8" ht="15.75">
      <c r="A41" s="127" t="str">
        <f>IF((inputPrYr!$B43&gt;" "),(inputPrYr!$B43),"  ")</f>
        <v>Detention</v>
      </c>
      <c r="B41" s="127">
        <f>IF('no levy page21'!$C$31&lt;&gt;0,'no levy page21'!$C$31,"  ")</f>
        <v>1031903</v>
      </c>
      <c r="C41" s="108"/>
      <c r="D41" s="127">
        <f>IF('no levy page21'!$D$31&lt;&gt;0,'no levy page21'!$D$31,"  ")</f>
        <v>1141841</v>
      </c>
      <c r="E41" s="108"/>
      <c r="F41" s="127">
        <f>IF('no levy page21'!$E$31&lt;&gt;0,'no levy page21'!$E$31,"  ")</f>
        <v>1197817</v>
      </c>
      <c r="G41" s="127"/>
      <c r="H41" s="104"/>
    </row>
    <row r="42" spans="1:8" ht="15.75">
      <c r="A42" s="127" t="str">
        <f>IF((inputPrYr!$B44&gt;" "),(inputPrYr!$B44),"  ")</f>
        <v>Special Alcohol Fund</v>
      </c>
      <c r="B42" s="127">
        <f>IF('no levy page21'!$C$62&lt;&gt;0,'no levy page21'!$C$62,"  ")</f>
        <v>5390</v>
      </c>
      <c r="C42" s="108"/>
      <c r="D42" s="127">
        <f>IF('no levy page21'!$D$62&lt;&gt;0,'no levy page21'!$D$62,"  ")</f>
        <v>4645</v>
      </c>
      <c r="E42" s="108"/>
      <c r="F42" s="127">
        <f>IF('no levy page21'!$E$62&lt;&gt;0,'no levy page21'!$E$62,"  ")</f>
        <v>4144</v>
      </c>
      <c r="G42" s="127"/>
      <c r="H42" s="104"/>
    </row>
    <row r="43" spans="1:8" ht="15.75">
      <c r="A43" s="127" t="str">
        <f>IF((inputPrYr!$B45&gt;" "),(inputPrYr!$B45),"  ")</f>
        <v>Transient Guest Tax</v>
      </c>
      <c r="B43" s="127">
        <f>IF('no levy page22'!$C$29&lt;&gt;0,'no levy page22'!$C$29,"  ")</f>
        <v>12865</v>
      </c>
      <c r="C43" s="108"/>
      <c r="D43" s="127">
        <f>IF('no levy page22'!$D$29&lt;&gt;0,'no levy page22'!$D$29,"  ")</f>
        <v>21915</v>
      </c>
      <c r="E43" s="108"/>
      <c r="F43" s="127">
        <f>IF('no levy page22'!$E$29&lt;&gt;0,'no levy page22'!$E$29,"  ")</f>
        <v>18211</v>
      </c>
      <c r="G43" s="127"/>
      <c r="H43" s="104"/>
    </row>
    <row r="44" spans="1:8" ht="15.75">
      <c r="A44" s="127" t="str">
        <f>IF((inputPrYr!$B46&gt;" "),(inputPrYr!$B46),"  ")</f>
        <v>Equipment Reserve</v>
      </c>
      <c r="B44" s="127">
        <f>IF('no levy page22'!$C$62&lt;&gt;0,'no levy page22'!$C$62,"  ")</f>
        <v>74859</v>
      </c>
      <c r="C44" s="108"/>
      <c r="D44" s="127">
        <f>IF('no levy page22'!$D$62&lt;&gt;0,'no levy page22'!$D$62,"  ")</f>
        <v>150000</v>
      </c>
      <c r="E44" s="108"/>
      <c r="F44" s="127">
        <f>IF('no levy page22'!$E$62&lt;&gt;0,'no levy page22'!$E$62,"  ")</f>
        <v>674896</v>
      </c>
      <c r="G44" s="127"/>
      <c r="H44" s="104"/>
    </row>
    <row r="45" spans="1:8" ht="15.75">
      <c r="A45" s="127" t="str">
        <f>IF((inputPrYr!$B47&gt;" "),(inputPrYr!$B47),"  ")</f>
        <v>Capital Improvements</v>
      </c>
      <c r="B45" s="127">
        <f>IF('no levy page23'!$C$29&lt;&gt;0,'no levy page23'!$C$29,"  ")</f>
        <v>61408</v>
      </c>
      <c r="C45" s="108"/>
      <c r="D45" s="127">
        <f>IF('no levy page23'!$D$29&lt;&gt;0,'no levy page23'!$D$29,"  ")</f>
        <v>200000</v>
      </c>
      <c r="E45" s="108"/>
      <c r="F45" s="127">
        <f>IF('no levy page23'!$E$29&lt;&gt;0,'no levy page23'!$E$29,"  ")</f>
        <v>564673</v>
      </c>
      <c r="G45" s="127"/>
      <c r="H45" s="104"/>
    </row>
    <row r="46" spans="1:8" ht="15.75">
      <c r="A46" s="127" t="str">
        <f>IF((inputPrYr!$B48&gt;" "),(inputPrYr!$B48),"  ")</f>
        <v>Risk Management</v>
      </c>
      <c r="B46" s="127">
        <f>IF('no levy page23'!$C$60&lt;&gt;0,'no levy page23'!$C$60,"  ")</f>
        <v>81406</v>
      </c>
      <c r="C46" s="108"/>
      <c r="D46" s="127">
        <f>IF('no levy page23'!$D$60&lt;&gt;0,'no levy page23'!$D$60,"  ")</f>
        <v>240732</v>
      </c>
      <c r="E46" s="108"/>
      <c r="F46" s="127">
        <f>IF('no levy page23'!$E$60&lt;&gt;0,'no levy page23'!$E$60,"  ")</f>
        <v>396265</v>
      </c>
      <c r="G46" s="127"/>
      <c r="H46" s="104"/>
    </row>
    <row r="47" spans="1:8" ht="15.75">
      <c r="A47" s="127" t="str">
        <f>IF((inputPrYr!$B49&gt;" "),(inputPrYr!$B49),"  ")</f>
        <v>911 Fund</v>
      </c>
      <c r="B47" s="127">
        <f>IF('no levy page24'!$C$29&lt;&gt;0,'no levy page24'!$C$29,"  ")</f>
        <v>35423</v>
      </c>
      <c r="C47" s="108"/>
      <c r="D47" s="127">
        <f>IF('no levy page24'!$D$29&lt;&gt;0,'no levy page24'!$D$29,"  ")</f>
        <v>221495</v>
      </c>
      <c r="E47" s="108"/>
      <c r="F47" s="127">
        <f>IF('no levy page24'!$E$29&lt;&gt;0,'no levy page24'!$E$29,"  ")</f>
        <v>190042</v>
      </c>
      <c r="G47" s="127"/>
      <c r="H47" s="104"/>
    </row>
    <row r="48" spans="1:8" ht="15.75">
      <c r="A48" s="127" t="str">
        <f>IF((inputPrYr!$B50&gt;" "),(inputPrYr!$B50),"  ")</f>
        <v>Wireless 911</v>
      </c>
      <c r="B48" s="127">
        <f>IF('no levy page24'!$C$60&lt;&gt;0,'no levy page24'!$C$60,"  ")</f>
        <v>64289</v>
      </c>
      <c r="C48" s="108"/>
      <c r="D48" s="127" t="str">
        <f>IF('no levy page24'!$D$60&lt;&gt;0,'no levy page24'!$D$60,"  ")</f>
        <v>  </v>
      </c>
      <c r="E48" s="108"/>
      <c r="F48" s="127" t="str">
        <f>IF('no levy page24'!$E$60&lt;&gt;0,'no levy page24'!$E$60,"  ")</f>
        <v>  </v>
      </c>
      <c r="G48" s="127"/>
      <c r="H48" s="104"/>
    </row>
    <row r="49" spans="1:8" ht="15.75">
      <c r="A49" s="127" t="str">
        <f>IF((inputPrYr!$B51&gt;" "),(inputPrYr!$B51),"  ")</f>
        <v>EMS Special Equipment</v>
      </c>
      <c r="B49" s="127">
        <f>IF('no levy page25'!$C$29&lt;&gt;0,'no levy page25'!$C$29,"  ")</f>
        <v>30286</v>
      </c>
      <c r="C49" s="108"/>
      <c r="D49" s="127" t="str">
        <f>IF('no levy page25'!$D$29&lt;&gt;0,'no levy page25'!$D$29,"  ")</f>
        <v>  </v>
      </c>
      <c r="E49" s="108"/>
      <c r="F49" s="127">
        <f>IF('no levy page25'!$E$29&lt;&gt;0,'no levy page25'!$E$29,"  ")</f>
        <v>58291</v>
      </c>
      <c r="G49" s="127"/>
      <c r="H49" s="104"/>
    </row>
    <row r="50" spans="1:13" ht="15.75">
      <c r="A50" s="127" t="str">
        <f>IF((inputPrYr!$B52&gt;" "),(inputPrYr!$B52),"  ")</f>
        <v>Solid Waste Recycling</v>
      </c>
      <c r="B50" s="127">
        <f>IF('no levy page25'!$C$60&lt;&gt;0,'no levy page25'!$C$60,"  ")</f>
        <v>20311</v>
      </c>
      <c r="C50" s="108"/>
      <c r="D50" s="127">
        <f>IF('no levy page25'!$D$60&lt;&gt;0,'no levy page25'!$D$60,"  ")</f>
        <v>13267</v>
      </c>
      <c r="E50" s="108"/>
      <c r="F50" s="127">
        <f>IF('no levy page25'!$E$60&lt;&gt;0,'no levy page25'!$E$60,"  ")</f>
        <v>83470</v>
      </c>
      <c r="G50" s="127"/>
      <c r="H50" s="104"/>
      <c r="J50" s="796" t="str">
        <f>CONCATENATE("Estimated Value Of One Mill For ",H1,"")</f>
        <v>Estimated Value Of One Mill For 2013</v>
      </c>
      <c r="K50" s="802"/>
      <c r="L50" s="802"/>
      <c r="M50" s="803"/>
    </row>
    <row r="51" spans="1:13" ht="15.75">
      <c r="A51" s="127" t="str">
        <f>IF((inputPrYr!$B53&gt;" "),(inputPrYr!$B53),"  ")</f>
        <v>Weed Capital Outlay</v>
      </c>
      <c r="B51" s="127" t="str">
        <f>IF('no levy page26'!$C$29&lt;&gt;0,'no levy page26'!$C$29,"  ")</f>
        <v>  </v>
      </c>
      <c r="C51" s="108"/>
      <c r="D51" s="127">
        <f>IF('no levy page26'!$D$29&lt;&gt;0,'no levy page26'!$D$29,"  ")</f>
        <v>60000</v>
      </c>
      <c r="E51" s="108"/>
      <c r="F51" s="127">
        <f>IF('no levy page26'!$E$29&lt;&gt;0,'no levy page26'!$E$29,"  ")</f>
        <v>85828</v>
      </c>
      <c r="G51" s="127"/>
      <c r="H51" s="104"/>
      <c r="J51" s="520"/>
      <c r="K51" s="521"/>
      <c r="L51" s="521"/>
      <c r="M51" s="522"/>
    </row>
    <row r="52" spans="1:13" ht="15.75">
      <c r="A52" s="127" t="str">
        <f>IF((inputPrYr!$B54&gt;" "),(inputPrYr!$B54),"  ")</f>
        <v>  </v>
      </c>
      <c r="B52" s="127" t="str">
        <f>IF('no levy page26'!$C$60&lt;&gt;0,'no levy page26'!$C$60,"  ")</f>
        <v>  </v>
      </c>
      <c r="C52" s="108"/>
      <c r="D52" s="127" t="str">
        <f>IF('no levy page26'!$D$60&lt;&gt;0,'no levy page26'!$D$60,"  ")</f>
        <v>  </v>
      </c>
      <c r="E52" s="108"/>
      <c r="F52" s="127" t="str">
        <f>IF('no levy page26'!$E$60&lt;&gt;0,'no levy page26'!$E$60,"  ")</f>
        <v>  </v>
      </c>
      <c r="G52" s="127"/>
      <c r="H52" s="104"/>
      <c r="J52" s="523" t="s">
        <v>692</v>
      </c>
      <c r="K52" s="524"/>
      <c r="L52" s="524"/>
      <c r="M52" s="525">
        <f>ROUND(F65/1000,0)</f>
        <v>124855</v>
      </c>
    </row>
    <row r="53" spans="1:8" ht="15.75">
      <c r="A53" s="127" t="str">
        <f>IF((inputPrYr!$B55&gt;" "),(inputPrYr!$B55),"  ")</f>
        <v>  </v>
      </c>
      <c r="B53" s="127" t="str">
        <f>IF('no levy page27'!$C$29&lt;&gt;0,'no levy page27'!$C$29,"  ")</f>
        <v>  </v>
      </c>
      <c r="C53" s="108"/>
      <c r="D53" s="127" t="str">
        <f>IF('no levy page27'!$D$29&lt;&gt;0,'no levy page27'!$D$29,"  ")</f>
        <v>  </v>
      </c>
      <c r="E53" s="108"/>
      <c r="F53" s="127" t="str">
        <f>IF('no levy page27'!$E$29&lt;&gt;0,'no levy page27'!$E$29,"  ")</f>
        <v>  </v>
      </c>
      <c r="G53" s="127"/>
      <c r="H53" s="104"/>
    </row>
    <row r="54" spans="1:13" ht="15.75">
      <c r="A54" s="127" t="str">
        <f>IF((inputPrYr!$B56&gt;" "),(inputPrYr!$B56),"  ")</f>
        <v>  </v>
      </c>
      <c r="B54" s="127" t="str">
        <f>IF('no levy page27'!$C$60&lt;&gt;0,'no levy page27'!$C$60,"  ")</f>
        <v>  </v>
      </c>
      <c r="C54" s="108"/>
      <c r="D54" s="127" t="str">
        <f>IF('no levy page27'!$D$60&lt;&gt;0,'no levy page27'!$D$60,"  ")</f>
        <v>  </v>
      </c>
      <c r="E54" s="108"/>
      <c r="F54" s="127" t="str">
        <f>IF('no levy page27'!$E$60&lt;&gt;0,'no levy page27'!$E$60,"  ")</f>
        <v>  </v>
      </c>
      <c r="G54" s="127"/>
      <c r="H54" s="104"/>
      <c r="J54" s="796" t="str">
        <f>CONCATENATE("Want The Mill Rate The Same As For ",H1-1,"?")</f>
        <v>Want The Mill Rate The Same As For 2012?</v>
      </c>
      <c r="K54" s="802"/>
      <c r="L54" s="802"/>
      <c r="M54" s="803"/>
    </row>
    <row r="55" spans="1:13" ht="15.75">
      <c r="A55" s="127" t="str">
        <f>IF((inputPrYr!$B57&gt;" "),(inputPrYr!$B57),"  ")</f>
        <v>  </v>
      </c>
      <c r="B55" s="127" t="str">
        <f>IF('no levy page28'!$C$29&lt;&gt;0,'no levy page28'!$C$29,"  ")</f>
        <v>  </v>
      </c>
      <c r="C55" s="108"/>
      <c r="D55" s="127" t="str">
        <f>IF('no levy page28'!$D$29&lt;&gt;0,'no levy page28'!$D$29,"  ")</f>
        <v>  </v>
      </c>
      <c r="E55" s="108"/>
      <c r="F55" s="127" t="str">
        <f>IF('no levy page28'!$E$29&lt;&gt;0,'no levy page28'!$E$29,"  ")</f>
        <v>  </v>
      </c>
      <c r="G55" s="127"/>
      <c r="H55" s="104"/>
      <c r="J55" s="527"/>
      <c r="K55" s="521"/>
      <c r="L55" s="521"/>
      <c r="M55" s="528"/>
    </row>
    <row r="56" spans="1:13" ht="15.75">
      <c r="A56" s="127" t="str">
        <f>IF((inputPrYr!$B58&gt;" "),(inputPrYr!$B58),"  ")</f>
        <v>  </v>
      </c>
      <c r="B56" s="127" t="str">
        <f>IF('no levy page28'!$C$60&lt;&gt;0,'no levy page28'!$C$60,"  ")</f>
        <v>  </v>
      </c>
      <c r="C56" s="108"/>
      <c r="D56" s="127" t="str">
        <f>IF('no levy page28'!$D$60&lt;&gt;0,'no levy page28'!$D$60,"  ")</f>
        <v>  </v>
      </c>
      <c r="E56" s="108"/>
      <c r="F56" s="127" t="str">
        <f>IF('no levy page28'!$E$60&lt;&gt;0,'no levy page28'!$E$60,"  ")</f>
        <v>  </v>
      </c>
      <c r="G56" s="127"/>
      <c r="H56" s="104"/>
      <c r="J56" s="527" t="str">
        <f>CONCATENATE("",H1-1," Mill Rate Was:")</f>
        <v>2012 Mill Rate Was:</v>
      </c>
      <c r="K56" s="521"/>
      <c r="L56" s="521"/>
      <c r="M56" s="529">
        <f>E61</f>
        <v>43.934999999999995</v>
      </c>
    </row>
    <row r="57" spans="1:13" ht="15.75">
      <c r="A57" s="191" t="str">
        <f>IF((inputPrYr!$B62&gt;"  "),(nonbudA!$A3),"  ")</f>
        <v>Non-Budgeted Funds-A</v>
      </c>
      <c r="B57" s="127">
        <f>IF(nonbudA!$K$28&lt;&gt;0,nonbudA!$K$28,"  ")</f>
        <v>356159</v>
      </c>
      <c r="C57" s="108"/>
      <c r="D57" s="127"/>
      <c r="E57" s="108"/>
      <c r="F57" s="127"/>
      <c r="G57" s="127"/>
      <c r="H57" s="104"/>
      <c r="J57" s="530" t="str">
        <f>CONCATENATE("",H1," Tax Levy Fund Expenditures Must Be")</f>
        <v>2013 Tax Levy Fund Expenditures Must Be</v>
      </c>
      <c r="K57" s="531"/>
      <c r="L57" s="531"/>
      <c r="M57" s="528"/>
    </row>
    <row r="58" spans="1:13" ht="15.75">
      <c r="A58" s="191" t="str">
        <f>IF((inputPrYr!$B68&gt;"  "),(nonbudB!$A3),"  ")</f>
        <v>Non-Budgeted Funds-B</v>
      </c>
      <c r="B58" s="127">
        <f>IF(nonbudB!$K$28&lt;&gt;0,nonbudB!$K$28,"  ")</f>
        <v>104044</v>
      </c>
      <c r="C58" s="108"/>
      <c r="D58" s="127"/>
      <c r="E58" s="108"/>
      <c r="F58" s="127"/>
      <c r="G58" s="127"/>
      <c r="H58" s="104"/>
      <c r="J58" s="530" t="str">
        <f>IF(M58&gt;0,"Increased By:","")</f>
        <v>Increased By:</v>
      </c>
      <c r="K58" s="531"/>
      <c r="L58" s="531"/>
      <c r="M58" s="618">
        <f>IF(M65&lt;0,M65*-1,0)</f>
        <v>146666.97000000067</v>
      </c>
    </row>
    <row r="59" spans="1:13" ht="15.75">
      <c r="A59" s="191" t="str">
        <f>IF((inputPrYr!$B74&gt;"  "),(nonbudC!$A3),"  ")</f>
        <v>  </v>
      </c>
      <c r="B59" s="127" t="str">
        <f>IF(nonbudC!$K$28&lt;&gt;0,nonbudC!$K$28,"  ")</f>
        <v>  </v>
      </c>
      <c r="C59" s="108"/>
      <c r="D59" s="127"/>
      <c r="E59" s="108"/>
      <c r="F59" s="127"/>
      <c r="G59" s="127"/>
      <c r="H59" s="104"/>
      <c r="J59" s="619">
        <f>IF(M59&lt;0,"Reduced By:","")</f>
      </c>
      <c r="K59" s="620"/>
      <c r="L59" s="620"/>
      <c r="M59" s="621">
        <f>IF(M65&gt;0,M65*-1,0)</f>
        <v>0</v>
      </c>
    </row>
    <row r="60" spans="1:13" ht="16.5" thickBot="1">
      <c r="A60" s="191" t="str">
        <f>IF((inputPrYr!$B80&gt;"  "),(nonbudD!$A3),"  ")</f>
        <v>  </v>
      </c>
      <c r="B60" s="509" t="str">
        <f>IF(nonbudD!$K$28&lt;&gt;0,nonbudD!$K$28,"  ")</f>
        <v>  </v>
      </c>
      <c r="C60" s="508"/>
      <c r="D60" s="509"/>
      <c r="E60" s="508"/>
      <c r="F60" s="509"/>
      <c r="G60" s="509"/>
      <c r="H60" s="507"/>
      <c r="J60" s="534"/>
      <c r="K60" s="534"/>
      <c r="L60" s="534"/>
      <c r="M60" s="534"/>
    </row>
    <row r="61" spans="1:13" ht="15.75">
      <c r="A61" s="103" t="s">
        <v>158</v>
      </c>
      <c r="B61" s="512">
        <f>SUM(B16:B60)</f>
        <v>9998160</v>
      </c>
      <c r="C61" s="510">
        <f>SUM(C16:C40)</f>
        <v>41.849999999999994</v>
      </c>
      <c r="D61" s="512">
        <f>SUM(D16:D60)</f>
        <v>10849848</v>
      </c>
      <c r="E61" s="510">
        <f>SUM(E16:E40)</f>
        <v>43.934999999999995</v>
      </c>
      <c r="F61" s="512">
        <f>SUM(F16:F60)</f>
        <v>13140727</v>
      </c>
      <c r="G61" s="512">
        <f>SUM(G16:G40)</f>
        <v>5338854.029999999</v>
      </c>
      <c r="H61" s="510">
        <f>SUM(H16:H40)</f>
        <v>42.760999999999996</v>
      </c>
      <c r="J61" s="796" t="str">
        <f>CONCATENATE("Impact On Keeping The Same Mill Rate As For ",H1-1,"")</f>
        <v>Impact On Keeping The Same Mill Rate As For 2012</v>
      </c>
      <c r="K61" s="797"/>
      <c r="L61" s="797"/>
      <c r="M61" s="798"/>
    </row>
    <row r="62" spans="1:13" ht="15.75">
      <c r="A62" s="84" t="s">
        <v>200</v>
      </c>
      <c r="B62" s="391">
        <f>transfers!C40</f>
        <v>1312409</v>
      </c>
      <c r="C62" s="392"/>
      <c r="D62" s="391">
        <f>transfers!D40</f>
        <v>835890</v>
      </c>
      <c r="E62" s="334"/>
      <c r="F62" s="391">
        <f>transfers!E40</f>
        <v>900620</v>
      </c>
      <c r="G62" s="85"/>
      <c r="H62" s="125"/>
      <c r="J62" s="527"/>
      <c r="K62" s="521"/>
      <c r="L62" s="521"/>
      <c r="M62" s="528"/>
    </row>
    <row r="63" spans="1:13" ht="16.5" thickBot="1">
      <c r="A63" s="84" t="s">
        <v>201</v>
      </c>
      <c r="B63" s="394">
        <f>B61-B62</f>
        <v>8685751</v>
      </c>
      <c r="C63" s="85"/>
      <c r="D63" s="394">
        <f>D61-D62</f>
        <v>10013958</v>
      </c>
      <c r="E63" s="392"/>
      <c r="F63" s="394">
        <f>F61-F62</f>
        <v>12240107</v>
      </c>
      <c r="G63" s="85"/>
      <c r="H63" s="125"/>
      <c r="J63" s="527" t="str">
        <f>CONCATENATE("",H1," Ad Valorem Tax Revenue:")</f>
        <v>2013 Ad Valorem Tax Revenue:</v>
      </c>
      <c r="K63" s="521"/>
      <c r="L63" s="521"/>
      <c r="M63" s="522">
        <f>G61</f>
        <v>5338854.029999999</v>
      </c>
    </row>
    <row r="64" spans="1:13" ht="16.5" thickTop="1">
      <c r="A64" s="84" t="s">
        <v>202</v>
      </c>
      <c r="B64" s="512">
        <f>inputPrYr!F117</f>
        <v>4880275</v>
      </c>
      <c r="C64" s="85"/>
      <c r="D64" s="512">
        <f>inputPrYr!E41</f>
        <v>5262580</v>
      </c>
      <c r="E64" s="85"/>
      <c r="F64" s="511" t="s">
        <v>68</v>
      </c>
      <c r="G64" s="85"/>
      <c r="H64" s="125"/>
      <c r="J64" s="527" t="str">
        <f>CONCATENATE("",H1-1," Ad Valorem Tax Revenue:")</f>
        <v>2012 Ad Valorem Tax Revenue:</v>
      </c>
      <c r="K64" s="521"/>
      <c r="L64" s="521"/>
      <c r="M64" s="535">
        <f>ROUND(F65*M56/1000,0)</f>
        <v>5485521</v>
      </c>
    </row>
    <row r="65" spans="1:13" ht="15.75">
      <c r="A65" s="84" t="s">
        <v>203</v>
      </c>
      <c r="B65" s="127">
        <f>inputPrYr!F118</f>
        <v>116612742</v>
      </c>
      <c r="C65" s="85"/>
      <c r="D65" s="127">
        <f>inputPrYr!F85</f>
        <v>119795170</v>
      </c>
      <c r="E65" s="85"/>
      <c r="F65" s="127">
        <f>inputOth!E6</f>
        <v>124855372</v>
      </c>
      <c r="G65" s="85"/>
      <c r="H65" s="125"/>
      <c r="J65" s="532" t="s">
        <v>693</v>
      </c>
      <c r="K65" s="533"/>
      <c r="L65" s="533"/>
      <c r="M65" s="525">
        <f>SUM(M63-M64)</f>
        <v>-146666.97000000067</v>
      </c>
    </row>
    <row r="66" spans="1:13" ht="15.75">
      <c r="A66" s="85"/>
      <c r="B66" s="85"/>
      <c r="C66" s="85"/>
      <c r="D66" s="85"/>
      <c r="E66" s="85"/>
      <c r="F66" s="85"/>
      <c r="G66" s="85"/>
      <c r="H66" s="125"/>
      <c r="J66" s="526"/>
      <c r="K66" s="526"/>
      <c r="L66" s="526"/>
      <c r="M66" s="534"/>
    </row>
    <row r="67" spans="1:13" ht="15.75">
      <c r="A67" s="84" t="s">
        <v>204</v>
      </c>
      <c r="B67" s="85"/>
      <c r="C67" s="85"/>
      <c r="D67" s="85"/>
      <c r="E67" s="85"/>
      <c r="F67" s="85"/>
      <c r="G67" s="85"/>
      <c r="H67" s="137"/>
      <c r="J67" s="796" t="s">
        <v>694</v>
      </c>
      <c r="K67" s="799"/>
      <c r="L67" s="799"/>
      <c r="M67" s="800"/>
    </row>
    <row r="68" spans="1:13" ht="15.75">
      <c r="A68" s="84" t="s">
        <v>205</v>
      </c>
      <c r="B68" s="393">
        <f>H1-3</f>
        <v>2010</v>
      </c>
      <c r="C68" s="85"/>
      <c r="D68" s="393">
        <f>H1-2</f>
        <v>2011</v>
      </c>
      <c r="E68" s="85"/>
      <c r="F68" s="393">
        <f>H1-1</f>
        <v>2012</v>
      </c>
      <c r="G68" s="85"/>
      <c r="H68" s="137"/>
      <c r="J68" s="527"/>
      <c r="K68" s="521"/>
      <c r="L68" s="521"/>
      <c r="M68" s="528"/>
    </row>
    <row r="69" spans="1:13" ht="15.75">
      <c r="A69" s="84" t="s">
        <v>206</v>
      </c>
      <c r="B69" s="127">
        <f>inputPrYr!D122</f>
        <v>0</v>
      </c>
      <c r="C69" s="85"/>
      <c r="D69" s="127">
        <f>inputPrYr!E122</f>
        <v>0</v>
      </c>
      <c r="E69" s="85"/>
      <c r="F69" s="127">
        <f>debt!G19</f>
        <v>0</v>
      </c>
      <c r="G69" s="85"/>
      <c r="H69" s="137"/>
      <c r="J69" s="527" t="str">
        <f>CONCATENATE("Current ",H1," Estimated Mill Rate:")</f>
        <v>Current 2013 Estimated Mill Rate:</v>
      </c>
      <c r="K69" s="521"/>
      <c r="L69" s="521"/>
      <c r="M69" s="529">
        <f>H61</f>
        <v>42.760999999999996</v>
      </c>
    </row>
    <row r="70" spans="1:13" ht="15.75">
      <c r="A70" s="84" t="s">
        <v>207</v>
      </c>
      <c r="B70" s="127">
        <f>inputPrYr!D123</f>
        <v>0</v>
      </c>
      <c r="C70" s="85"/>
      <c r="D70" s="127">
        <f>inputPrYr!E123</f>
        <v>0</v>
      </c>
      <c r="E70" s="85"/>
      <c r="F70" s="127">
        <f>debt!G27</f>
        <v>2470000</v>
      </c>
      <c r="G70" s="85"/>
      <c r="H70" s="137"/>
      <c r="J70" s="527" t="str">
        <f>CONCATENATE("Desired ",H1," Mill Rate:")</f>
        <v>Desired 2013 Mill Rate:</v>
      </c>
      <c r="K70" s="521"/>
      <c r="L70" s="521"/>
      <c r="M70" s="536">
        <v>45</v>
      </c>
    </row>
    <row r="71" spans="1:13" ht="15.75">
      <c r="A71" s="84" t="s">
        <v>193</v>
      </c>
      <c r="B71" s="127">
        <f>inputPrYr!D124</f>
        <v>0</v>
      </c>
      <c r="C71" s="85"/>
      <c r="D71" s="127">
        <f>inputPrYr!E124</f>
        <v>0</v>
      </c>
      <c r="E71" s="85"/>
      <c r="F71" s="127">
        <f>debt!G36</f>
        <v>0</v>
      </c>
      <c r="G71" s="85"/>
      <c r="H71" s="137"/>
      <c r="J71" s="527" t="str">
        <f>CONCATENATE("",H1," Ad Valorem Tax:")</f>
        <v>2013 Ad Valorem Tax:</v>
      </c>
      <c r="K71" s="521"/>
      <c r="L71" s="521"/>
      <c r="M71" s="535">
        <f>ROUND(F65*M70/1000,0)</f>
        <v>5618492</v>
      </c>
    </row>
    <row r="72" spans="1:13" ht="15.75">
      <c r="A72" s="84" t="s">
        <v>293</v>
      </c>
      <c r="B72" s="127">
        <f>inputPrYr!D125</f>
        <v>3200671</v>
      </c>
      <c r="C72" s="85"/>
      <c r="D72" s="127">
        <f>inputPrYr!E125</f>
        <v>2861846</v>
      </c>
      <c r="E72" s="85"/>
      <c r="F72" s="127">
        <f>lpform!G37</f>
        <v>59276</v>
      </c>
      <c r="G72" s="85"/>
      <c r="H72" s="137"/>
      <c r="J72" s="532" t="str">
        <f>CONCATENATE("",H1," Tax Levy Fund Exp. Changed By:")</f>
        <v>2013 Tax Levy Fund Exp. Changed By:</v>
      </c>
      <c r="K72" s="533"/>
      <c r="L72" s="533"/>
      <c r="M72" s="525">
        <f>IF(M70=0,0,(M71-G61))</f>
        <v>279637.97000000067</v>
      </c>
    </row>
    <row r="73" spans="1:8" ht="16.5" thickBot="1">
      <c r="A73" s="84" t="s">
        <v>208</v>
      </c>
      <c r="B73" s="537">
        <f>SUM(B69:B72)</f>
        <v>3200671</v>
      </c>
      <c r="C73" s="85"/>
      <c r="D73" s="537">
        <f>SUM(D69:D72)</f>
        <v>2861846</v>
      </c>
      <c r="E73" s="85"/>
      <c r="F73" s="537">
        <f>SUM(F69:F72)</f>
        <v>2529276</v>
      </c>
      <c r="G73" s="85"/>
      <c r="H73" s="137"/>
    </row>
    <row r="74" spans="1:8" ht="16.5" thickTop="1">
      <c r="A74" s="84" t="s">
        <v>209</v>
      </c>
      <c r="B74" s="85"/>
      <c r="C74" s="85"/>
      <c r="D74" s="85"/>
      <c r="E74" s="85"/>
      <c r="F74" s="85"/>
      <c r="G74" s="85"/>
      <c r="H74" s="137"/>
    </row>
    <row r="75" spans="1:8" ht="15.75">
      <c r="A75" s="85"/>
      <c r="B75" s="85"/>
      <c r="C75" s="85"/>
      <c r="D75" s="85"/>
      <c r="E75" s="85"/>
      <c r="F75" s="85"/>
      <c r="G75" s="85"/>
      <c r="H75" s="137"/>
    </row>
    <row r="76" spans="1:8" ht="15.75">
      <c r="A76" s="801"/>
      <c r="B76" s="801"/>
      <c r="C76" s="85"/>
      <c r="D76" s="85"/>
      <c r="E76" s="85"/>
      <c r="F76" s="85"/>
      <c r="G76" s="85"/>
      <c r="H76" s="137"/>
    </row>
    <row r="77" spans="1:8" ht="15.75">
      <c r="A77" s="211" t="s">
        <v>210</v>
      </c>
      <c r="B77" s="93"/>
      <c r="C77" s="85"/>
      <c r="D77" s="85"/>
      <c r="E77" s="85"/>
      <c r="F77" s="85"/>
      <c r="G77" s="85"/>
      <c r="H77" s="137"/>
    </row>
    <row r="78" spans="1:8" ht="15.75">
      <c r="A78" s="85"/>
      <c r="B78" s="85"/>
      <c r="C78" s="85"/>
      <c r="D78" s="288" t="s">
        <v>168</v>
      </c>
      <c r="E78" s="350">
        <v>21</v>
      </c>
      <c r="F78" s="85"/>
      <c r="G78" s="85"/>
      <c r="H78" s="137"/>
    </row>
    <row r="79" spans="1:8" ht="15.75">
      <c r="A79" s="143"/>
      <c r="D79" s="143"/>
      <c r="E79" s="143"/>
      <c r="F79" s="143"/>
      <c r="G79" s="143"/>
      <c r="H79" s="143"/>
    </row>
  </sheetData>
  <sheetProtection/>
  <mergeCells count="14">
    <mergeCell ref="J61:M61"/>
    <mergeCell ref="J67:M67"/>
    <mergeCell ref="A76:B76"/>
    <mergeCell ref="G14:G15"/>
    <mergeCell ref="J50:M50"/>
    <mergeCell ref="J54:M54"/>
    <mergeCell ref="A2:H2"/>
    <mergeCell ref="A4:H4"/>
    <mergeCell ref="A5:H5"/>
    <mergeCell ref="A6:H6"/>
    <mergeCell ref="A10:H10"/>
    <mergeCell ref="A11:H11"/>
    <mergeCell ref="A7:H7"/>
    <mergeCell ref="A8:H8"/>
  </mergeCells>
  <printOptions/>
  <pageMargins left="1.12" right="0.5" top="0.74" bottom="0.34" header="0.5" footer="0"/>
  <pageSetup blackAndWhite="1" fitToHeight="1" fitToWidth="1" horizontalDpi="120" verticalDpi="120" orientation="portrait" scale="63" r:id="rId1"/>
  <headerFooter alignWithMargins="0">
    <oddHeader>&amp;RState of Kansas
County
</oddHeader>
  </headerFooter>
</worksheet>
</file>

<file path=xl/worksheets/sheet43.xml><?xml version="1.0" encoding="utf-8"?>
<worksheet xmlns="http://schemas.openxmlformats.org/spreadsheetml/2006/main" xmlns:r="http://schemas.openxmlformats.org/officeDocument/2006/relationships">
  <sheetPr>
    <pageSetUpPr fitToPage="1"/>
  </sheetPr>
  <dimension ref="A1:J57"/>
  <sheetViews>
    <sheetView zoomScale="75" zoomScaleNormal="75" zoomScalePageLayoutView="0" workbookViewId="0" topLeftCell="A1">
      <selection activeCell="E42" sqref="E42"/>
    </sheetView>
  </sheetViews>
  <sheetFormatPr defaultColWidth="8.796875" defaultRowHeight="15"/>
  <cols>
    <col min="1" max="1" width="21.8984375" style="2" customWidth="1"/>
    <col min="2" max="2" width="12.796875" style="2" customWidth="1"/>
    <col min="3" max="3" width="10.296875" style="2" customWidth="1"/>
    <col min="4" max="4" width="12.8984375" style="2" customWidth="1"/>
    <col min="5" max="5" width="10.19921875" style="2" customWidth="1"/>
    <col min="6" max="6" width="15" style="2" customWidth="1"/>
    <col min="7" max="7" width="12.796875" style="2" customWidth="1"/>
    <col min="8" max="8" width="15.296875" style="2" customWidth="1"/>
    <col min="9" max="9" width="9.796875" style="2" customWidth="1"/>
    <col min="10" max="16384" width="8.8984375" style="2" customWidth="1"/>
  </cols>
  <sheetData>
    <row r="1" spans="1:9" ht="15.75">
      <c r="A1" s="27" t="str">
        <f>inputPrYr!C2</f>
        <v>Rice County</v>
      </c>
      <c r="B1" s="14"/>
      <c r="C1" s="14"/>
      <c r="D1" s="14"/>
      <c r="E1" s="14"/>
      <c r="F1" s="14"/>
      <c r="G1" s="14"/>
      <c r="H1" s="14"/>
      <c r="I1" s="51">
        <f>inputPrYr!C4</f>
        <v>2013</v>
      </c>
    </row>
    <row r="2" spans="1:9" ht="15.75">
      <c r="A2" s="14"/>
      <c r="B2" s="14"/>
      <c r="C2" s="14"/>
      <c r="D2" s="14"/>
      <c r="E2" s="14"/>
      <c r="F2" s="14"/>
      <c r="G2" s="14"/>
      <c r="H2" s="14"/>
      <c r="I2" s="13"/>
    </row>
    <row r="3" spans="1:10" ht="15.75">
      <c r="A3" s="32" t="s">
        <v>236</v>
      </c>
      <c r="B3" s="17"/>
      <c r="C3" s="17"/>
      <c r="D3" s="17"/>
      <c r="E3" s="17"/>
      <c r="F3" s="17"/>
      <c r="G3" s="17"/>
      <c r="H3" s="17"/>
      <c r="I3" s="31"/>
      <c r="J3" s="3"/>
    </row>
    <row r="4" spans="1:9" ht="15.75">
      <c r="A4" s="14"/>
      <c r="B4" s="18"/>
      <c r="C4" s="18"/>
      <c r="D4" s="18"/>
      <c r="E4" s="18"/>
      <c r="F4" s="18"/>
      <c r="G4" s="18"/>
      <c r="H4" s="18"/>
      <c r="I4" s="18"/>
    </row>
    <row r="5" spans="1:9" ht="15.75">
      <c r="A5" s="14"/>
      <c r="B5" s="33" t="str">
        <f>CONCATENATE("Prior Year Actual for ",I1-2,"")</f>
        <v>Prior Year Actual for 2011</v>
      </c>
      <c r="C5" s="21"/>
      <c r="D5" s="34" t="str">
        <f>CONCATENATE("Current Year Estimate for ",I1-1,"")</f>
        <v>Current Year Estimate for 2012</v>
      </c>
      <c r="E5" s="21"/>
      <c r="F5" s="19" t="str">
        <f>CONCATENATE("Proposed Budget Year for ",I1,"")</f>
        <v>Proposed Budget Year for 2013</v>
      </c>
      <c r="G5" s="20"/>
      <c r="H5" s="20"/>
      <c r="I5" s="21"/>
    </row>
    <row r="6" spans="1:9" ht="21" customHeight="1">
      <c r="A6" s="15" t="s">
        <v>10</v>
      </c>
      <c r="B6" s="22"/>
      <c r="C6" s="22" t="s">
        <v>196</v>
      </c>
      <c r="D6" s="22"/>
      <c r="E6" s="22" t="s">
        <v>196</v>
      </c>
      <c r="F6" s="514" t="s">
        <v>677</v>
      </c>
      <c r="G6" s="762" t="str">
        <f>CONCATENATE("Amount of ",I1-1,"    Ad Valorem Tax")</f>
        <v>Amount of 2012    Ad Valorem Tax</v>
      </c>
      <c r="H6" s="762" t="str">
        <f>CONCATENATE("July 1, ",I1-1," Estimated Valuation")</f>
        <v>July 1, 2012 Estimated Valuation</v>
      </c>
      <c r="I6" s="22" t="s">
        <v>197</v>
      </c>
    </row>
    <row r="7" spans="1:9" ht="15.75">
      <c r="A7" s="23" t="s">
        <v>11</v>
      </c>
      <c r="B7" s="29" t="s">
        <v>141</v>
      </c>
      <c r="C7" s="29" t="s">
        <v>199</v>
      </c>
      <c r="D7" s="29" t="s">
        <v>141</v>
      </c>
      <c r="E7" s="29" t="s">
        <v>199</v>
      </c>
      <c r="F7" s="515" t="s">
        <v>678</v>
      </c>
      <c r="G7" s="763"/>
      <c r="H7" s="763"/>
      <c r="I7" s="29" t="s">
        <v>199</v>
      </c>
    </row>
    <row r="8" spans="1:9" ht="15.75">
      <c r="A8" s="9"/>
      <c r="B8" s="9"/>
      <c r="C8" s="11"/>
      <c r="D8" s="9"/>
      <c r="E8" s="11"/>
      <c r="F8" s="9"/>
      <c r="G8" s="9"/>
      <c r="H8" s="9"/>
      <c r="I8" s="59" t="str">
        <f aca="true" t="shared" si="0" ref="I8:I36">IF(H8&lt;&gt;0,ROUND(G8/H8*1000,3)," ")</f>
        <v> </v>
      </c>
    </row>
    <row r="9" spans="1:9" ht="15.75">
      <c r="A9" s="9"/>
      <c r="B9" s="9"/>
      <c r="C9" s="11"/>
      <c r="D9" s="9"/>
      <c r="E9" s="11"/>
      <c r="F9" s="9"/>
      <c r="G9" s="9"/>
      <c r="H9" s="9"/>
      <c r="I9" s="59" t="str">
        <f t="shared" si="0"/>
        <v> </v>
      </c>
    </row>
    <row r="10" spans="1:9" ht="15.75">
      <c r="A10" s="9"/>
      <c r="B10" s="9"/>
      <c r="C10" s="11"/>
      <c r="D10" s="9"/>
      <c r="E10" s="11"/>
      <c r="F10" s="9"/>
      <c r="G10" s="9"/>
      <c r="H10" s="9"/>
      <c r="I10" s="59" t="str">
        <f t="shared" si="0"/>
        <v> </v>
      </c>
    </row>
    <row r="11" spans="1:9" ht="15.75">
      <c r="A11" s="9"/>
      <c r="B11" s="9"/>
      <c r="C11" s="11"/>
      <c r="D11" s="9"/>
      <c r="E11" s="11"/>
      <c r="F11" s="9"/>
      <c r="G11" s="9"/>
      <c r="H11" s="9"/>
      <c r="I11" s="59" t="str">
        <f t="shared" si="0"/>
        <v> </v>
      </c>
    </row>
    <row r="12" spans="1:9" ht="15.75">
      <c r="A12" s="9"/>
      <c r="B12" s="9"/>
      <c r="C12" s="11"/>
      <c r="D12" s="9"/>
      <c r="E12" s="11"/>
      <c r="F12" s="9"/>
      <c r="G12" s="9"/>
      <c r="H12" s="9"/>
      <c r="I12" s="59" t="str">
        <f t="shared" si="0"/>
        <v> </v>
      </c>
    </row>
    <row r="13" spans="1:9" ht="15.75">
      <c r="A13" s="9"/>
      <c r="B13" s="9"/>
      <c r="C13" s="11"/>
      <c r="D13" s="9"/>
      <c r="E13" s="11"/>
      <c r="F13" s="9"/>
      <c r="G13" s="9"/>
      <c r="H13" s="9"/>
      <c r="I13" s="59" t="str">
        <f t="shared" si="0"/>
        <v> </v>
      </c>
    </row>
    <row r="14" spans="1:9" ht="15.75">
      <c r="A14" s="9"/>
      <c r="B14" s="9"/>
      <c r="C14" s="11"/>
      <c r="D14" s="9"/>
      <c r="E14" s="11"/>
      <c r="F14" s="9"/>
      <c r="G14" s="9"/>
      <c r="H14" s="9"/>
      <c r="I14" s="59" t="str">
        <f t="shared" si="0"/>
        <v> </v>
      </c>
    </row>
    <row r="15" spans="1:9" ht="15.75">
      <c r="A15" s="9"/>
      <c r="B15" s="9"/>
      <c r="C15" s="11"/>
      <c r="D15" s="9"/>
      <c r="E15" s="11"/>
      <c r="F15" s="9"/>
      <c r="G15" s="9"/>
      <c r="H15" s="9"/>
      <c r="I15" s="59" t="str">
        <f t="shared" si="0"/>
        <v> </v>
      </c>
    </row>
    <row r="16" spans="1:9" ht="15.75">
      <c r="A16" s="9"/>
      <c r="B16" s="9"/>
      <c r="C16" s="11"/>
      <c r="D16" s="9"/>
      <c r="E16" s="11"/>
      <c r="F16" s="9"/>
      <c r="G16" s="9"/>
      <c r="H16" s="9"/>
      <c r="I16" s="59" t="str">
        <f t="shared" si="0"/>
        <v> </v>
      </c>
    </row>
    <row r="17" spans="1:9" ht="15.75">
      <c r="A17" s="9"/>
      <c r="B17" s="9"/>
      <c r="C17" s="11"/>
      <c r="D17" s="9"/>
      <c r="E17" s="11"/>
      <c r="F17" s="9"/>
      <c r="G17" s="9"/>
      <c r="H17" s="9"/>
      <c r="I17" s="59" t="str">
        <f t="shared" si="0"/>
        <v> </v>
      </c>
    </row>
    <row r="18" spans="1:9" ht="15.75">
      <c r="A18" s="9"/>
      <c r="B18" s="9"/>
      <c r="C18" s="11"/>
      <c r="D18" s="9"/>
      <c r="E18" s="11"/>
      <c r="F18" s="9"/>
      <c r="G18" s="9"/>
      <c r="H18" s="9"/>
      <c r="I18" s="59" t="str">
        <f t="shared" si="0"/>
        <v> </v>
      </c>
    </row>
    <row r="19" spans="1:9" ht="15.75">
      <c r="A19" s="9"/>
      <c r="B19" s="9"/>
      <c r="C19" s="11"/>
      <c r="D19" s="9"/>
      <c r="E19" s="11"/>
      <c r="F19" s="9"/>
      <c r="G19" s="9"/>
      <c r="H19" s="9"/>
      <c r="I19" s="59" t="str">
        <f t="shared" si="0"/>
        <v> </v>
      </c>
    </row>
    <row r="20" spans="1:9" ht="15.75">
      <c r="A20" s="9"/>
      <c r="B20" s="9"/>
      <c r="C20" s="11"/>
      <c r="D20" s="9"/>
      <c r="E20" s="11"/>
      <c r="F20" s="9"/>
      <c r="G20" s="9"/>
      <c r="H20" s="9"/>
      <c r="I20" s="59" t="str">
        <f t="shared" si="0"/>
        <v> </v>
      </c>
    </row>
    <row r="21" spans="1:9" ht="15.75">
      <c r="A21" s="9"/>
      <c r="B21" s="9"/>
      <c r="C21" s="11"/>
      <c r="D21" s="9"/>
      <c r="E21" s="11"/>
      <c r="F21" s="9"/>
      <c r="G21" s="9"/>
      <c r="H21" s="9"/>
      <c r="I21" s="59" t="str">
        <f t="shared" si="0"/>
        <v> </v>
      </c>
    </row>
    <row r="22" spans="1:9" ht="15.75">
      <c r="A22" s="9"/>
      <c r="B22" s="9"/>
      <c r="C22" s="11"/>
      <c r="D22" s="9"/>
      <c r="E22" s="11"/>
      <c r="F22" s="9"/>
      <c r="G22" s="9"/>
      <c r="H22" s="9"/>
      <c r="I22" s="59" t="str">
        <f t="shared" si="0"/>
        <v> </v>
      </c>
    </row>
    <row r="23" spans="1:9" ht="15.75">
      <c r="A23" s="9"/>
      <c r="B23" s="9"/>
      <c r="C23" s="11"/>
      <c r="D23" s="9"/>
      <c r="E23" s="11"/>
      <c r="F23" s="9"/>
      <c r="G23" s="9"/>
      <c r="H23" s="9"/>
      <c r="I23" s="59" t="str">
        <f t="shared" si="0"/>
        <v> </v>
      </c>
    </row>
    <row r="24" spans="1:9" ht="15.75">
      <c r="A24" s="9"/>
      <c r="B24" s="9"/>
      <c r="C24" s="11"/>
      <c r="D24" s="9"/>
      <c r="E24" s="11"/>
      <c r="F24" s="9"/>
      <c r="G24" s="9"/>
      <c r="H24" s="9"/>
      <c r="I24" s="59" t="str">
        <f t="shared" si="0"/>
        <v> </v>
      </c>
    </row>
    <row r="25" spans="1:9" ht="15.75">
      <c r="A25" s="9"/>
      <c r="B25" s="9"/>
      <c r="C25" s="11"/>
      <c r="D25" s="9"/>
      <c r="E25" s="11"/>
      <c r="F25" s="9"/>
      <c r="G25" s="9"/>
      <c r="H25" s="9"/>
      <c r="I25" s="59" t="str">
        <f t="shared" si="0"/>
        <v> </v>
      </c>
    </row>
    <row r="26" spans="1:9" ht="15.75">
      <c r="A26" s="9"/>
      <c r="B26" s="9"/>
      <c r="C26" s="11"/>
      <c r="D26" s="9"/>
      <c r="E26" s="11"/>
      <c r="F26" s="9"/>
      <c r="G26" s="9"/>
      <c r="H26" s="9"/>
      <c r="I26" s="59" t="str">
        <f t="shared" si="0"/>
        <v> </v>
      </c>
    </row>
    <row r="27" spans="1:9" ht="15.75">
      <c r="A27" s="9"/>
      <c r="B27" s="9"/>
      <c r="C27" s="11"/>
      <c r="D27" s="9"/>
      <c r="E27" s="11"/>
      <c r="F27" s="9"/>
      <c r="G27" s="9"/>
      <c r="H27" s="9"/>
      <c r="I27" s="59" t="str">
        <f t="shared" si="0"/>
        <v> </v>
      </c>
    </row>
    <row r="28" spans="1:9" ht="15.75">
      <c r="A28" s="9"/>
      <c r="B28" s="9"/>
      <c r="C28" s="11"/>
      <c r="D28" s="9"/>
      <c r="E28" s="11"/>
      <c r="F28" s="9"/>
      <c r="G28" s="9"/>
      <c r="H28" s="9"/>
      <c r="I28" s="59" t="str">
        <f t="shared" si="0"/>
        <v> </v>
      </c>
    </row>
    <row r="29" spans="1:9" ht="15.75">
      <c r="A29" s="9"/>
      <c r="B29" s="9"/>
      <c r="C29" s="11"/>
      <c r="D29" s="9"/>
      <c r="E29" s="11"/>
      <c r="F29" s="9"/>
      <c r="G29" s="9"/>
      <c r="H29" s="9"/>
      <c r="I29" s="59" t="str">
        <f t="shared" si="0"/>
        <v> </v>
      </c>
    </row>
    <row r="30" spans="1:9" ht="15.75">
      <c r="A30" s="9"/>
      <c r="B30" s="9"/>
      <c r="C30" s="11"/>
      <c r="D30" s="9"/>
      <c r="E30" s="11"/>
      <c r="F30" s="9"/>
      <c r="G30" s="9"/>
      <c r="H30" s="9"/>
      <c r="I30" s="59" t="str">
        <f t="shared" si="0"/>
        <v> </v>
      </c>
    </row>
    <row r="31" spans="1:9" ht="15.75">
      <c r="A31" s="9"/>
      <c r="B31" s="9"/>
      <c r="C31" s="11"/>
      <c r="D31" s="9"/>
      <c r="E31" s="11"/>
      <c r="F31" s="9"/>
      <c r="G31" s="9"/>
      <c r="H31" s="9"/>
      <c r="I31" s="59" t="str">
        <f t="shared" si="0"/>
        <v> </v>
      </c>
    </row>
    <row r="32" spans="1:9" ht="15.75">
      <c r="A32" s="9"/>
      <c r="B32" s="9"/>
      <c r="C32" s="11"/>
      <c r="D32" s="9"/>
      <c r="E32" s="11"/>
      <c r="F32" s="9"/>
      <c r="G32" s="9"/>
      <c r="H32" s="9"/>
      <c r="I32" s="59" t="str">
        <f t="shared" si="0"/>
        <v> </v>
      </c>
    </row>
    <row r="33" spans="1:9" ht="15.75">
      <c r="A33" s="9"/>
      <c r="B33" s="9"/>
      <c r="C33" s="11"/>
      <c r="D33" s="9"/>
      <c r="E33" s="11"/>
      <c r="F33" s="9"/>
      <c r="G33" s="9"/>
      <c r="H33" s="9"/>
      <c r="I33" s="59" t="str">
        <f t="shared" si="0"/>
        <v> </v>
      </c>
    </row>
    <row r="34" spans="1:9" ht="15.75">
      <c r="A34" s="9"/>
      <c r="B34" s="9"/>
      <c r="C34" s="11"/>
      <c r="D34" s="9"/>
      <c r="E34" s="11"/>
      <c r="F34" s="9"/>
      <c r="G34" s="9"/>
      <c r="H34" s="9"/>
      <c r="I34" s="59" t="str">
        <f t="shared" si="0"/>
        <v> </v>
      </c>
    </row>
    <row r="35" spans="1:9" ht="15.75">
      <c r="A35" s="9"/>
      <c r="B35" s="9"/>
      <c r="C35" s="11"/>
      <c r="D35" s="9"/>
      <c r="E35" s="11"/>
      <c r="F35" s="9"/>
      <c r="G35" s="9"/>
      <c r="H35" s="9"/>
      <c r="I35" s="59" t="str">
        <f t="shared" si="0"/>
        <v> </v>
      </c>
    </row>
    <row r="36" spans="1:9" ht="15.75">
      <c r="A36" s="9"/>
      <c r="B36" s="9"/>
      <c r="C36" s="11"/>
      <c r="D36" s="9"/>
      <c r="E36" s="11"/>
      <c r="F36" s="9"/>
      <c r="G36" s="9"/>
      <c r="H36" s="9"/>
      <c r="I36" s="59" t="str">
        <f t="shared" si="0"/>
        <v> </v>
      </c>
    </row>
    <row r="37" spans="1:9" ht="15.75">
      <c r="A37" s="24" t="s">
        <v>158</v>
      </c>
      <c r="B37" s="25">
        <f>SUM(B8:B36)</f>
        <v>0</v>
      </c>
      <c r="C37" s="35">
        <f>SUM(C8:C24)</f>
        <v>0</v>
      </c>
      <c r="D37" s="25">
        <f>SUM(D8:D36)</f>
        <v>0</v>
      </c>
      <c r="E37" s="35">
        <f>SUM(E8:E24)</f>
        <v>0</v>
      </c>
      <c r="F37" s="25">
        <f>SUM(F8:F36)</f>
        <v>0</v>
      </c>
      <c r="G37" s="25">
        <f>SUM(G8:G36)</f>
        <v>0</v>
      </c>
      <c r="H37" s="25"/>
      <c r="I37" s="35">
        <f>SUM(I8:I24)</f>
        <v>0</v>
      </c>
    </row>
    <row r="38" spans="1:9" ht="15.75">
      <c r="A38" s="14"/>
      <c r="B38" s="14"/>
      <c r="C38" s="14"/>
      <c r="D38" s="14"/>
      <c r="E38" s="14"/>
      <c r="F38" s="14"/>
      <c r="G38" s="14"/>
      <c r="H38" s="14"/>
      <c r="I38" s="14"/>
    </row>
    <row r="39" spans="1:9" ht="15.75">
      <c r="A39" s="15" t="s">
        <v>209</v>
      </c>
      <c r="B39" s="14"/>
      <c r="C39" s="14"/>
      <c r="D39" s="14"/>
      <c r="E39" s="14"/>
      <c r="F39" s="14"/>
      <c r="G39" s="14"/>
      <c r="H39" s="14"/>
      <c r="I39" s="14"/>
    </row>
    <row r="40" spans="1:9" ht="15.75">
      <c r="A40" s="14"/>
      <c r="B40" s="14"/>
      <c r="C40" s="14"/>
      <c r="D40" s="14"/>
      <c r="E40" s="14"/>
      <c r="F40" s="14"/>
      <c r="G40" s="14"/>
      <c r="H40" s="14"/>
      <c r="I40" s="14"/>
    </row>
    <row r="41" spans="1:9" ht="15.75">
      <c r="A41" s="26"/>
      <c r="B41" s="14"/>
      <c r="C41" s="14"/>
      <c r="D41" s="14"/>
      <c r="E41" s="14"/>
      <c r="F41" s="14"/>
      <c r="G41" s="14"/>
      <c r="H41" s="14"/>
      <c r="I41" s="14"/>
    </row>
    <row r="42" spans="1:9" ht="15.75">
      <c r="A42" s="16" t="s">
        <v>210</v>
      </c>
      <c r="B42" s="14"/>
      <c r="C42" s="14"/>
      <c r="D42" s="14" t="s">
        <v>194</v>
      </c>
      <c r="E42" s="10"/>
      <c r="F42" s="14"/>
      <c r="G42" s="14"/>
      <c r="H42" s="14"/>
      <c r="I42" s="14"/>
    </row>
    <row r="44" spans="1:9" ht="15.75">
      <c r="A44" s="1"/>
      <c r="B44" s="1"/>
      <c r="C44" s="1"/>
      <c r="D44" s="1"/>
      <c r="E44" s="1"/>
      <c r="F44" s="1"/>
      <c r="G44" s="1"/>
      <c r="H44" s="1"/>
      <c r="I44" s="1"/>
    </row>
    <row r="45" spans="1:9" ht="15.75">
      <c r="A45" s="4"/>
      <c r="B45" s="1"/>
      <c r="C45" s="1"/>
      <c r="D45" s="1"/>
      <c r="E45" s="1"/>
      <c r="F45" s="1"/>
      <c r="G45" s="1"/>
      <c r="H45" s="1"/>
      <c r="I45" s="1"/>
    </row>
    <row r="46" spans="1:9" ht="15.75">
      <c r="A46" s="4"/>
      <c r="B46" s="5"/>
      <c r="C46" s="1"/>
      <c r="D46" s="5"/>
      <c r="E46" s="1"/>
      <c r="F46" s="5"/>
      <c r="G46" s="1"/>
      <c r="H46" s="1"/>
      <c r="I46" s="1"/>
    </row>
    <row r="47" spans="1:9" ht="15.75">
      <c r="A47" s="4"/>
      <c r="B47" s="4"/>
      <c r="C47" s="1"/>
      <c r="D47" s="4"/>
      <c r="E47" s="1"/>
      <c r="F47" s="4"/>
      <c r="G47" s="1"/>
      <c r="H47" s="1"/>
      <c r="I47" s="1"/>
    </row>
    <row r="48" spans="1:9" ht="15.75">
      <c r="A48" s="4"/>
      <c r="B48" s="4"/>
      <c r="C48" s="1"/>
      <c r="D48" s="4"/>
      <c r="E48" s="1"/>
      <c r="F48" s="4"/>
      <c r="G48" s="1"/>
      <c r="H48" s="1"/>
      <c r="I48" s="1"/>
    </row>
    <row r="49" spans="1:9" ht="15.75">
      <c r="A49" s="4"/>
      <c r="B49" s="4"/>
      <c r="C49" s="1"/>
      <c r="D49" s="4"/>
      <c r="E49" s="1"/>
      <c r="F49" s="4"/>
      <c r="G49" s="1"/>
      <c r="H49" s="1"/>
      <c r="I49" s="1"/>
    </row>
    <row r="50" spans="1:9" ht="15.75">
      <c r="A50" s="4"/>
      <c r="B50" s="4"/>
      <c r="C50" s="1"/>
      <c r="D50" s="4"/>
      <c r="E50" s="1"/>
      <c r="F50" s="4"/>
      <c r="G50" s="1"/>
      <c r="H50" s="1"/>
      <c r="I50" s="1"/>
    </row>
    <row r="51" spans="1:9" ht="15.75">
      <c r="A51" s="4"/>
      <c r="B51" s="4"/>
      <c r="C51" s="1"/>
      <c r="D51" s="4"/>
      <c r="E51" s="1"/>
      <c r="F51" s="4"/>
      <c r="G51" s="1"/>
      <c r="H51" s="1"/>
      <c r="I51" s="1"/>
    </row>
    <row r="52" spans="2:9" ht="15.75">
      <c r="B52" s="1"/>
      <c r="C52" s="1"/>
      <c r="D52" s="1"/>
      <c r="E52" s="1"/>
      <c r="F52" s="1"/>
      <c r="G52" s="1"/>
      <c r="H52" s="1"/>
      <c r="I52" s="1"/>
    </row>
    <row r="53" spans="2:9" ht="15.75">
      <c r="B53" s="1"/>
      <c r="C53" s="1"/>
      <c r="D53" s="1"/>
      <c r="E53" s="1"/>
      <c r="F53" s="1"/>
      <c r="G53" s="1"/>
      <c r="H53" s="1"/>
      <c r="I53" s="1"/>
    </row>
    <row r="54" spans="2:9" ht="15.75">
      <c r="B54" s="8"/>
      <c r="C54" s="1"/>
      <c r="D54" s="1"/>
      <c r="E54" s="1"/>
      <c r="F54" s="1"/>
      <c r="G54" s="1"/>
      <c r="H54" s="1"/>
      <c r="I54" s="1"/>
    </row>
    <row r="55" spans="2:9" ht="15.75">
      <c r="B55" s="7"/>
      <c r="C55" s="1"/>
      <c r="D55" s="1"/>
      <c r="E55" s="1"/>
      <c r="F55" s="1"/>
      <c r="G55" s="1"/>
      <c r="H55" s="1"/>
      <c r="I55" s="1"/>
    </row>
    <row r="56" spans="1:9" ht="15.75">
      <c r="A56" s="1"/>
      <c r="B56" s="1"/>
      <c r="C56" s="1"/>
      <c r="D56" s="1"/>
      <c r="E56" s="1"/>
      <c r="F56" s="1"/>
      <c r="G56" s="1"/>
      <c r="H56" s="1"/>
      <c r="I56" s="1"/>
    </row>
    <row r="57" spans="1:9" ht="15.75">
      <c r="A57" s="1"/>
      <c r="B57" s="1" t="s">
        <v>168</v>
      </c>
      <c r="C57" s="10"/>
      <c r="D57" s="1"/>
      <c r="E57" s="1"/>
      <c r="F57" s="1"/>
      <c r="G57" s="1"/>
      <c r="H57" s="1"/>
      <c r="I57" s="1"/>
    </row>
  </sheetData>
  <sheetProtection/>
  <mergeCells count="2">
    <mergeCell ref="G6:G7"/>
    <mergeCell ref="H6:H7"/>
  </mergeCells>
  <printOptions/>
  <pageMargins left="1.12" right="0.5" top="0.74" bottom="0.34" header="0.5" footer="0"/>
  <pageSetup blackAndWhite="1" fitToHeight="1" fitToWidth="1" horizontalDpi="120" verticalDpi="120" orientation="portrait" scale="52" r:id="rId1"/>
  <headerFooter alignWithMargins="0">
    <oddHeader>&amp;RState of Kansas
County
</oddHeader>
  </headerFooter>
</worksheet>
</file>

<file path=xl/worksheets/sheet44.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A1" sqref="A1"/>
    </sheetView>
  </sheetViews>
  <sheetFormatPr defaultColWidth="8.796875" defaultRowHeight="15"/>
  <cols>
    <col min="1" max="1" width="9.19921875" style="165" customWidth="1"/>
    <col min="2" max="2" width="18.59765625" style="165" customWidth="1"/>
    <col min="3" max="3" width="11.796875" style="165" customWidth="1"/>
    <col min="4" max="4" width="12.796875" style="165" customWidth="1"/>
    <col min="5" max="5" width="11.796875" style="165" customWidth="1"/>
    <col min="6" max="16384" width="8.8984375" style="165" customWidth="1"/>
  </cols>
  <sheetData>
    <row r="1" spans="1:6" ht="15.75">
      <c r="A1" s="228" t="str">
        <f>inputPrYr!C2</f>
        <v>Rice County</v>
      </c>
      <c r="B1" s="85"/>
      <c r="C1" s="85"/>
      <c r="D1" s="85"/>
      <c r="E1" s="85"/>
      <c r="F1" s="327">
        <f>inputPrYr!C4</f>
        <v>2013</v>
      </c>
    </row>
    <row r="2" spans="1:6" ht="15.75">
      <c r="A2" s="85"/>
      <c r="B2" s="85"/>
      <c r="C2" s="85"/>
      <c r="D2" s="85"/>
      <c r="E2" s="85"/>
      <c r="F2" s="85"/>
    </row>
    <row r="3" spans="1:6" ht="15.75">
      <c r="A3" s="85"/>
      <c r="B3" s="761" t="str">
        <f>CONCATENATE("",F1," Neighborhood Revitalization Rebate")</f>
        <v>2013 Neighborhood Revitalization Rebate</v>
      </c>
      <c r="C3" s="805"/>
      <c r="D3" s="805"/>
      <c r="E3" s="805"/>
      <c r="F3" s="85"/>
    </row>
    <row r="4" spans="1:6" ht="15.75">
      <c r="A4" s="85"/>
      <c r="B4" s="85"/>
      <c r="C4" s="85"/>
      <c r="D4" s="85"/>
      <c r="E4" s="85"/>
      <c r="F4" s="85"/>
    </row>
    <row r="5" spans="1:6" ht="51" customHeight="1">
      <c r="A5" s="85"/>
      <c r="B5" s="395" t="str">
        <f>CONCATENATE("Budgeted Funds                       for ",F1,"")</f>
        <v>Budgeted Funds                       for 2013</v>
      </c>
      <c r="C5" s="395" t="str">
        <f>CONCATENATE("",F1-1," Ad Valorem before Rebate**")</f>
        <v>2012 Ad Valorem before Rebate**</v>
      </c>
      <c r="D5" s="396" t="str">
        <f>CONCATENATE("",F1-1," Mil Rate before Rebate")</f>
        <v>2012 Mil Rate before Rebate</v>
      </c>
      <c r="E5" s="397" t="str">
        <f>CONCATENATE("Estimate ",F1," NR Rebate")</f>
        <v>Estimate 2013 NR Rebate</v>
      </c>
      <c r="F5" s="137"/>
    </row>
    <row r="6" spans="1:6" ht="15.75">
      <c r="A6" s="85"/>
      <c r="B6" s="103" t="str">
        <f>inputPrYr!B16</f>
        <v>General</v>
      </c>
      <c r="C6" s="398">
        <v>2796769</v>
      </c>
      <c r="D6" s="399">
        <f>IF(C6&gt;0,C6/$D$36,"")</f>
        <v>22.400069417918196</v>
      </c>
      <c r="E6" s="280">
        <f aca="true" t="shared" si="0" ref="E6:E30">IF(C6&gt;0,ROUND(D6*$D$40,0),"")</f>
        <v>57598</v>
      </c>
      <c r="F6" s="137"/>
    </row>
    <row r="7" spans="1:6" ht="15.75">
      <c r="A7" s="85"/>
      <c r="B7" s="103" t="str">
        <f>inputPrYr!B17</f>
        <v>Debt Service</v>
      </c>
      <c r="C7" s="398"/>
      <c r="D7" s="399">
        <f aca="true" t="shared" si="1" ref="D7:D30">IF(C7&gt;0,C7/$D$36,"")</f>
      </c>
      <c r="E7" s="280">
        <f t="shared" si="0"/>
      </c>
      <c r="F7" s="137"/>
    </row>
    <row r="8" spans="1:6" ht="15.75">
      <c r="A8" s="85"/>
      <c r="B8" s="103" t="str">
        <f>inputPrYr!B18</f>
        <v>Road &amp; Bridge</v>
      </c>
      <c r="C8" s="398">
        <v>745594</v>
      </c>
      <c r="D8" s="399">
        <f t="shared" si="1"/>
        <v>5.971661355508195</v>
      </c>
      <c r="E8" s="280">
        <f t="shared" si="0"/>
        <v>15355</v>
      </c>
      <c r="F8" s="137"/>
    </row>
    <row r="9" spans="1:6" ht="15.75">
      <c r="A9" s="85"/>
      <c r="B9" s="103" t="str">
        <f>inputPrYr!B19</f>
        <v>Employee Benefits</v>
      </c>
      <c r="C9" s="398">
        <v>1344850</v>
      </c>
      <c r="D9" s="399">
        <f t="shared" si="1"/>
        <v>10.77126260934932</v>
      </c>
      <c r="E9" s="280">
        <f t="shared" si="0"/>
        <v>27697</v>
      </c>
      <c r="F9" s="137"/>
    </row>
    <row r="10" spans="1:6" ht="15.75">
      <c r="A10" s="85"/>
      <c r="B10" s="103" t="str">
        <f>inputPrYr!B20</f>
        <v>Emergency Medical Services</v>
      </c>
      <c r="C10" s="398">
        <v>105797</v>
      </c>
      <c r="D10" s="399">
        <f t="shared" si="1"/>
        <v>0.8473564117048964</v>
      </c>
      <c r="E10" s="280">
        <f t="shared" si="0"/>
        <v>2179</v>
      </c>
      <c r="F10" s="137"/>
    </row>
    <row r="11" spans="1:6" ht="15.75">
      <c r="A11" s="85"/>
      <c r="B11" s="103" t="str">
        <f>inputPrYr!B21</f>
        <v>Noxious Weed</v>
      </c>
      <c r="C11" s="398">
        <v>164071</v>
      </c>
      <c r="D11" s="399">
        <f t="shared" si="1"/>
        <v>1.314088431853777</v>
      </c>
      <c r="E11" s="280">
        <f t="shared" si="0"/>
        <v>3379</v>
      </c>
      <c r="F11" s="137"/>
    </row>
    <row r="12" spans="1:6" ht="15.75">
      <c r="A12" s="85"/>
      <c r="B12" s="103" t="str">
        <f>inputPrYr!B22</f>
        <v>Health</v>
      </c>
      <c r="C12" s="400">
        <v>125161</v>
      </c>
      <c r="D12" s="399">
        <f t="shared" si="1"/>
        <v>1.0024478562284047</v>
      </c>
      <c r="E12" s="280">
        <f t="shared" si="0"/>
        <v>2578</v>
      </c>
      <c r="F12" s="137"/>
    </row>
    <row r="13" spans="1:6" ht="15.75">
      <c r="A13" s="85"/>
      <c r="B13" s="103" t="str">
        <f>inputPrYr!B23</f>
        <v>Historical Society</v>
      </c>
      <c r="C13" s="400">
        <v>124000</v>
      </c>
      <c r="D13" s="399">
        <f t="shared" si="1"/>
        <v>0.993149097341202</v>
      </c>
      <c r="E13" s="280">
        <f t="shared" si="0"/>
        <v>2554</v>
      </c>
      <c r="F13" s="137"/>
    </row>
    <row r="14" spans="1:6" ht="15.75">
      <c r="A14" s="85"/>
      <c r="B14" s="103" t="str">
        <f>inputPrYr!B24</f>
        <v>Senior Citizens</v>
      </c>
      <c r="C14" s="400">
        <v>233080</v>
      </c>
      <c r="D14" s="399">
        <f t="shared" si="1"/>
        <v>1.8667999323248983</v>
      </c>
      <c r="E14" s="280">
        <f t="shared" si="0"/>
        <v>4800</v>
      </c>
      <c r="F14" s="137"/>
    </row>
    <row r="15" spans="1:6" ht="15.75">
      <c r="A15" s="85"/>
      <c r="B15" s="103">
        <f>inputPrYr!B25</f>
        <v>0</v>
      </c>
      <c r="C15" s="400"/>
      <c r="D15" s="399">
        <f t="shared" si="1"/>
      </c>
      <c r="E15" s="280">
        <f t="shared" si="0"/>
      </c>
      <c r="F15" s="137"/>
    </row>
    <row r="16" spans="1:6" ht="15.75">
      <c r="A16" s="85"/>
      <c r="B16" s="103">
        <f>inputPrYr!B26</f>
        <v>0</v>
      </c>
      <c r="C16" s="400"/>
      <c r="D16" s="399">
        <f t="shared" si="1"/>
      </c>
      <c r="E16" s="280">
        <f t="shared" si="0"/>
      </c>
      <c r="F16" s="137"/>
    </row>
    <row r="17" spans="1:6" ht="15.75">
      <c r="A17" s="85"/>
      <c r="B17" s="103">
        <f>inputPrYr!B27</f>
        <v>0</v>
      </c>
      <c r="C17" s="400"/>
      <c r="D17" s="399">
        <f t="shared" si="1"/>
      </c>
      <c r="E17" s="280">
        <f t="shared" si="0"/>
      </c>
      <c r="F17" s="137"/>
    </row>
    <row r="18" spans="1:6" ht="15.75">
      <c r="A18" s="85"/>
      <c r="B18" s="103">
        <f>inputPrYr!B28</f>
        <v>0</v>
      </c>
      <c r="C18" s="400"/>
      <c r="D18" s="399">
        <f t="shared" si="1"/>
      </c>
      <c r="E18" s="280">
        <f t="shared" si="0"/>
      </c>
      <c r="F18" s="137"/>
    </row>
    <row r="19" spans="1:6" ht="15.75">
      <c r="A19" s="85"/>
      <c r="B19" s="103">
        <f>inputPrYr!B29</f>
        <v>0</v>
      </c>
      <c r="C19" s="400"/>
      <c r="D19" s="399">
        <f t="shared" si="1"/>
      </c>
      <c r="E19" s="280">
        <f t="shared" si="0"/>
      </c>
      <c r="F19" s="137"/>
    </row>
    <row r="20" spans="1:6" ht="15.75">
      <c r="A20" s="85"/>
      <c r="B20" s="103">
        <f>inputPrYr!B30</f>
        <v>0</v>
      </c>
      <c r="C20" s="400"/>
      <c r="D20" s="399">
        <f t="shared" si="1"/>
      </c>
      <c r="E20" s="280">
        <f t="shared" si="0"/>
      </c>
      <c r="F20" s="137"/>
    </row>
    <row r="21" spans="1:6" ht="15.75">
      <c r="A21" s="85"/>
      <c r="B21" s="103">
        <f>inputPrYr!B31</f>
        <v>0</v>
      </c>
      <c r="C21" s="400"/>
      <c r="D21" s="399">
        <f t="shared" si="1"/>
      </c>
      <c r="E21" s="280">
        <f t="shared" si="0"/>
      </c>
      <c r="F21" s="137"/>
    </row>
    <row r="22" spans="1:6" ht="15.75">
      <c r="A22" s="85"/>
      <c r="B22" s="103">
        <f>inputPrYr!B32</f>
        <v>0</v>
      </c>
      <c r="C22" s="400"/>
      <c r="D22" s="399">
        <f t="shared" si="1"/>
      </c>
      <c r="E22" s="280">
        <f t="shared" si="0"/>
      </c>
      <c r="F22" s="137"/>
    </row>
    <row r="23" spans="1:6" ht="15.75">
      <c r="A23" s="85"/>
      <c r="B23" s="103">
        <f>inputPrYr!B33</f>
        <v>0</v>
      </c>
      <c r="C23" s="400"/>
      <c r="D23" s="399">
        <f t="shared" si="1"/>
      </c>
      <c r="E23" s="280">
        <f t="shared" si="0"/>
      </c>
      <c r="F23" s="137"/>
    </row>
    <row r="24" spans="1:6" ht="15.75">
      <c r="A24" s="85"/>
      <c r="B24" s="103">
        <f>inputPrYr!B34</f>
        <v>0</v>
      </c>
      <c r="C24" s="400"/>
      <c r="D24" s="399">
        <f t="shared" si="1"/>
      </c>
      <c r="E24" s="280">
        <f t="shared" si="0"/>
      </c>
      <c r="F24" s="137"/>
    </row>
    <row r="25" spans="1:6" ht="15.75">
      <c r="A25" s="85"/>
      <c r="B25" s="103">
        <f>inputPrYr!B35</f>
        <v>0</v>
      </c>
      <c r="C25" s="400"/>
      <c r="D25" s="399">
        <f t="shared" si="1"/>
      </c>
      <c r="E25" s="280">
        <f t="shared" si="0"/>
      </c>
      <c r="F25" s="137"/>
    </row>
    <row r="26" spans="1:6" ht="15.75">
      <c r="A26" s="85"/>
      <c r="B26" s="103">
        <f>inputPrYr!B36</f>
        <v>0</v>
      </c>
      <c r="C26" s="400"/>
      <c r="D26" s="399">
        <f t="shared" si="1"/>
      </c>
      <c r="E26" s="280">
        <f t="shared" si="0"/>
      </c>
      <c r="F26" s="137"/>
    </row>
    <row r="27" spans="1:6" ht="15.75">
      <c r="A27" s="85"/>
      <c r="B27" s="103">
        <f>inputPrYr!B37</f>
        <v>0</v>
      </c>
      <c r="C27" s="400"/>
      <c r="D27" s="399">
        <f t="shared" si="1"/>
      </c>
      <c r="E27" s="280">
        <f t="shared" si="0"/>
      </c>
      <c r="F27" s="137"/>
    </row>
    <row r="28" spans="1:6" ht="15.75">
      <c r="A28" s="85"/>
      <c r="B28" s="103">
        <f>inputPrYr!B38</f>
        <v>0</v>
      </c>
      <c r="C28" s="400"/>
      <c r="D28" s="399">
        <f t="shared" si="1"/>
      </c>
      <c r="E28" s="280">
        <f t="shared" si="0"/>
      </c>
      <c r="F28" s="137"/>
    </row>
    <row r="29" spans="1:6" ht="15.75">
      <c r="A29" s="85"/>
      <c r="B29" s="103">
        <f>inputPrYr!B39</f>
        <v>0</v>
      </c>
      <c r="C29" s="400"/>
      <c r="D29" s="399">
        <f t="shared" si="1"/>
      </c>
      <c r="E29" s="280">
        <f t="shared" si="0"/>
      </c>
      <c r="F29" s="137"/>
    </row>
    <row r="30" spans="1:6" ht="15.75">
      <c r="A30" s="85"/>
      <c r="B30" s="103">
        <f>inputPrYr!B40</f>
        <v>0</v>
      </c>
      <c r="C30" s="400"/>
      <c r="D30" s="399">
        <f t="shared" si="1"/>
      </c>
      <c r="E30" s="280">
        <f t="shared" si="0"/>
      </c>
      <c r="F30" s="137"/>
    </row>
    <row r="31" spans="1:6" ht="16.5" thickBot="1">
      <c r="A31" s="85"/>
      <c r="B31" s="108" t="s">
        <v>153</v>
      </c>
      <c r="C31" s="401">
        <f>SUM(C6:C30)</f>
        <v>5639322</v>
      </c>
      <c r="D31" s="402">
        <f>SUM(D6:D30)</f>
        <v>45.16683511222889</v>
      </c>
      <c r="E31" s="401">
        <f>SUM(E6:E30)</f>
        <v>116140</v>
      </c>
      <c r="F31" s="137"/>
    </row>
    <row r="32" spans="1:6" ht="16.5" thickTop="1">
      <c r="A32" s="85"/>
      <c r="B32" s="85"/>
      <c r="C32" s="85"/>
      <c r="D32" s="85"/>
      <c r="E32" s="85"/>
      <c r="F32" s="137"/>
    </row>
    <row r="33" spans="1:6" ht="15.75">
      <c r="A33" s="85"/>
      <c r="B33" s="85"/>
      <c r="C33" s="85"/>
      <c r="D33" s="85"/>
      <c r="E33" s="85"/>
      <c r="F33" s="137"/>
    </row>
    <row r="34" spans="1:6" ht="15.75">
      <c r="A34" s="806" t="str">
        <f>CONCATENATE("",F1-1," July 1 Valuation:")</f>
        <v>2012 July 1 Valuation:</v>
      </c>
      <c r="B34" s="781"/>
      <c r="C34" s="806"/>
      <c r="D34" s="403">
        <f>inputOth!E6</f>
        <v>124855372</v>
      </c>
      <c r="E34" s="85"/>
      <c r="F34" s="137"/>
    </row>
    <row r="35" spans="1:6" ht="15.75">
      <c r="A35" s="85"/>
      <c r="B35" s="85"/>
      <c r="C35" s="85"/>
      <c r="D35" s="85"/>
      <c r="E35" s="85"/>
      <c r="F35" s="137"/>
    </row>
    <row r="36" spans="1:6" ht="15.75">
      <c r="A36" s="85"/>
      <c r="B36" s="806" t="s">
        <v>411</v>
      </c>
      <c r="C36" s="806"/>
      <c r="D36" s="404">
        <f>IF(D34&gt;0,(D34*0.001),"")</f>
        <v>124855.372</v>
      </c>
      <c r="E36" s="85"/>
      <c r="F36" s="137"/>
    </row>
    <row r="37" spans="1:6" ht="15.75">
      <c r="A37" s="85"/>
      <c r="B37" s="288"/>
      <c r="C37" s="288"/>
      <c r="D37" s="405"/>
      <c r="E37" s="85"/>
      <c r="F37" s="137"/>
    </row>
    <row r="38" spans="1:6" ht="15.75">
      <c r="A38" s="804" t="s">
        <v>412</v>
      </c>
      <c r="B38" s="753"/>
      <c r="C38" s="753"/>
      <c r="D38" s="406">
        <f>inputOth!E12</f>
        <v>2571348</v>
      </c>
      <c r="E38" s="154"/>
      <c r="F38" s="154"/>
    </row>
    <row r="39" spans="1:6" ht="15">
      <c r="A39" s="154"/>
      <c r="B39" s="154"/>
      <c r="C39" s="154"/>
      <c r="D39" s="407"/>
      <c r="E39" s="154"/>
      <c r="F39" s="154"/>
    </row>
    <row r="40" spans="1:6" ht="15.75">
      <c r="A40" s="154"/>
      <c r="B40" s="804" t="s">
        <v>413</v>
      </c>
      <c r="C40" s="781"/>
      <c r="D40" s="408">
        <f>IF(D38&gt;0,(D38*0.001),"")</f>
        <v>2571.348</v>
      </c>
      <c r="E40" s="154"/>
      <c r="F40" s="154"/>
    </row>
    <row r="41" spans="1:6" ht="15">
      <c r="A41" s="154"/>
      <c r="B41" s="154"/>
      <c r="C41" s="154"/>
      <c r="D41" s="154"/>
      <c r="E41" s="154"/>
      <c r="F41" s="154"/>
    </row>
    <row r="42" spans="1:6" ht="15">
      <c r="A42" s="154"/>
      <c r="B42" s="154"/>
      <c r="C42" s="154"/>
      <c r="D42" s="154"/>
      <c r="E42" s="154"/>
      <c r="F42" s="154"/>
    </row>
    <row r="43" spans="1:6" ht="15.75">
      <c r="A43" s="28" t="str">
        <f>CONCATENATE("**This information comes from the ",F1," Budget Summary page.  See instructions tab #11 for completing")</f>
        <v>**This information comes from the 2013 Budget Summary page.  See instructions tab #11 for completing</v>
      </c>
      <c r="B43" s="154"/>
      <c r="C43" s="154"/>
      <c r="D43" s="154"/>
      <c r="E43" s="154"/>
      <c r="F43" s="154"/>
    </row>
    <row r="44" spans="1:6" ht="15.75">
      <c r="A44" s="28" t="s">
        <v>657</v>
      </c>
      <c r="B44" s="154"/>
      <c r="C44" s="154"/>
      <c r="D44" s="154"/>
      <c r="E44" s="154"/>
      <c r="F44" s="154"/>
    </row>
    <row r="45" spans="1:6" ht="15.75">
      <c r="A45" s="28"/>
      <c r="B45" s="154"/>
      <c r="C45" s="154"/>
      <c r="D45" s="154"/>
      <c r="E45" s="154"/>
      <c r="F45" s="154"/>
    </row>
    <row r="46" spans="1:6" ht="15.75">
      <c r="A46" s="28"/>
      <c r="B46" s="154"/>
      <c r="C46" s="154"/>
      <c r="D46" s="154"/>
      <c r="E46" s="154"/>
      <c r="F46" s="154"/>
    </row>
    <row r="47" spans="1:6" ht="15.75">
      <c r="A47" s="28"/>
      <c r="B47" s="154"/>
      <c r="C47" s="154"/>
      <c r="D47" s="154"/>
      <c r="E47" s="154"/>
      <c r="F47" s="154"/>
    </row>
    <row r="48" spans="1:6" ht="15.75">
      <c r="A48" s="28"/>
      <c r="B48" s="154"/>
      <c r="C48" s="154"/>
      <c r="D48" s="154"/>
      <c r="E48" s="154"/>
      <c r="F48" s="154"/>
    </row>
    <row r="49" spans="1:6" ht="15">
      <c r="A49" s="154"/>
      <c r="B49" s="154"/>
      <c r="C49" s="154"/>
      <c r="D49" s="154"/>
      <c r="E49" s="154"/>
      <c r="F49" s="154"/>
    </row>
    <row r="50" spans="1:6" ht="15">
      <c r="A50" s="154"/>
      <c r="B50" s="154"/>
      <c r="C50" s="154"/>
      <c r="D50" s="154"/>
      <c r="E50" s="154"/>
      <c r="F50" s="154"/>
    </row>
    <row r="51" spans="1:6" ht="15.75">
      <c r="A51" s="154"/>
      <c r="B51" s="323" t="s">
        <v>194</v>
      </c>
      <c r="C51" s="350">
        <v>22</v>
      </c>
      <c r="D51" s="154"/>
      <c r="E51" s="154"/>
      <c r="F51" s="154"/>
    </row>
    <row r="52" spans="1:6" ht="15.75">
      <c r="A52" s="137"/>
      <c r="B52" s="85"/>
      <c r="C52" s="85"/>
      <c r="D52" s="409"/>
      <c r="E52" s="137"/>
      <c r="F52" s="137"/>
    </row>
  </sheetData>
  <sheetProtection sheet="1"/>
  <mergeCells count="5">
    <mergeCell ref="B40:C40"/>
    <mergeCell ref="B3:E3"/>
    <mergeCell ref="A34:C34"/>
    <mergeCell ref="B36:C36"/>
    <mergeCell ref="A38:C38"/>
  </mergeCells>
  <printOptions/>
  <pageMargins left="0.75" right="0.75" top="1" bottom="1" header="0.5" footer="0.5"/>
  <pageSetup blackAndWhite="1" fitToHeight="1" fitToWidth="1" horizontalDpi="600" verticalDpi="600" orientation="portrait" scale="82" r:id="rId1"/>
  <headerFooter alignWithMargins="0">
    <oddHeader>&amp;RState of Kansas
County</oddHeader>
  </headerFooter>
</worksheet>
</file>

<file path=xl/worksheets/sheet45.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9.796875" defaultRowHeight="15"/>
  <cols>
    <col min="1" max="16384" width="9.796875" style="40" customWidth="1"/>
  </cols>
  <sheetData>
    <row r="1" spans="1:8" ht="11.25" customHeight="1">
      <c r="A1" s="36"/>
      <c r="B1" s="37"/>
      <c r="C1" s="37"/>
      <c r="D1" s="37"/>
      <c r="E1" s="37"/>
      <c r="F1" s="37"/>
      <c r="G1" s="38"/>
      <c r="H1" s="39"/>
    </row>
    <row r="2" spans="1:8" ht="15.75" customHeight="1">
      <c r="A2" s="807" t="s">
        <v>300</v>
      </c>
      <c r="B2" s="807"/>
      <c r="C2" s="807"/>
      <c r="D2" s="807"/>
      <c r="E2" s="807"/>
      <c r="F2" s="807"/>
      <c r="G2" s="807"/>
      <c r="H2" s="807"/>
    </row>
    <row r="3" spans="1:8" ht="9" customHeight="1">
      <c r="A3" s="36"/>
      <c r="B3" s="54"/>
      <c r="C3" s="54"/>
      <c r="D3" s="54"/>
      <c r="E3" s="54"/>
      <c r="F3" s="54"/>
      <c r="G3" s="41"/>
      <c r="H3" s="55"/>
    </row>
    <row r="4" spans="1:8" ht="15.75" customHeight="1">
      <c r="A4" s="808" t="s">
        <v>1110</v>
      </c>
      <c r="B4" s="808"/>
      <c r="C4" s="808"/>
      <c r="D4" s="808"/>
      <c r="E4" s="808"/>
      <c r="F4" s="808"/>
      <c r="G4" s="808"/>
      <c r="H4" s="808"/>
    </row>
    <row r="5" spans="1:8" ht="9" customHeight="1">
      <c r="A5" s="42"/>
      <c r="B5" s="54"/>
      <c r="C5" s="54"/>
      <c r="D5" s="54"/>
      <c r="E5" s="54"/>
      <c r="F5" s="54"/>
      <c r="G5" s="54"/>
      <c r="H5" s="55"/>
    </row>
    <row r="6" spans="1:8" ht="15.75" customHeight="1">
      <c r="A6" s="43" t="str">
        <f>CONCATENATE("A resolution expressing the property taxation policy of the Board of ",(inputPrYr!C2)," Commissioners")</f>
        <v>A resolution expressing the property taxation policy of the Board of Rice County Commissioners</v>
      </c>
      <c r="B6" s="54"/>
      <c r="C6" s="54"/>
      <c r="D6" s="54"/>
      <c r="E6" s="54"/>
      <c r="F6" s="54"/>
      <c r="G6" s="54"/>
      <c r="H6" s="55"/>
    </row>
    <row r="7" spans="1:8" ht="15.75" customHeight="1">
      <c r="A7" s="43" t="str">
        <f>CONCATENATE("with respect to financing the ",inputPrYr!C4," annual budget for ",(inputPrYr!E2)," .")</f>
        <v>with respect to financing the 2013 annual budget for  .</v>
      </c>
      <c r="B7" s="54"/>
      <c r="C7" s="54"/>
      <c r="D7" s="54"/>
      <c r="E7" s="54"/>
      <c r="F7" s="54"/>
      <c r="G7" s="54"/>
      <c r="H7" s="55"/>
    </row>
    <row r="8" spans="1:8" ht="9" customHeight="1">
      <c r="A8" s="36"/>
      <c r="B8" s="54"/>
      <c r="C8" s="54"/>
      <c r="D8" s="54"/>
      <c r="E8" s="54"/>
      <c r="F8" s="54"/>
      <c r="G8" s="54"/>
      <c r="H8" s="55"/>
    </row>
    <row r="9" spans="1:8" ht="15.75" customHeight="1">
      <c r="A9" s="44" t="str">
        <f>CONCATENATE("Whereas, K.S.A. 79-2925b provides that a resolution be adopted if property taxes levied to finance the ",inputPrYr!C4,"")</f>
        <v>Whereas, K.S.A. 79-2925b provides that a resolution be adopted if property taxes levied to finance the 2013</v>
      </c>
      <c r="B9" s="54"/>
      <c r="C9" s="54"/>
      <c r="D9" s="54"/>
      <c r="E9" s="54"/>
      <c r="F9" s="54"/>
      <c r="G9" s="54"/>
      <c r="H9" s="55"/>
    </row>
    <row r="10" spans="1:8" ht="15.75" customHeight="1">
      <c r="A10" s="810" t="str">
        <f>CONCATENATE("",(inputPrYr!C2)," budget exceed the amount levied to finance the ",inputPrYr!C4-1," ",(inputPrYr!C2)," ",A16,)</f>
        <v>Rice County budget exceed the amount levied to finance the 2012 Rice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810"/>
      <c r="C10" s="810"/>
      <c r="D10" s="810"/>
      <c r="E10" s="810"/>
      <c r="F10" s="810"/>
      <c r="G10" s="810"/>
      <c r="H10" s="810"/>
    </row>
    <row r="11" spans="1:8" ht="15.75" customHeight="1">
      <c r="A11" s="810"/>
      <c r="B11" s="810"/>
      <c r="C11" s="810"/>
      <c r="D11" s="810"/>
      <c r="E11" s="810"/>
      <c r="F11" s="810"/>
      <c r="G11" s="810"/>
      <c r="H11" s="810"/>
    </row>
    <row r="12" spans="1:8" ht="15.75" customHeight="1">
      <c r="A12" s="810"/>
      <c r="B12" s="810"/>
      <c r="C12" s="810"/>
      <c r="D12" s="810"/>
      <c r="E12" s="810"/>
      <c r="F12" s="810"/>
      <c r="G12" s="810"/>
      <c r="H12" s="810"/>
    </row>
    <row r="13" spans="1:8" ht="15.75" customHeight="1">
      <c r="A13" s="810"/>
      <c r="B13" s="810"/>
      <c r="C13" s="810"/>
      <c r="D13" s="810"/>
      <c r="E13" s="810"/>
      <c r="F13" s="810"/>
      <c r="G13" s="810"/>
      <c r="H13" s="810"/>
    </row>
    <row r="14" spans="1:8" ht="15.75" customHeight="1">
      <c r="A14" s="810"/>
      <c r="B14" s="810"/>
      <c r="C14" s="810"/>
      <c r="D14" s="810"/>
      <c r="E14" s="810"/>
      <c r="F14" s="810"/>
      <c r="G14" s="810"/>
      <c r="H14" s="810"/>
    </row>
    <row r="15" spans="1:8" ht="15.75" customHeight="1">
      <c r="A15" s="810"/>
      <c r="B15" s="810"/>
      <c r="C15" s="810"/>
      <c r="D15" s="810"/>
      <c r="E15" s="810"/>
      <c r="F15" s="810"/>
      <c r="G15" s="810"/>
      <c r="H15" s="810"/>
    </row>
    <row r="16" spans="1:8" ht="9" customHeight="1">
      <c r="A16" s="56" t="s">
        <v>327</v>
      </c>
      <c r="B16" s="54"/>
      <c r="C16" s="54"/>
      <c r="D16" s="54"/>
      <c r="E16" s="54"/>
      <c r="F16" s="54"/>
      <c r="G16" s="54"/>
      <c r="H16" s="55" t="s">
        <v>195</v>
      </c>
    </row>
    <row r="17" spans="1:8" ht="15.75" customHeight="1">
      <c r="A17" s="810" t="s">
        <v>301</v>
      </c>
      <c r="B17" s="810"/>
      <c r="C17" s="810"/>
      <c r="D17" s="810"/>
      <c r="E17" s="810"/>
      <c r="F17" s="810"/>
      <c r="G17" s="810"/>
      <c r="H17" s="810"/>
    </row>
    <row r="18" spans="1:8" ht="15.75" customHeight="1">
      <c r="A18" s="810"/>
      <c r="B18" s="810"/>
      <c r="C18" s="810"/>
      <c r="D18" s="810"/>
      <c r="E18" s="810"/>
      <c r="F18" s="810"/>
      <c r="G18" s="810"/>
      <c r="H18" s="810"/>
    </row>
    <row r="19" spans="1:8" ht="9" customHeight="1">
      <c r="A19" s="42"/>
      <c r="B19" s="54"/>
      <c r="C19" s="54"/>
      <c r="D19" s="54"/>
      <c r="E19" s="54"/>
      <c r="F19" s="54"/>
      <c r="G19" s="54"/>
      <c r="H19" s="55"/>
    </row>
    <row r="20" spans="1:8" ht="15.75" customHeight="1">
      <c r="A20" s="810" t="str">
        <f>CONCATENATE("Whereas, ",(inputPrYr!C2)," provides the essential services to protect the health, safety, and well being of the citizens of the county; and")</f>
        <v>Whereas, Rice County provides the essential services to protect the health, safety, and well being of the citizens of the county; and</v>
      </c>
      <c r="B20" s="810"/>
      <c r="C20" s="810"/>
      <c r="D20" s="810"/>
      <c r="E20" s="810"/>
      <c r="F20" s="810"/>
      <c r="G20" s="810"/>
      <c r="H20" s="810"/>
    </row>
    <row r="21" spans="1:8" ht="15.75" customHeight="1">
      <c r="A21" s="810"/>
      <c r="B21" s="810"/>
      <c r="C21" s="810"/>
      <c r="D21" s="810"/>
      <c r="E21" s="810"/>
      <c r="F21" s="810"/>
      <c r="G21" s="810"/>
      <c r="H21" s="810"/>
    </row>
    <row r="22" spans="1:8" ht="9" customHeight="1">
      <c r="A22" s="45"/>
      <c r="B22" s="54"/>
      <c r="C22" s="54"/>
      <c r="D22" s="54"/>
      <c r="E22" s="54"/>
      <c r="F22" s="54"/>
      <c r="G22" s="54"/>
      <c r="H22" s="55"/>
    </row>
    <row r="23" spans="1:8" ht="15.75" customHeight="1">
      <c r="A23" s="45" t="s">
        <v>302</v>
      </c>
      <c r="B23" s="54"/>
      <c r="C23" s="54"/>
      <c r="D23" s="54"/>
      <c r="E23" s="54"/>
      <c r="F23" s="54"/>
      <c r="G23" s="54"/>
      <c r="H23" s="55"/>
    </row>
    <row r="24" spans="1:8" ht="9" customHeight="1">
      <c r="A24" s="42"/>
      <c r="B24" s="54"/>
      <c r="C24" s="54"/>
      <c r="D24" s="54"/>
      <c r="E24" s="54"/>
      <c r="F24" s="54"/>
      <c r="G24" s="54"/>
      <c r="H24" s="55"/>
    </row>
    <row r="25" spans="1:8" ht="15.75" customHeight="1">
      <c r="A25" s="810" t="str">
        <f>CONCATENATE("Whereas, the ",inputPrYr!C4-1," Kansas State Legislature failed to fulfill its obligations in regard to the statutory funding of demand transfers and, by significantly ",A28," ",(inputPrYr!C2),B28)</f>
        <v>Whereas, the 2012 Kansas State Legislature failed to fulfill its obligations in regard to the statutory funding of demand transfers and, by significantly limiting state revenue sharing payments to counties, has contributed to higher county property tax levies to finance the 2013 Rice County budget.</v>
      </c>
      <c r="B25" s="810"/>
      <c r="C25" s="810"/>
      <c r="D25" s="810"/>
      <c r="E25" s="810"/>
      <c r="F25" s="810"/>
      <c r="G25" s="810"/>
      <c r="H25" s="810"/>
    </row>
    <row r="26" spans="1:8" ht="15.75" customHeight="1">
      <c r="A26" s="810"/>
      <c r="B26" s="810"/>
      <c r="C26" s="810"/>
      <c r="D26" s="810"/>
      <c r="E26" s="810"/>
      <c r="F26" s="810"/>
      <c r="G26" s="810"/>
      <c r="H26" s="810"/>
    </row>
    <row r="27" spans="1:8" ht="15.75" customHeight="1">
      <c r="A27" s="810"/>
      <c r="B27" s="810"/>
      <c r="C27" s="810"/>
      <c r="D27" s="810"/>
      <c r="E27" s="810"/>
      <c r="F27" s="810"/>
      <c r="G27" s="810"/>
      <c r="H27" s="810"/>
    </row>
    <row r="28" spans="1:8" ht="9" customHeight="1">
      <c r="A28" s="46" t="str">
        <f>CONCATENATE("limiting state revenue sharing payments to counties, has contributed to higher county property tax levies to finance the ",inputPrYr!C4,"")</f>
        <v>limiting state revenue sharing payments to counties, has contributed to higher county property tax levies to finance the 2013</v>
      </c>
      <c r="B28" s="57" t="s">
        <v>328</v>
      </c>
      <c r="C28" s="6"/>
      <c r="D28" s="6"/>
      <c r="E28" s="6"/>
      <c r="F28" s="6"/>
      <c r="G28" s="6"/>
      <c r="H28" s="58"/>
    </row>
    <row r="29" spans="1:8" ht="15.75" customHeight="1">
      <c r="A29" s="810"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Rice County Commissioners that is our desire to notify the public of the possibility of increased property taxes to finance the 2013 Rice County budget due to the above mentioned constraints, and that all persons are invited and encouraged to attend budget meeting conducted by the Board of Rice County Commissioners.  The date and time of budget hearings with the Board of Rice County Commissioners will be published in the Sterling Bulletin.   Interested persons can also address questions concerning the budget to Rice County Clerks Office by calling Alicia Showalter between the hours of 8:00 a.m. to 5:00 p.m., Monday through Fridays, excluding holidays.  </v>
      </c>
      <c r="B29" s="810"/>
      <c r="C29" s="810"/>
      <c r="D29" s="810"/>
      <c r="E29" s="810"/>
      <c r="F29" s="810"/>
      <c r="G29" s="810"/>
      <c r="H29" s="810"/>
    </row>
    <row r="30" spans="1:8" ht="15.75" customHeight="1">
      <c r="A30" s="810"/>
      <c r="B30" s="810"/>
      <c r="C30" s="810"/>
      <c r="D30" s="810"/>
      <c r="E30" s="810"/>
      <c r="F30" s="810"/>
      <c r="G30" s="810"/>
      <c r="H30" s="810"/>
    </row>
    <row r="31" spans="1:8" ht="15.75" customHeight="1">
      <c r="A31" s="810"/>
      <c r="B31" s="810"/>
      <c r="C31" s="810"/>
      <c r="D31" s="810"/>
      <c r="E31" s="810"/>
      <c r="F31" s="810"/>
      <c r="G31" s="810"/>
      <c r="H31" s="810"/>
    </row>
    <row r="32" spans="1:8" ht="15.75" customHeight="1">
      <c r="A32" s="810"/>
      <c r="B32" s="810"/>
      <c r="C32" s="810"/>
      <c r="D32" s="810"/>
      <c r="E32" s="810"/>
      <c r="F32" s="810"/>
      <c r="G32" s="810"/>
      <c r="H32" s="810"/>
    </row>
    <row r="33" spans="1:8" ht="15.75" customHeight="1">
      <c r="A33" s="810"/>
      <c r="B33" s="810"/>
      <c r="C33" s="810"/>
      <c r="D33" s="810"/>
      <c r="E33" s="810"/>
      <c r="F33" s="810"/>
      <c r="G33" s="810"/>
      <c r="H33" s="810"/>
    </row>
    <row r="34" spans="1:8" ht="15.75" customHeight="1">
      <c r="A34" s="810"/>
      <c r="B34" s="810"/>
      <c r="C34" s="810"/>
      <c r="D34" s="810"/>
      <c r="E34" s="810"/>
      <c r="F34" s="810"/>
      <c r="G34" s="810"/>
      <c r="H34" s="810"/>
    </row>
    <row r="35" spans="1:8" ht="15.75" customHeight="1">
      <c r="A35" s="810"/>
      <c r="B35" s="810"/>
      <c r="C35" s="810"/>
      <c r="D35" s="810"/>
      <c r="E35" s="810"/>
      <c r="F35" s="810"/>
      <c r="G35" s="810"/>
      <c r="H35" s="810"/>
    </row>
    <row r="36" spans="1:8" ht="15.75" customHeight="1">
      <c r="A36" s="810"/>
      <c r="B36" s="810"/>
      <c r="C36" s="810"/>
      <c r="D36" s="810"/>
      <c r="E36" s="810"/>
      <c r="F36" s="810"/>
      <c r="G36" s="810"/>
      <c r="H36" s="810"/>
    </row>
    <row r="37" spans="1:8" ht="15.75" customHeight="1">
      <c r="A37" s="810"/>
      <c r="B37" s="810"/>
      <c r="C37" s="810"/>
      <c r="D37" s="810"/>
      <c r="E37" s="810"/>
      <c r="F37" s="810"/>
      <c r="G37" s="810"/>
      <c r="H37" s="810"/>
    </row>
    <row r="38" spans="1:8" ht="15.75" customHeight="1">
      <c r="A38" s="47" t="s">
        <v>1111</v>
      </c>
      <c r="B38" s="6"/>
      <c r="C38" s="6"/>
      <c r="D38" s="6"/>
      <c r="E38" s="6"/>
      <c r="F38" s="6"/>
      <c r="G38" s="6"/>
      <c r="H38" s="58" t="s">
        <v>195</v>
      </c>
    </row>
    <row r="39" spans="1:8" ht="15.75" customHeight="1">
      <c r="A39" s="809" t="str">
        <f>CONCATENATE("Adopted this 13th day of August, ",inputPrYr!C4-1," by the Board of ",(inputPrYr!C2)," Commissioners.")</f>
        <v>Adopted this 13th day of August, 2012 by the Board of Rice County Commissioners.</v>
      </c>
      <c r="B39" s="809"/>
      <c r="C39" s="809"/>
      <c r="D39" s="809"/>
      <c r="E39" s="809"/>
      <c r="F39" s="809"/>
      <c r="G39" s="809"/>
      <c r="H39" s="809"/>
    </row>
    <row r="40" spans="1:8" ht="15.75" customHeight="1">
      <c r="A40" s="809"/>
      <c r="B40" s="809"/>
      <c r="C40" s="809"/>
      <c r="D40" s="809"/>
      <c r="E40" s="809"/>
      <c r="F40" s="809"/>
      <c r="G40" s="809"/>
      <c r="H40" s="809"/>
    </row>
    <row r="41" spans="1:8" ht="15.75" customHeight="1">
      <c r="A41" s="6"/>
      <c r="B41" s="6"/>
      <c r="C41" s="6"/>
      <c r="D41" s="6"/>
      <c r="E41" s="811" t="s">
        <v>303</v>
      </c>
      <c r="F41" s="811"/>
      <c r="G41" s="811"/>
      <c r="H41" s="811"/>
    </row>
    <row r="42" spans="1:8" ht="15.75" customHeight="1">
      <c r="A42" s="48"/>
      <c r="B42" s="6"/>
      <c r="C42" s="6"/>
      <c r="D42" s="6"/>
      <c r="E42" s="811"/>
      <c r="F42" s="811"/>
      <c r="G42" s="811"/>
      <c r="H42" s="811"/>
    </row>
    <row r="43" spans="1:8" ht="15.75" customHeight="1">
      <c r="A43" s="6"/>
      <c r="B43" s="6"/>
      <c r="C43" s="6"/>
      <c r="D43" s="6"/>
      <c r="E43" s="811" t="s">
        <v>304</v>
      </c>
      <c r="F43" s="811"/>
      <c r="G43" s="811"/>
      <c r="H43" s="811"/>
    </row>
    <row r="44" spans="1:8" ht="15.75" customHeight="1">
      <c r="A44" s="48"/>
      <c r="B44" s="6"/>
      <c r="C44" s="6"/>
      <c r="D44" s="6"/>
      <c r="E44" s="811"/>
      <c r="F44" s="811"/>
      <c r="G44" s="811"/>
      <c r="H44" s="811"/>
    </row>
    <row r="45" spans="1:8" ht="15.75" customHeight="1">
      <c r="A45" s="6"/>
      <c r="B45" s="6"/>
      <c r="C45" s="6"/>
      <c r="D45" s="6"/>
      <c r="E45" s="811" t="s">
        <v>304</v>
      </c>
      <c r="F45" s="811"/>
      <c r="G45" s="811"/>
      <c r="H45" s="811"/>
    </row>
    <row r="46" spans="1:8" ht="15.75" customHeight="1">
      <c r="A46" s="48"/>
      <c r="B46" s="6"/>
      <c r="C46" s="6"/>
      <c r="D46" s="6"/>
      <c r="E46" s="811"/>
      <c r="F46" s="811"/>
      <c r="G46" s="811"/>
      <c r="H46" s="811"/>
    </row>
    <row r="47" spans="1:8" ht="15.75" customHeight="1">
      <c r="A47" s="6"/>
      <c r="B47" s="6"/>
      <c r="C47" s="6"/>
      <c r="D47" s="6"/>
      <c r="E47" s="811" t="s">
        <v>304</v>
      </c>
      <c r="F47" s="811"/>
      <c r="G47" s="811"/>
      <c r="H47" s="811"/>
    </row>
    <row r="48" spans="1:8" ht="15.75" customHeight="1">
      <c r="A48" s="48"/>
      <c r="B48" s="6"/>
      <c r="C48" s="6"/>
      <c r="D48" s="6"/>
      <c r="E48" s="6"/>
      <c r="F48" s="6"/>
      <c r="G48" s="6"/>
      <c r="H48" s="58"/>
    </row>
    <row r="49" spans="1:8" ht="15.75" customHeight="1">
      <c r="A49" s="48" t="s">
        <v>305</v>
      </c>
      <c r="B49" s="6"/>
      <c r="C49" s="6"/>
      <c r="D49" s="6"/>
      <c r="E49" s="6"/>
      <c r="F49" s="6"/>
      <c r="G49" s="6"/>
      <c r="H49" s="58"/>
    </row>
    <row r="50" spans="1:8" ht="15.75" customHeight="1">
      <c r="A50" s="48"/>
      <c r="B50" s="6"/>
      <c r="C50" s="6"/>
      <c r="D50" s="6"/>
      <c r="E50" s="6"/>
      <c r="F50" s="6"/>
      <c r="G50" s="48"/>
      <c r="H50" s="58"/>
    </row>
    <row r="51" spans="1:8" ht="15.75" customHeight="1">
      <c r="A51" s="49" t="s">
        <v>306</v>
      </c>
      <c r="B51" s="2"/>
      <c r="C51" s="2"/>
      <c r="D51" s="2"/>
      <c r="E51" s="2"/>
      <c r="F51" s="2"/>
      <c r="G51" s="48"/>
      <c r="H51" s="58"/>
    </row>
    <row r="52" spans="1:8" ht="15.75" customHeight="1">
      <c r="A52" s="811" t="s">
        <v>307</v>
      </c>
      <c r="B52" s="811"/>
      <c r="C52" s="811"/>
      <c r="D52" s="2"/>
      <c r="E52" s="2"/>
      <c r="F52" s="2"/>
      <c r="G52" s="48"/>
      <c r="H52" s="58"/>
    </row>
    <row r="53" spans="1:8" ht="15.75" customHeight="1">
      <c r="A53" s="49"/>
      <c r="B53" s="2"/>
      <c r="C53" s="2"/>
      <c r="D53" s="2"/>
      <c r="E53" s="2"/>
      <c r="F53" s="2"/>
      <c r="G53" s="48"/>
      <c r="H53" s="58"/>
    </row>
    <row r="54" spans="1:8" ht="15.75" customHeight="1">
      <c r="A54" s="49"/>
      <c r="B54" s="2"/>
      <c r="C54" s="2"/>
      <c r="D54" s="2"/>
      <c r="E54" s="2"/>
      <c r="F54" s="2"/>
      <c r="G54" s="48"/>
      <c r="H54" s="58"/>
    </row>
    <row r="55" spans="1:8" ht="15.75" customHeight="1">
      <c r="A55" s="50" t="s">
        <v>308</v>
      </c>
      <c r="B55" s="2"/>
      <c r="C55" s="2"/>
      <c r="D55" s="60" t="s">
        <v>194</v>
      </c>
      <c r="E55" s="727">
        <v>23</v>
      </c>
      <c r="F55" s="2"/>
      <c r="G55" s="48"/>
      <c r="H55" s="58"/>
    </row>
    <row r="56" spans="1:8" ht="15" customHeight="1">
      <c r="A56" s="58"/>
      <c r="B56" s="58"/>
      <c r="C56" s="58"/>
      <c r="D56" s="58"/>
      <c r="E56" s="58"/>
      <c r="F56" s="58"/>
      <c r="G56" s="58"/>
      <c r="H56" s="58"/>
    </row>
    <row r="57" spans="1:8" ht="15" customHeight="1">
      <c r="A57" s="58"/>
      <c r="B57" s="58"/>
      <c r="C57" s="58"/>
      <c r="D57" s="58"/>
      <c r="E57" s="58"/>
      <c r="F57" s="58"/>
      <c r="G57" s="58"/>
      <c r="H57" s="58"/>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16">
    <mergeCell ref="E45:H45"/>
    <mergeCell ref="E46:H46"/>
    <mergeCell ref="E47:H47"/>
    <mergeCell ref="A52:C52"/>
    <mergeCell ref="E41:H41"/>
    <mergeCell ref="E42:H42"/>
    <mergeCell ref="E43:H43"/>
    <mergeCell ref="E44:H44"/>
    <mergeCell ref="A2:H2"/>
    <mergeCell ref="A4:H4"/>
    <mergeCell ref="A39:H40"/>
    <mergeCell ref="A10:H15"/>
    <mergeCell ref="A29:H37"/>
    <mergeCell ref="A17:H18"/>
    <mergeCell ref="A20:H21"/>
    <mergeCell ref="A25:H27"/>
  </mergeCells>
  <printOptions/>
  <pageMargins left="0.37" right="0.27" top="0.5" bottom="0.51" header="0.5" footer="0.5"/>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433" t="s">
        <v>429</v>
      </c>
      <c r="B3" s="433"/>
      <c r="C3" s="433"/>
      <c r="D3" s="433"/>
      <c r="E3" s="433"/>
      <c r="F3" s="433"/>
      <c r="G3" s="433"/>
      <c r="H3" s="433"/>
      <c r="I3" s="433"/>
      <c r="J3" s="433"/>
      <c r="K3" s="433"/>
      <c r="L3" s="433"/>
    </row>
    <row r="5" ht="15">
      <c r="A5" s="434" t="s">
        <v>430</v>
      </c>
    </row>
    <row r="6" ht="15">
      <c r="A6" s="434" t="str">
        <f>CONCATENATE(inputPrYr!C4-2," 'total expenditures' exceed your ",inputPrYr!C4-2," 'budget authority.'")</f>
        <v>2011 'total expenditures' exceed your 2011 'budget authority.'</v>
      </c>
    </row>
    <row r="7" ht="15">
      <c r="A7" s="434"/>
    </row>
    <row r="8" ht="15">
      <c r="A8" s="434" t="s">
        <v>431</v>
      </c>
    </row>
    <row r="9" ht="15">
      <c r="A9" s="434" t="s">
        <v>432</v>
      </c>
    </row>
    <row r="10" ht="15">
      <c r="A10" s="434" t="s">
        <v>433</v>
      </c>
    </row>
    <row r="11" ht="15">
      <c r="A11" s="434"/>
    </row>
    <row r="12" ht="15">
      <c r="A12" s="434"/>
    </row>
    <row r="13" ht="15">
      <c r="A13" s="435" t="s">
        <v>434</v>
      </c>
    </row>
    <row r="15" ht="15">
      <c r="A15" s="434" t="s">
        <v>435</v>
      </c>
    </row>
    <row r="16" ht="15">
      <c r="A16" s="434" t="str">
        <f>CONCATENATE("(i.e. an audit has not been completed, or the ",inputPrYr!C4," adopted")</f>
        <v>(i.e. an audit has not been completed, or the 2013 adopted</v>
      </c>
    </row>
    <row r="17" ht="15">
      <c r="A17" s="434" t="s">
        <v>436</v>
      </c>
    </row>
    <row r="18" ht="15">
      <c r="A18" s="434" t="s">
        <v>437</v>
      </c>
    </row>
    <row r="19" ht="15">
      <c r="A19" s="434" t="s">
        <v>438</v>
      </c>
    </row>
    <row r="21" ht="15">
      <c r="A21" s="435" t="s">
        <v>439</v>
      </c>
    </row>
    <row r="22" ht="15">
      <c r="A22" s="435"/>
    </row>
    <row r="23" ht="15">
      <c r="A23" s="434" t="s">
        <v>440</v>
      </c>
    </row>
    <row r="24" ht="15">
      <c r="A24" s="434" t="s">
        <v>441</v>
      </c>
    </row>
    <row r="25" ht="15">
      <c r="A25" s="434" t="str">
        <f>CONCATENATE("particular fund.  If your ",inputPrYr!C4-2," budget was amended, did you")</f>
        <v>particular fund.  If your 2011 budget was amended, did you</v>
      </c>
    </row>
    <row r="26" ht="15">
      <c r="A26" s="434" t="s">
        <v>442</v>
      </c>
    </row>
    <row r="27" ht="15">
      <c r="A27" s="434"/>
    </row>
    <row r="28" ht="15">
      <c r="A28" s="434" t="str">
        <f>CONCATENATE("Next, look to see if any of your ",inputPrYr!C4-2," expenditures can be")</f>
        <v>Next, look to see if any of your 2011 expenditures can be</v>
      </c>
    </row>
    <row r="29" ht="15">
      <c r="A29" s="434" t="s">
        <v>443</v>
      </c>
    </row>
    <row r="30" ht="15">
      <c r="A30" s="434" t="s">
        <v>444</v>
      </c>
    </row>
    <row r="31" ht="15">
      <c r="A31" s="434" t="s">
        <v>445</v>
      </c>
    </row>
    <row r="32" ht="15">
      <c r="A32" s="434"/>
    </row>
    <row r="33" ht="15">
      <c r="A33" s="434" t="str">
        <f>CONCATENATE("Additionally, do your ",inputPrYr!C4-2," receipts contain a reimbursement")</f>
        <v>Additionally, do your 2011 receipts contain a reimbursement</v>
      </c>
    </row>
    <row r="34" ht="15">
      <c r="A34" s="434" t="s">
        <v>446</v>
      </c>
    </row>
    <row r="35" ht="15">
      <c r="A35" s="434" t="s">
        <v>447</v>
      </c>
    </row>
    <row r="36" ht="15">
      <c r="A36" s="434"/>
    </row>
    <row r="37" ht="15">
      <c r="A37" s="434" t="s">
        <v>448</v>
      </c>
    </row>
    <row r="38" ht="15">
      <c r="A38" s="434" t="s">
        <v>449</v>
      </c>
    </row>
    <row r="39" ht="15">
      <c r="A39" s="434" t="s">
        <v>450</v>
      </c>
    </row>
    <row r="40" ht="15">
      <c r="A40" s="434" t="s">
        <v>451</v>
      </c>
    </row>
    <row r="41" ht="15">
      <c r="A41" s="434" t="s">
        <v>452</v>
      </c>
    </row>
    <row r="42" ht="15">
      <c r="A42" s="434" t="s">
        <v>453</v>
      </c>
    </row>
    <row r="43" ht="15">
      <c r="A43" s="434" t="s">
        <v>454</v>
      </c>
    </row>
    <row r="44" ht="15">
      <c r="A44" s="434" t="s">
        <v>455</v>
      </c>
    </row>
    <row r="45" ht="15">
      <c r="A45" s="434"/>
    </row>
    <row r="46" ht="15">
      <c r="A46" s="434" t="s">
        <v>456</v>
      </c>
    </row>
    <row r="47" ht="15">
      <c r="A47" s="434" t="s">
        <v>457</v>
      </c>
    </row>
    <row r="48" ht="15">
      <c r="A48" s="434" t="s">
        <v>458</v>
      </c>
    </row>
    <row r="49" ht="15">
      <c r="A49" s="434"/>
    </row>
    <row r="50" ht="15">
      <c r="A50" s="434" t="s">
        <v>459</v>
      </c>
    </row>
    <row r="51" ht="15">
      <c r="A51" s="434" t="s">
        <v>460</v>
      </c>
    </row>
    <row r="52" ht="15">
      <c r="A52" s="434" t="s">
        <v>461</v>
      </c>
    </row>
    <row r="53" ht="15">
      <c r="A53" s="434"/>
    </row>
    <row r="54" ht="15">
      <c r="A54" s="435" t="s">
        <v>462</v>
      </c>
    </row>
    <row r="55" ht="15">
      <c r="A55" s="434"/>
    </row>
    <row r="56" ht="15">
      <c r="A56" s="434" t="s">
        <v>463</v>
      </c>
    </row>
    <row r="57" ht="15">
      <c r="A57" s="434" t="s">
        <v>464</v>
      </c>
    </row>
    <row r="58" ht="15">
      <c r="A58" s="434" t="s">
        <v>465</v>
      </c>
    </row>
    <row r="59" ht="15">
      <c r="A59" s="434" t="s">
        <v>466</v>
      </c>
    </row>
    <row r="60" ht="15">
      <c r="A60" s="434" t="s">
        <v>467</v>
      </c>
    </row>
    <row r="61" ht="15">
      <c r="A61" s="434" t="s">
        <v>468</v>
      </c>
    </row>
    <row r="62" ht="15">
      <c r="A62" s="434" t="s">
        <v>469</v>
      </c>
    </row>
    <row r="63" ht="15">
      <c r="A63" s="434" t="s">
        <v>470</v>
      </c>
    </row>
    <row r="64" ht="15">
      <c r="A64" s="434" t="s">
        <v>471</v>
      </c>
    </row>
    <row r="65" ht="15">
      <c r="A65" s="434" t="s">
        <v>472</v>
      </c>
    </row>
    <row r="66" ht="15">
      <c r="A66" s="434" t="s">
        <v>473</v>
      </c>
    </row>
    <row r="67" ht="15">
      <c r="A67" s="434" t="s">
        <v>474</v>
      </c>
    </row>
    <row r="68" ht="15">
      <c r="A68" s="434" t="s">
        <v>475</v>
      </c>
    </row>
    <row r="69" ht="15">
      <c r="A69" s="434"/>
    </row>
    <row r="70" ht="15">
      <c r="A70" s="434" t="s">
        <v>476</v>
      </c>
    </row>
    <row r="71" ht="15">
      <c r="A71" s="434" t="s">
        <v>477</v>
      </c>
    </row>
    <row r="72" ht="15">
      <c r="A72" s="434" t="s">
        <v>478</v>
      </c>
    </row>
    <row r="73" ht="15">
      <c r="A73" s="434"/>
    </row>
    <row r="74" ht="15">
      <c r="A74" s="435" t="str">
        <f>CONCATENATE("What if the ",inputPrYr!C4-2," financial records have been closed?")</f>
        <v>What if the 2011 financial records have been closed?</v>
      </c>
    </row>
    <row r="76" ht="15">
      <c r="A76" s="434" t="s">
        <v>479</v>
      </c>
    </row>
    <row r="77" ht="15">
      <c r="A77" s="434" t="str">
        <f>CONCATENATE("(i.e. an audit for ",inputPrYr!C4-2," has been completed, or the ",inputPrYr!C4)</f>
        <v>(i.e. an audit for 2011 has been completed, or the 2013</v>
      </c>
    </row>
    <row r="78" ht="15">
      <c r="A78" s="434" t="s">
        <v>480</v>
      </c>
    </row>
    <row r="79" ht="15">
      <c r="A79" s="434" t="s">
        <v>481</v>
      </c>
    </row>
    <row r="80" ht="15">
      <c r="A80" s="434"/>
    </row>
    <row r="81" ht="15">
      <c r="A81" s="434" t="s">
        <v>482</v>
      </c>
    </row>
    <row r="82" ht="15">
      <c r="A82" s="434" t="s">
        <v>483</v>
      </c>
    </row>
    <row r="83" ht="15">
      <c r="A83" s="434" t="s">
        <v>484</v>
      </c>
    </row>
    <row r="84" ht="15">
      <c r="A84" s="434"/>
    </row>
    <row r="85" ht="15">
      <c r="A85" s="434" t="s">
        <v>485</v>
      </c>
    </row>
  </sheetData>
  <sheetProtection sheet="1"/>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2" sqref="A2"/>
    </sheetView>
  </sheetViews>
  <sheetFormatPr defaultColWidth="8.796875" defaultRowHeight="15"/>
  <cols>
    <col min="1" max="1" width="71.296875" style="0" customWidth="1"/>
  </cols>
  <sheetData>
    <row r="3" spans="1:10" ht="15">
      <c r="A3" s="433" t="s">
        <v>486</v>
      </c>
      <c r="B3" s="433"/>
      <c r="C3" s="433"/>
      <c r="D3" s="433"/>
      <c r="E3" s="433"/>
      <c r="F3" s="433"/>
      <c r="G3" s="433"/>
      <c r="H3" s="436"/>
      <c r="I3" s="436"/>
      <c r="J3" s="436"/>
    </row>
    <row r="5" ht="15">
      <c r="A5" s="434" t="s">
        <v>487</v>
      </c>
    </row>
    <row r="6" ht="15">
      <c r="A6" t="str">
        <f>CONCATENATE(inputPrYr!C4-2," expenditures show that you finished the year with a ")</f>
        <v>2011 expenditures show that you finished the year with a </v>
      </c>
    </row>
    <row r="7" ht="15">
      <c r="A7" t="s">
        <v>488</v>
      </c>
    </row>
    <row r="9" ht="15">
      <c r="A9" t="s">
        <v>489</v>
      </c>
    </row>
    <row r="10" ht="15">
      <c r="A10" t="s">
        <v>490</v>
      </c>
    </row>
    <row r="11" ht="15">
      <c r="A11" t="s">
        <v>491</v>
      </c>
    </row>
    <row r="13" ht="15">
      <c r="A13" s="435" t="s">
        <v>492</v>
      </c>
    </row>
    <row r="14" ht="15">
      <c r="A14" s="435"/>
    </row>
    <row r="15" ht="15">
      <c r="A15" s="434" t="s">
        <v>493</v>
      </c>
    </row>
    <row r="16" ht="15">
      <c r="A16" s="434" t="s">
        <v>494</v>
      </c>
    </row>
    <row r="17" ht="15">
      <c r="A17" s="434" t="s">
        <v>495</v>
      </c>
    </row>
    <row r="18" ht="15">
      <c r="A18" s="434"/>
    </row>
    <row r="19" ht="15">
      <c r="A19" s="435" t="s">
        <v>496</v>
      </c>
    </row>
    <row r="20" ht="15">
      <c r="A20" s="435"/>
    </row>
    <row r="21" ht="15">
      <c r="A21" s="434" t="s">
        <v>497</v>
      </c>
    </row>
    <row r="22" ht="15">
      <c r="A22" s="434" t="s">
        <v>498</v>
      </c>
    </row>
    <row r="23" ht="15">
      <c r="A23" s="434" t="s">
        <v>499</v>
      </c>
    </row>
    <row r="24" ht="15">
      <c r="A24" s="434"/>
    </row>
    <row r="25" ht="15">
      <c r="A25" s="435" t="s">
        <v>500</v>
      </c>
    </row>
    <row r="26" ht="15">
      <c r="A26" s="435"/>
    </row>
    <row r="27" ht="15">
      <c r="A27" s="434" t="s">
        <v>501</v>
      </c>
    </row>
    <row r="28" ht="15">
      <c r="A28" s="434" t="s">
        <v>502</v>
      </c>
    </row>
    <row r="29" ht="15">
      <c r="A29" s="434" t="s">
        <v>503</v>
      </c>
    </row>
    <row r="30" ht="15">
      <c r="A30" s="434"/>
    </row>
    <row r="31" ht="15">
      <c r="A31" s="435" t="s">
        <v>504</v>
      </c>
    </row>
    <row r="32" ht="15">
      <c r="A32" s="435"/>
    </row>
    <row r="33" spans="1:8" ht="15">
      <c r="A33" s="434" t="str">
        <f>CONCATENATE("If your financial records for ",inputPrYr!C4-2," are not closed")</f>
        <v>If your financial records for 2011 are not closed</v>
      </c>
      <c r="B33" s="434"/>
      <c r="C33" s="434"/>
      <c r="D33" s="434"/>
      <c r="E33" s="434"/>
      <c r="F33" s="434"/>
      <c r="G33" s="434"/>
      <c r="H33" s="434"/>
    </row>
    <row r="34" spans="1:8" ht="15">
      <c r="A34" s="434" t="str">
        <f>CONCATENATE("(i.e. an audit has not been completed, or the ",inputPrYr!C4," adopted ")</f>
        <v>(i.e. an audit has not been completed, or the 2013 adopted </v>
      </c>
      <c r="B34" s="434"/>
      <c r="C34" s="434"/>
      <c r="D34" s="434"/>
      <c r="E34" s="434"/>
      <c r="F34" s="434"/>
      <c r="G34" s="434"/>
      <c r="H34" s="434"/>
    </row>
    <row r="35" spans="1:8" ht="15">
      <c r="A35" s="434" t="s">
        <v>505</v>
      </c>
      <c r="B35" s="434"/>
      <c r="C35" s="434"/>
      <c r="D35" s="434"/>
      <c r="E35" s="434"/>
      <c r="F35" s="434"/>
      <c r="G35" s="434"/>
      <c r="H35" s="434"/>
    </row>
    <row r="36" spans="1:8" ht="15">
      <c r="A36" s="434" t="s">
        <v>506</v>
      </c>
      <c r="B36" s="434"/>
      <c r="C36" s="434"/>
      <c r="D36" s="434"/>
      <c r="E36" s="434"/>
      <c r="F36" s="434"/>
      <c r="G36" s="434"/>
      <c r="H36" s="434"/>
    </row>
    <row r="37" spans="1:8" ht="15">
      <c r="A37" s="434" t="s">
        <v>507</v>
      </c>
      <c r="B37" s="434"/>
      <c r="C37" s="434"/>
      <c r="D37" s="434"/>
      <c r="E37" s="434"/>
      <c r="F37" s="434"/>
      <c r="G37" s="434"/>
      <c r="H37" s="434"/>
    </row>
    <row r="38" spans="1:8" ht="15">
      <c r="A38" s="434" t="s">
        <v>508</v>
      </c>
      <c r="B38" s="434"/>
      <c r="C38" s="434"/>
      <c r="D38" s="434"/>
      <c r="E38" s="434"/>
      <c r="F38" s="434"/>
      <c r="G38" s="434"/>
      <c r="H38" s="434"/>
    </row>
    <row r="39" spans="1:8" ht="15">
      <c r="A39" s="434" t="s">
        <v>509</v>
      </c>
      <c r="B39" s="434"/>
      <c r="C39" s="434"/>
      <c r="D39" s="434"/>
      <c r="E39" s="434"/>
      <c r="F39" s="434"/>
      <c r="G39" s="434"/>
      <c r="H39" s="434"/>
    </row>
    <row r="40" spans="1:8" ht="15">
      <c r="A40" s="434"/>
      <c r="B40" s="434"/>
      <c r="C40" s="434"/>
      <c r="D40" s="434"/>
      <c r="E40" s="434"/>
      <c r="F40" s="434"/>
      <c r="G40" s="434"/>
      <c r="H40" s="434"/>
    </row>
    <row r="41" spans="1:8" ht="15">
      <c r="A41" s="434" t="s">
        <v>510</v>
      </c>
      <c r="B41" s="434"/>
      <c r="C41" s="434"/>
      <c r="D41" s="434"/>
      <c r="E41" s="434"/>
      <c r="F41" s="434"/>
      <c r="G41" s="434"/>
      <c r="H41" s="434"/>
    </row>
    <row r="42" spans="1:8" ht="15">
      <c r="A42" s="434" t="s">
        <v>511</v>
      </c>
      <c r="B42" s="434"/>
      <c r="C42" s="434"/>
      <c r="D42" s="434"/>
      <c r="E42" s="434"/>
      <c r="F42" s="434"/>
      <c r="G42" s="434"/>
      <c r="H42" s="434"/>
    </row>
    <row r="43" spans="1:8" ht="15">
      <c r="A43" s="434" t="s">
        <v>512</v>
      </c>
      <c r="B43" s="434"/>
      <c r="C43" s="434"/>
      <c r="D43" s="434"/>
      <c r="E43" s="434"/>
      <c r="F43" s="434"/>
      <c r="G43" s="434"/>
      <c r="H43" s="434"/>
    </row>
    <row r="44" spans="1:8" ht="15">
      <c r="A44" s="434" t="s">
        <v>513</v>
      </c>
      <c r="B44" s="434"/>
      <c r="C44" s="434"/>
      <c r="D44" s="434"/>
      <c r="E44" s="434"/>
      <c r="F44" s="434"/>
      <c r="G44" s="434"/>
      <c r="H44" s="434"/>
    </row>
    <row r="45" spans="1:8" ht="15">
      <c r="A45" s="434"/>
      <c r="B45" s="434"/>
      <c r="C45" s="434"/>
      <c r="D45" s="434"/>
      <c r="E45" s="434"/>
      <c r="F45" s="434"/>
      <c r="G45" s="434"/>
      <c r="H45" s="434"/>
    </row>
    <row r="46" spans="1:8" ht="15">
      <c r="A46" s="434" t="s">
        <v>514</v>
      </c>
      <c r="B46" s="434"/>
      <c r="C46" s="434"/>
      <c r="D46" s="434"/>
      <c r="E46" s="434"/>
      <c r="F46" s="434"/>
      <c r="G46" s="434"/>
      <c r="H46" s="434"/>
    </row>
    <row r="47" spans="1:8" ht="15">
      <c r="A47" s="434" t="s">
        <v>515</v>
      </c>
      <c r="B47" s="434"/>
      <c r="C47" s="434"/>
      <c r="D47" s="434"/>
      <c r="E47" s="434"/>
      <c r="F47" s="434"/>
      <c r="G47" s="434"/>
      <c r="H47" s="434"/>
    </row>
    <row r="48" spans="1:8" ht="15">
      <c r="A48" s="434" t="s">
        <v>516</v>
      </c>
      <c r="B48" s="434"/>
      <c r="C48" s="434"/>
      <c r="D48" s="434"/>
      <c r="E48" s="434"/>
      <c r="F48" s="434"/>
      <c r="G48" s="434"/>
      <c r="H48" s="434"/>
    </row>
    <row r="49" spans="1:8" ht="15">
      <c r="A49" s="434" t="s">
        <v>517</v>
      </c>
      <c r="B49" s="434"/>
      <c r="C49" s="434"/>
      <c r="D49" s="434"/>
      <c r="E49" s="434"/>
      <c r="F49" s="434"/>
      <c r="G49" s="434"/>
      <c r="H49" s="434"/>
    </row>
    <row r="50" spans="1:8" ht="15">
      <c r="A50" s="434" t="s">
        <v>518</v>
      </c>
      <c r="B50" s="434"/>
      <c r="C50" s="434"/>
      <c r="D50" s="434"/>
      <c r="E50" s="434"/>
      <c r="F50" s="434"/>
      <c r="G50" s="434"/>
      <c r="H50" s="434"/>
    </row>
    <row r="51" spans="1:8" ht="15">
      <c r="A51" s="434"/>
      <c r="B51" s="434"/>
      <c r="C51" s="434"/>
      <c r="D51" s="434"/>
      <c r="E51" s="434"/>
      <c r="F51" s="434"/>
      <c r="G51" s="434"/>
      <c r="H51" s="434"/>
    </row>
    <row r="52" spans="1:8" ht="15">
      <c r="A52" s="435" t="s">
        <v>519</v>
      </c>
      <c r="B52" s="435"/>
      <c r="C52" s="435"/>
      <c r="D52" s="435"/>
      <c r="E52" s="435"/>
      <c r="F52" s="435"/>
      <c r="G52" s="435"/>
      <c r="H52" s="434"/>
    </row>
    <row r="53" spans="1:8" ht="15">
      <c r="A53" s="435" t="s">
        <v>520</v>
      </c>
      <c r="B53" s="435"/>
      <c r="C53" s="435"/>
      <c r="D53" s="435"/>
      <c r="E53" s="435"/>
      <c r="F53" s="435"/>
      <c r="G53" s="435"/>
      <c r="H53" s="434"/>
    </row>
    <row r="54" spans="1:8" ht="15">
      <c r="A54" s="434"/>
      <c r="B54" s="434"/>
      <c r="C54" s="434"/>
      <c r="D54" s="434"/>
      <c r="E54" s="434"/>
      <c r="F54" s="434"/>
      <c r="G54" s="434"/>
      <c r="H54" s="434"/>
    </row>
    <row r="55" spans="1:8" ht="15">
      <c r="A55" s="434" t="s">
        <v>521</v>
      </c>
      <c r="B55" s="434"/>
      <c r="C55" s="434"/>
      <c r="D55" s="434"/>
      <c r="E55" s="434"/>
      <c r="F55" s="434"/>
      <c r="G55" s="434"/>
      <c r="H55" s="434"/>
    </row>
    <row r="56" spans="1:8" ht="15">
      <c r="A56" s="434" t="s">
        <v>522</v>
      </c>
      <c r="B56" s="434"/>
      <c r="C56" s="434"/>
      <c r="D56" s="434"/>
      <c r="E56" s="434"/>
      <c r="F56" s="434"/>
      <c r="G56" s="434"/>
      <c r="H56" s="434"/>
    </row>
    <row r="57" spans="1:8" ht="15">
      <c r="A57" s="434" t="s">
        <v>523</v>
      </c>
      <c r="B57" s="434"/>
      <c r="C57" s="434"/>
      <c r="D57" s="434"/>
      <c r="E57" s="434"/>
      <c r="F57" s="434"/>
      <c r="G57" s="434"/>
      <c r="H57" s="434"/>
    </row>
    <row r="58" spans="1:8" ht="15">
      <c r="A58" s="434" t="s">
        <v>524</v>
      </c>
      <c r="B58" s="434"/>
      <c r="C58" s="434"/>
      <c r="D58" s="434"/>
      <c r="E58" s="434"/>
      <c r="F58" s="434"/>
      <c r="G58" s="434"/>
      <c r="H58" s="434"/>
    </row>
    <row r="59" spans="1:8" ht="15">
      <c r="A59" s="434"/>
      <c r="B59" s="434"/>
      <c r="C59" s="434"/>
      <c r="D59" s="434"/>
      <c r="E59" s="434"/>
      <c r="F59" s="434"/>
      <c r="G59" s="434"/>
      <c r="H59" s="434"/>
    </row>
    <row r="60" spans="1:8" ht="15">
      <c r="A60" s="434" t="s">
        <v>525</v>
      </c>
      <c r="B60" s="434"/>
      <c r="C60" s="434"/>
      <c r="D60" s="434"/>
      <c r="E60" s="434"/>
      <c r="F60" s="434"/>
      <c r="G60" s="434"/>
      <c r="H60" s="434"/>
    </row>
    <row r="61" spans="1:8" ht="15">
      <c r="A61" s="434" t="s">
        <v>526</v>
      </c>
      <c r="B61" s="434"/>
      <c r="C61" s="434"/>
      <c r="D61" s="434"/>
      <c r="E61" s="434"/>
      <c r="F61" s="434"/>
      <c r="G61" s="434"/>
      <c r="H61" s="434"/>
    </row>
    <row r="62" spans="1:8" ht="15">
      <c r="A62" s="434" t="s">
        <v>527</v>
      </c>
      <c r="B62" s="434"/>
      <c r="C62" s="434"/>
      <c r="D62" s="434"/>
      <c r="E62" s="434"/>
      <c r="F62" s="434"/>
      <c r="G62" s="434"/>
      <c r="H62" s="434"/>
    </row>
    <row r="63" spans="1:8" ht="15">
      <c r="A63" s="434" t="s">
        <v>528</v>
      </c>
      <c r="B63" s="434"/>
      <c r="C63" s="434"/>
      <c r="D63" s="434"/>
      <c r="E63" s="434"/>
      <c r="F63" s="434"/>
      <c r="G63" s="434"/>
      <c r="H63" s="434"/>
    </row>
    <row r="64" spans="1:8" ht="15">
      <c r="A64" s="434" t="s">
        <v>529</v>
      </c>
      <c r="B64" s="434"/>
      <c r="C64" s="434"/>
      <c r="D64" s="434"/>
      <c r="E64" s="434"/>
      <c r="F64" s="434"/>
      <c r="G64" s="434"/>
      <c r="H64" s="434"/>
    </row>
    <row r="65" spans="1:8" ht="15">
      <c r="A65" s="434" t="s">
        <v>530</v>
      </c>
      <c r="B65" s="434"/>
      <c r="C65" s="434"/>
      <c r="D65" s="434"/>
      <c r="E65" s="434"/>
      <c r="F65" s="434"/>
      <c r="G65" s="434"/>
      <c r="H65" s="434"/>
    </row>
    <row r="66" spans="1:8" ht="15">
      <c r="A66" s="434"/>
      <c r="B66" s="434"/>
      <c r="C66" s="434"/>
      <c r="D66" s="434"/>
      <c r="E66" s="434"/>
      <c r="F66" s="434"/>
      <c r="G66" s="434"/>
      <c r="H66" s="434"/>
    </row>
    <row r="67" spans="1:8" ht="15">
      <c r="A67" s="434" t="s">
        <v>531</v>
      </c>
      <c r="B67" s="434"/>
      <c r="C67" s="434"/>
      <c r="D67" s="434"/>
      <c r="E67" s="434"/>
      <c r="F67" s="434"/>
      <c r="G67" s="434"/>
      <c r="H67" s="434"/>
    </row>
    <row r="68" spans="1:8" ht="15">
      <c r="A68" s="434" t="s">
        <v>532</v>
      </c>
      <c r="B68" s="434"/>
      <c r="C68" s="434"/>
      <c r="D68" s="434"/>
      <c r="E68" s="434"/>
      <c r="F68" s="434"/>
      <c r="G68" s="434"/>
      <c r="H68" s="434"/>
    </row>
    <row r="69" spans="1:8" ht="15">
      <c r="A69" s="434" t="s">
        <v>533</v>
      </c>
      <c r="B69" s="434"/>
      <c r="C69" s="434"/>
      <c r="D69" s="434"/>
      <c r="E69" s="434"/>
      <c r="F69" s="434"/>
      <c r="G69" s="434"/>
      <c r="H69" s="434"/>
    </row>
    <row r="70" spans="1:8" ht="15">
      <c r="A70" s="434" t="s">
        <v>534</v>
      </c>
      <c r="B70" s="434"/>
      <c r="C70" s="434"/>
      <c r="D70" s="434"/>
      <c r="E70" s="434"/>
      <c r="F70" s="434"/>
      <c r="G70" s="434"/>
      <c r="H70" s="434"/>
    </row>
    <row r="71" spans="1:8" ht="15">
      <c r="A71" s="434" t="s">
        <v>535</v>
      </c>
      <c r="B71" s="434"/>
      <c r="C71" s="434"/>
      <c r="D71" s="434"/>
      <c r="E71" s="434"/>
      <c r="F71" s="434"/>
      <c r="G71" s="434"/>
      <c r="H71" s="434"/>
    </row>
    <row r="72" spans="1:8" ht="15">
      <c r="A72" s="434" t="s">
        <v>536</v>
      </c>
      <c r="B72" s="434"/>
      <c r="C72" s="434"/>
      <c r="D72" s="434"/>
      <c r="E72" s="434"/>
      <c r="F72" s="434"/>
      <c r="G72" s="434"/>
      <c r="H72" s="434"/>
    </row>
    <row r="73" spans="1:8" ht="15">
      <c r="A73" s="434" t="s">
        <v>537</v>
      </c>
      <c r="B73" s="434"/>
      <c r="C73" s="434"/>
      <c r="D73" s="434"/>
      <c r="E73" s="434"/>
      <c r="F73" s="434"/>
      <c r="G73" s="434"/>
      <c r="H73" s="434"/>
    </row>
    <row r="74" spans="1:8" ht="15">
      <c r="A74" s="434"/>
      <c r="B74" s="434"/>
      <c r="C74" s="434"/>
      <c r="D74" s="434"/>
      <c r="E74" s="434"/>
      <c r="F74" s="434"/>
      <c r="G74" s="434"/>
      <c r="H74" s="434"/>
    </row>
    <row r="75" spans="1:8" ht="15">
      <c r="A75" s="434" t="s">
        <v>538</v>
      </c>
      <c r="B75" s="434"/>
      <c r="C75" s="434"/>
      <c r="D75" s="434"/>
      <c r="E75" s="434"/>
      <c r="F75" s="434"/>
      <c r="G75" s="434"/>
      <c r="H75" s="434"/>
    </row>
    <row r="76" spans="1:8" ht="15">
      <c r="A76" s="434" t="s">
        <v>539</v>
      </c>
      <c r="B76" s="434"/>
      <c r="C76" s="434"/>
      <c r="D76" s="434"/>
      <c r="E76" s="434"/>
      <c r="F76" s="434"/>
      <c r="G76" s="434"/>
      <c r="H76" s="434"/>
    </row>
    <row r="77" spans="1:8" ht="15">
      <c r="A77" s="434" t="s">
        <v>540</v>
      </c>
      <c r="B77" s="434"/>
      <c r="C77" s="434"/>
      <c r="D77" s="434"/>
      <c r="E77" s="434"/>
      <c r="F77" s="434"/>
      <c r="G77" s="434"/>
      <c r="H77" s="434"/>
    </row>
    <row r="78" spans="1:8" ht="15">
      <c r="A78" s="434"/>
      <c r="B78" s="434"/>
      <c r="C78" s="434"/>
      <c r="D78" s="434"/>
      <c r="E78" s="434"/>
      <c r="F78" s="434"/>
      <c r="G78" s="434"/>
      <c r="H78" s="434"/>
    </row>
    <row r="79" ht="15">
      <c r="A79" s="434" t="s">
        <v>485</v>
      </c>
    </row>
    <row r="80" ht="15">
      <c r="A80" s="435"/>
    </row>
    <row r="81" ht="15">
      <c r="A81" s="434"/>
    </row>
    <row r="82" ht="15">
      <c r="A82" s="434"/>
    </row>
    <row r="83" ht="15">
      <c r="A83" s="434"/>
    </row>
    <row r="84" ht="15">
      <c r="A84" s="434"/>
    </row>
    <row r="85" ht="15">
      <c r="A85" s="434"/>
    </row>
    <row r="86" ht="15">
      <c r="A86" s="434"/>
    </row>
    <row r="87" ht="15">
      <c r="A87" s="434"/>
    </row>
    <row r="88" ht="15">
      <c r="A88" s="434"/>
    </row>
    <row r="89" ht="15">
      <c r="A89" s="434"/>
    </row>
    <row r="90" ht="15">
      <c r="A90" s="434"/>
    </row>
    <row r="91" ht="15">
      <c r="A91" s="434"/>
    </row>
    <row r="92" ht="15">
      <c r="A92" s="434"/>
    </row>
    <row r="93" ht="15">
      <c r="A93" s="434"/>
    </row>
    <row r="94" ht="15">
      <c r="A94" s="434"/>
    </row>
    <row r="95" ht="15">
      <c r="A95" s="434"/>
    </row>
    <row r="96" ht="15">
      <c r="A96" s="434"/>
    </row>
    <row r="97" ht="15">
      <c r="A97" s="434"/>
    </row>
    <row r="98" ht="15">
      <c r="A98" s="434"/>
    </row>
    <row r="99" ht="15">
      <c r="A99" s="434"/>
    </row>
    <row r="100" ht="15">
      <c r="A100" s="434"/>
    </row>
    <row r="101" ht="15">
      <c r="A101" s="434"/>
    </row>
    <row r="103" ht="15">
      <c r="A103" s="434"/>
    </row>
    <row r="104" ht="15">
      <c r="A104" s="434"/>
    </row>
    <row r="105" ht="15">
      <c r="A105" s="434"/>
    </row>
    <row r="107" ht="15">
      <c r="A107" s="435"/>
    </row>
    <row r="108" ht="15">
      <c r="A108" s="435"/>
    </row>
    <row r="109" ht="15">
      <c r="A109" s="435"/>
    </row>
  </sheetData>
  <sheetProtection sheet="1"/>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433" t="s">
        <v>541</v>
      </c>
      <c r="B3" s="433"/>
      <c r="C3" s="433"/>
      <c r="D3" s="433"/>
      <c r="E3" s="433"/>
      <c r="F3" s="433"/>
      <c r="G3" s="433"/>
      <c r="H3" s="433"/>
      <c r="I3" s="433"/>
      <c r="J3" s="433"/>
      <c r="K3" s="433"/>
      <c r="L3" s="433"/>
    </row>
    <row r="4" spans="1:12" ht="15">
      <c r="A4" s="433"/>
      <c r="B4" s="433"/>
      <c r="C4" s="433"/>
      <c r="D4" s="433"/>
      <c r="E4" s="433"/>
      <c r="F4" s="433"/>
      <c r="G4" s="433"/>
      <c r="H4" s="433"/>
      <c r="I4" s="433"/>
      <c r="J4" s="433"/>
      <c r="K4" s="433"/>
      <c r="L4" s="433"/>
    </row>
    <row r="5" spans="1:12" ht="15">
      <c r="A5" s="434" t="s">
        <v>430</v>
      </c>
      <c r="I5" s="433"/>
      <c r="J5" s="433"/>
      <c r="K5" s="433"/>
      <c r="L5" s="433"/>
    </row>
    <row r="6" spans="1:12" ht="15">
      <c r="A6" s="434" t="str">
        <f>CONCATENATE("estimated ",inputPrYr!C4-1," 'total expenditures' exceed your ",inputPrYr!C4-1,"")</f>
        <v>estimated 2012 'total expenditures' exceed your 2012</v>
      </c>
      <c r="I6" s="433"/>
      <c r="J6" s="433"/>
      <c r="K6" s="433"/>
      <c r="L6" s="433"/>
    </row>
    <row r="7" spans="1:12" ht="15">
      <c r="A7" s="437" t="s">
        <v>542</v>
      </c>
      <c r="I7" s="433"/>
      <c r="J7" s="433"/>
      <c r="K7" s="433"/>
      <c r="L7" s="433"/>
    </row>
    <row r="8" spans="1:12" ht="15">
      <c r="A8" s="434"/>
      <c r="I8" s="433"/>
      <c r="J8" s="433"/>
      <c r="K8" s="433"/>
      <c r="L8" s="433"/>
    </row>
    <row r="9" spans="1:12" ht="15">
      <c r="A9" s="434" t="s">
        <v>543</v>
      </c>
      <c r="I9" s="433"/>
      <c r="J9" s="433"/>
      <c r="K9" s="433"/>
      <c r="L9" s="433"/>
    </row>
    <row r="10" spans="1:12" ht="15">
      <c r="A10" s="434" t="s">
        <v>544</v>
      </c>
      <c r="I10" s="433"/>
      <c r="J10" s="433"/>
      <c r="K10" s="433"/>
      <c r="L10" s="433"/>
    </row>
    <row r="11" spans="1:12" ht="15">
      <c r="A11" s="434" t="s">
        <v>545</v>
      </c>
      <c r="I11" s="433"/>
      <c r="J11" s="433"/>
      <c r="K11" s="433"/>
      <c r="L11" s="433"/>
    </row>
    <row r="12" spans="1:12" ht="15">
      <c r="A12" s="434" t="s">
        <v>546</v>
      </c>
      <c r="I12" s="433"/>
      <c r="J12" s="433"/>
      <c r="K12" s="433"/>
      <c r="L12" s="433"/>
    </row>
    <row r="13" spans="1:12" ht="15">
      <c r="A13" s="434" t="s">
        <v>547</v>
      </c>
      <c r="I13" s="433"/>
      <c r="J13" s="433"/>
      <c r="K13" s="433"/>
      <c r="L13" s="433"/>
    </row>
    <row r="14" spans="1:12" ht="15">
      <c r="A14" s="433"/>
      <c r="B14" s="433"/>
      <c r="C14" s="433"/>
      <c r="D14" s="433"/>
      <c r="E14" s="433"/>
      <c r="F14" s="433"/>
      <c r="G14" s="433"/>
      <c r="H14" s="433"/>
      <c r="I14" s="433"/>
      <c r="J14" s="433"/>
      <c r="K14" s="433"/>
      <c r="L14" s="433"/>
    </row>
    <row r="15" ht="15">
      <c r="A15" s="435" t="s">
        <v>548</v>
      </c>
    </row>
    <row r="16" ht="15">
      <c r="A16" s="435" t="s">
        <v>549</v>
      </c>
    </row>
    <row r="17" ht="15">
      <c r="A17" s="435"/>
    </row>
    <row r="18" spans="1:7" ht="15">
      <c r="A18" s="434" t="s">
        <v>550</v>
      </c>
      <c r="B18" s="434"/>
      <c r="C18" s="434"/>
      <c r="D18" s="434"/>
      <c r="E18" s="434"/>
      <c r="F18" s="434"/>
      <c r="G18" s="434"/>
    </row>
    <row r="19" spans="1:7" ht="15">
      <c r="A19" s="434" t="str">
        <f>CONCATENATE("your ",inputPrYr!C4-1," numbers to see what steps might be necessary to")</f>
        <v>your 2012 numbers to see what steps might be necessary to</v>
      </c>
      <c r="B19" s="434"/>
      <c r="C19" s="434"/>
      <c r="D19" s="434"/>
      <c r="E19" s="434"/>
      <c r="F19" s="434"/>
      <c r="G19" s="434"/>
    </row>
    <row r="20" spans="1:7" ht="15">
      <c r="A20" s="434" t="s">
        <v>551</v>
      </c>
      <c r="B20" s="434"/>
      <c r="C20" s="434"/>
      <c r="D20" s="434"/>
      <c r="E20" s="434"/>
      <c r="F20" s="434"/>
      <c r="G20" s="434"/>
    </row>
    <row r="21" spans="1:7" ht="15">
      <c r="A21" s="434" t="s">
        <v>552</v>
      </c>
      <c r="B21" s="434"/>
      <c r="C21" s="434"/>
      <c r="D21" s="434"/>
      <c r="E21" s="434"/>
      <c r="F21" s="434"/>
      <c r="G21" s="434"/>
    </row>
    <row r="22" ht="15">
      <c r="A22" s="434"/>
    </row>
    <row r="23" ht="15">
      <c r="A23" s="435" t="s">
        <v>553</v>
      </c>
    </row>
    <row r="24" ht="15">
      <c r="A24" s="435"/>
    </row>
    <row r="25" ht="15">
      <c r="A25" s="434" t="s">
        <v>554</v>
      </c>
    </row>
    <row r="26" spans="1:6" ht="15">
      <c r="A26" s="434" t="s">
        <v>555</v>
      </c>
      <c r="B26" s="434"/>
      <c r="C26" s="434"/>
      <c r="D26" s="434"/>
      <c r="E26" s="434"/>
      <c r="F26" s="434"/>
    </row>
    <row r="27" spans="1:6" ht="15">
      <c r="A27" s="434" t="s">
        <v>556</v>
      </c>
      <c r="B27" s="434"/>
      <c r="C27" s="434"/>
      <c r="D27" s="434"/>
      <c r="E27" s="434"/>
      <c r="F27" s="434"/>
    </row>
    <row r="28" spans="1:6" ht="15">
      <c r="A28" s="434" t="s">
        <v>557</v>
      </c>
      <c r="B28" s="434"/>
      <c r="C28" s="434"/>
      <c r="D28" s="434"/>
      <c r="E28" s="434"/>
      <c r="F28" s="434"/>
    </row>
    <row r="29" spans="1:6" ht="15">
      <c r="A29" s="434"/>
      <c r="B29" s="434"/>
      <c r="C29" s="434"/>
      <c r="D29" s="434"/>
      <c r="E29" s="434"/>
      <c r="F29" s="434"/>
    </row>
    <row r="30" spans="1:7" ht="15">
      <c r="A30" s="435" t="s">
        <v>558</v>
      </c>
      <c r="B30" s="435"/>
      <c r="C30" s="435"/>
      <c r="D30" s="435"/>
      <c r="E30" s="435"/>
      <c r="F30" s="435"/>
      <c r="G30" s="435"/>
    </row>
    <row r="31" spans="1:7" ht="15">
      <c r="A31" s="435" t="s">
        <v>559</v>
      </c>
      <c r="B31" s="435"/>
      <c r="C31" s="435"/>
      <c r="D31" s="435"/>
      <c r="E31" s="435"/>
      <c r="F31" s="435"/>
      <c r="G31" s="435"/>
    </row>
    <row r="32" spans="1:6" ht="15">
      <c r="A32" s="434"/>
      <c r="B32" s="434"/>
      <c r="C32" s="434"/>
      <c r="D32" s="434"/>
      <c r="E32" s="434"/>
      <c r="F32" s="434"/>
    </row>
    <row r="33" spans="1:6" ht="15">
      <c r="A33" s="438" t="str">
        <f>CONCATENATE("Well, let's look to see if any of your ",inputPrYr!C4-1," expenditures can")</f>
        <v>Well, let's look to see if any of your 2012 expenditures can</v>
      </c>
      <c r="B33" s="434"/>
      <c r="C33" s="434"/>
      <c r="D33" s="434"/>
      <c r="E33" s="434"/>
      <c r="F33" s="434"/>
    </row>
    <row r="34" spans="1:6" ht="15">
      <c r="A34" s="438" t="s">
        <v>560</v>
      </c>
      <c r="B34" s="434"/>
      <c r="C34" s="434"/>
      <c r="D34" s="434"/>
      <c r="E34" s="434"/>
      <c r="F34" s="434"/>
    </row>
    <row r="35" spans="1:6" ht="15">
      <c r="A35" s="438" t="s">
        <v>444</v>
      </c>
      <c r="B35" s="434"/>
      <c r="C35" s="434"/>
      <c r="D35" s="434"/>
      <c r="E35" s="434"/>
      <c r="F35" s="434"/>
    </row>
    <row r="36" spans="1:6" ht="15">
      <c r="A36" s="438" t="s">
        <v>445</v>
      </c>
      <c r="B36" s="434"/>
      <c r="C36" s="434"/>
      <c r="D36" s="434"/>
      <c r="E36" s="434"/>
      <c r="F36" s="434"/>
    </row>
    <row r="37" spans="1:6" ht="15">
      <c r="A37" s="438"/>
      <c r="B37" s="434"/>
      <c r="C37" s="434"/>
      <c r="D37" s="434"/>
      <c r="E37" s="434"/>
      <c r="F37" s="434"/>
    </row>
    <row r="38" spans="1:6" ht="15">
      <c r="A38" s="438" t="str">
        <f>CONCATENATE("Additionally, do your ",inputPrYr!C4-1," receipts contain a reimbursement")</f>
        <v>Additionally, do your 2012 receipts contain a reimbursement</v>
      </c>
      <c r="B38" s="434"/>
      <c r="C38" s="434"/>
      <c r="D38" s="434"/>
      <c r="E38" s="434"/>
      <c r="F38" s="434"/>
    </row>
    <row r="39" spans="1:6" ht="15">
      <c r="A39" s="438" t="s">
        <v>446</v>
      </c>
      <c r="B39" s="434"/>
      <c r="C39" s="434"/>
      <c r="D39" s="434"/>
      <c r="E39" s="434"/>
      <c r="F39" s="434"/>
    </row>
    <row r="40" spans="1:6" ht="15">
      <c r="A40" s="438" t="s">
        <v>447</v>
      </c>
      <c r="B40" s="434"/>
      <c r="C40" s="434"/>
      <c r="D40" s="434"/>
      <c r="E40" s="434"/>
      <c r="F40" s="434"/>
    </row>
    <row r="41" spans="1:6" ht="15">
      <c r="A41" s="438"/>
      <c r="B41" s="434"/>
      <c r="C41" s="434"/>
      <c r="D41" s="434"/>
      <c r="E41" s="434"/>
      <c r="F41" s="434"/>
    </row>
    <row r="42" spans="1:6" ht="15">
      <c r="A42" s="438" t="s">
        <v>448</v>
      </c>
      <c r="B42" s="434"/>
      <c r="C42" s="434"/>
      <c r="D42" s="434"/>
      <c r="E42" s="434"/>
      <c r="F42" s="434"/>
    </row>
    <row r="43" spans="1:6" ht="15">
      <c r="A43" s="438" t="s">
        <v>449</v>
      </c>
      <c r="B43" s="434"/>
      <c r="C43" s="434"/>
      <c r="D43" s="434"/>
      <c r="E43" s="434"/>
      <c r="F43" s="434"/>
    </row>
    <row r="44" spans="1:6" ht="15">
      <c r="A44" s="438" t="s">
        <v>450</v>
      </c>
      <c r="B44" s="434"/>
      <c r="C44" s="434"/>
      <c r="D44" s="434"/>
      <c r="E44" s="434"/>
      <c r="F44" s="434"/>
    </row>
    <row r="45" spans="1:6" ht="15">
      <c r="A45" s="438" t="s">
        <v>561</v>
      </c>
      <c r="B45" s="434"/>
      <c r="C45" s="434"/>
      <c r="D45" s="434"/>
      <c r="E45" s="434"/>
      <c r="F45" s="434"/>
    </row>
    <row r="46" spans="1:6" ht="15">
      <c r="A46" s="438" t="s">
        <v>452</v>
      </c>
      <c r="B46" s="434"/>
      <c r="C46" s="434"/>
      <c r="D46" s="434"/>
      <c r="E46" s="434"/>
      <c r="F46" s="434"/>
    </row>
    <row r="47" spans="1:6" ht="15">
      <c r="A47" s="438" t="s">
        <v>562</v>
      </c>
      <c r="B47" s="434"/>
      <c r="C47" s="434"/>
      <c r="D47" s="434"/>
      <c r="E47" s="434"/>
      <c r="F47" s="434"/>
    </row>
    <row r="48" spans="1:6" ht="15">
      <c r="A48" s="438" t="s">
        <v>563</v>
      </c>
      <c r="B48" s="434"/>
      <c r="C48" s="434"/>
      <c r="D48" s="434"/>
      <c r="E48" s="434"/>
      <c r="F48" s="434"/>
    </row>
    <row r="49" spans="1:6" ht="15">
      <c r="A49" s="438" t="s">
        <v>455</v>
      </c>
      <c r="B49" s="434"/>
      <c r="C49" s="434"/>
      <c r="D49" s="434"/>
      <c r="E49" s="434"/>
      <c r="F49" s="434"/>
    </row>
    <row r="50" spans="1:6" ht="15">
      <c r="A50" s="438"/>
      <c r="B50" s="434"/>
      <c r="C50" s="434"/>
      <c r="D50" s="434"/>
      <c r="E50" s="434"/>
      <c r="F50" s="434"/>
    </row>
    <row r="51" spans="1:6" ht="15">
      <c r="A51" s="438" t="s">
        <v>456</v>
      </c>
      <c r="B51" s="434"/>
      <c r="C51" s="434"/>
      <c r="D51" s="434"/>
      <c r="E51" s="434"/>
      <c r="F51" s="434"/>
    </row>
    <row r="52" spans="1:6" ht="15">
      <c r="A52" s="438" t="s">
        <v>457</v>
      </c>
      <c r="B52" s="434"/>
      <c r="C52" s="434"/>
      <c r="D52" s="434"/>
      <c r="E52" s="434"/>
      <c r="F52" s="434"/>
    </row>
    <row r="53" spans="1:6" ht="15">
      <c r="A53" s="438" t="s">
        <v>458</v>
      </c>
      <c r="B53" s="434"/>
      <c r="C53" s="434"/>
      <c r="D53" s="434"/>
      <c r="E53" s="434"/>
      <c r="F53" s="434"/>
    </row>
    <row r="54" spans="1:6" ht="15">
      <c r="A54" s="438"/>
      <c r="B54" s="434"/>
      <c r="C54" s="434"/>
      <c r="D54" s="434"/>
      <c r="E54" s="434"/>
      <c r="F54" s="434"/>
    </row>
    <row r="55" spans="1:6" ht="15">
      <c r="A55" s="438" t="s">
        <v>564</v>
      </c>
      <c r="B55" s="434"/>
      <c r="C55" s="434"/>
      <c r="D55" s="434"/>
      <c r="E55" s="434"/>
      <c r="F55" s="434"/>
    </row>
    <row r="56" spans="1:6" ht="15">
      <c r="A56" s="438" t="s">
        <v>565</v>
      </c>
      <c r="B56" s="434"/>
      <c r="C56" s="434"/>
      <c r="D56" s="434"/>
      <c r="E56" s="434"/>
      <c r="F56" s="434"/>
    </row>
    <row r="57" spans="1:6" ht="15">
      <c r="A57" s="438" t="s">
        <v>566</v>
      </c>
      <c r="B57" s="434"/>
      <c r="C57" s="434"/>
      <c r="D57" s="434"/>
      <c r="E57" s="434"/>
      <c r="F57" s="434"/>
    </row>
    <row r="58" spans="1:6" ht="15">
      <c r="A58" s="438" t="s">
        <v>567</v>
      </c>
      <c r="B58" s="434"/>
      <c r="C58" s="434"/>
      <c r="D58" s="434"/>
      <c r="E58" s="434"/>
      <c r="F58" s="434"/>
    </row>
    <row r="59" spans="1:6" ht="15">
      <c r="A59" s="438" t="s">
        <v>568</v>
      </c>
      <c r="B59" s="434"/>
      <c r="C59" s="434"/>
      <c r="D59" s="434"/>
      <c r="E59" s="434"/>
      <c r="F59" s="434"/>
    </row>
    <row r="60" spans="1:6" ht="15">
      <c r="A60" s="438"/>
      <c r="B60" s="434"/>
      <c r="C60" s="434"/>
      <c r="D60" s="434"/>
      <c r="E60" s="434"/>
      <c r="F60" s="434"/>
    </row>
    <row r="61" spans="1:6" ht="15">
      <c r="A61" s="439" t="s">
        <v>569</v>
      </c>
      <c r="B61" s="434"/>
      <c r="C61" s="434"/>
      <c r="D61" s="434"/>
      <c r="E61" s="434"/>
      <c r="F61" s="434"/>
    </row>
    <row r="62" spans="1:6" ht="15">
      <c r="A62" s="439" t="s">
        <v>570</v>
      </c>
      <c r="B62" s="434"/>
      <c r="C62" s="434"/>
      <c r="D62" s="434"/>
      <c r="E62" s="434"/>
      <c r="F62" s="434"/>
    </row>
    <row r="63" spans="1:6" ht="15">
      <c r="A63" s="439" t="s">
        <v>571</v>
      </c>
      <c r="B63" s="434"/>
      <c r="C63" s="434"/>
      <c r="D63" s="434"/>
      <c r="E63" s="434"/>
      <c r="F63" s="434"/>
    </row>
    <row r="64" ht="15">
      <c r="A64" s="439" t="s">
        <v>572</v>
      </c>
    </row>
    <row r="65" ht="15">
      <c r="A65" s="439" t="s">
        <v>573</v>
      </c>
    </row>
    <row r="66" ht="15">
      <c r="A66" s="439" t="s">
        <v>574</v>
      </c>
    </row>
    <row r="68" ht="15">
      <c r="A68" s="434" t="s">
        <v>575</v>
      </c>
    </row>
    <row r="69" ht="15">
      <c r="A69" s="434" t="s">
        <v>576</v>
      </c>
    </row>
    <row r="70" ht="15">
      <c r="A70" s="434" t="s">
        <v>577</v>
      </c>
    </row>
    <row r="71" ht="15">
      <c r="A71" s="434" t="s">
        <v>578</v>
      </c>
    </row>
    <row r="72" ht="15">
      <c r="A72" s="434" t="s">
        <v>579</v>
      </c>
    </row>
    <row r="73" ht="15">
      <c r="A73" s="434" t="s">
        <v>580</v>
      </c>
    </row>
    <row r="75" ht="15">
      <c r="A75" s="434" t="s">
        <v>485</v>
      </c>
    </row>
  </sheetData>
  <sheetProtection sheet="1"/>
  <printOptions/>
  <pageMargins left="0.7" right="0.7" top="0.75" bottom="0.75" header="0.3" footer="0.3"/>
  <pageSetup horizontalDpi="600" verticalDpi="600" orientation="portrait" r:id="rId1"/>
</worksheet>
</file>

<file path=xl/worksheets/sheet4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433" t="s">
        <v>581</v>
      </c>
      <c r="B3" s="433"/>
      <c r="C3" s="433"/>
      <c r="D3" s="433"/>
      <c r="E3" s="433"/>
      <c r="F3" s="433"/>
      <c r="G3" s="433"/>
    </row>
    <row r="4" spans="1:7" ht="15">
      <c r="A4" s="433"/>
      <c r="B4" s="433"/>
      <c r="C4" s="433"/>
      <c r="D4" s="433"/>
      <c r="E4" s="433"/>
      <c r="F4" s="433"/>
      <c r="G4" s="433"/>
    </row>
    <row r="5" ht="15">
      <c r="A5" s="434" t="s">
        <v>487</v>
      </c>
    </row>
    <row r="6" ht="15">
      <c r="A6" s="434" t="str">
        <f>CONCATENATE(inputPrYr!C4-1," estimated expenditures show that at the end of this year")</f>
        <v>2012 estimated expenditures show that at the end of this year</v>
      </c>
    </row>
    <row r="7" ht="15">
      <c r="A7" s="434" t="s">
        <v>582</v>
      </c>
    </row>
    <row r="8" ht="15">
      <c r="A8" s="434" t="s">
        <v>583</v>
      </c>
    </row>
    <row r="10" ht="15">
      <c r="A10" t="s">
        <v>489</v>
      </c>
    </row>
    <row r="11" ht="15">
      <c r="A11" t="s">
        <v>490</v>
      </c>
    </row>
    <row r="12" ht="15">
      <c r="A12" t="s">
        <v>491</v>
      </c>
    </row>
    <row r="13" spans="1:7" ht="15">
      <c r="A13" s="433"/>
      <c r="B13" s="433"/>
      <c r="C13" s="433"/>
      <c r="D13" s="433"/>
      <c r="E13" s="433"/>
      <c r="F13" s="433"/>
      <c r="G13" s="433"/>
    </row>
    <row r="14" ht="15">
      <c r="A14" s="435" t="s">
        <v>584</v>
      </c>
    </row>
    <row r="15" ht="15">
      <c r="A15" s="434"/>
    </row>
    <row r="16" ht="15">
      <c r="A16" s="434" t="s">
        <v>585</v>
      </c>
    </row>
    <row r="17" ht="15">
      <c r="A17" s="434" t="s">
        <v>586</v>
      </c>
    </row>
    <row r="18" ht="15">
      <c r="A18" s="434" t="s">
        <v>587</v>
      </c>
    </row>
    <row r="19" ht="15">
      <c r="A19" s="434"/>
    </row>
    <row r="20" ht="15">
      <c r="A20" s="434" t="s">
        <v>588</v>
      </c>
    </row>
    <row r="21" ht="15">
      <c r="A21" s="434" t="s">
        <v>589</v>
      </c>
    </row>
    <row r="22" ht="15">
      <c r="A22" s="434" t="s">
        <v>590</v>
      </c>
    </row>
    <row r="23" ht="15">
      <c r="A23" s="434" t="s">
        <v>591</v>
      </c>
    </row>
    <row r="24" ht="15">
      <c r="A24" s="434"/>
    </row>
    <row r="25" ht="15">
      <c r="A25" s="435" t="s">
        <v>553</v>
      </c>
    </row>
    <row r="26" ht="15">
      <c r="A26" s="435"/>
    </row>
    <row r="27" ht="15">
      <c r="A27" s="434" t="s">
        <v>554</v>
      </c>
    </row>
    <row r="28" spans="1:6" ht="15">
      <c r="A28" s="434" t="s">
        <v>555</v>
      </c>
      <c r="B28" s="434"/>
      <c r="C28" s="434"/>
      <c r="D28" s="434"/>
      <c r="E28" s="434"/>
      <c r="F28" s="434"/>
    </row>
    <row r="29" spans="1:6" ht="15">
      <c r="A29" s="434" t="s">
        <v>556</v>
      </c>
      <c r="B29" s="434"/>
      <c r="C29" s="434"/>
      <c r="D29" s="434"/>
      <c r="E29" s="434"/>
      <c r="F29" s="434"/>
    </row>
    <row r="30" spans="1:6" ht="15">
      <c r="A30" s="434" t="s">
        <v>557</v>
      </c>
      <c r="B30" s="434"/>
      <c r="C30" s="434"/>
      <c r="D30" s="434"/>
      <c r="E30" s="434"/>
      <c r="F30" s="434"/>
    </row>
    <row r="31" ht="15">
      <c r="A31" s="434"/>
    </row>
    <row r="32" spans="1:7" ht="15">
      <c r="A32" s="435" t="s">
        <v>558</v>
      </c>
      <c r="B32" s="435"/>
      <c r="C32" s="435"/>
      <c r="D32" s="435"/>
      <c r="E32" s="435"/>
      <c r="F32" s="435"/>
      <c r="G32" s="435"/>
    </row>
    <row r="33" spans="1:7" ht="15">
      <c r="A33" s="435" t="s">
        <v>559</v>
      </c>
      <c r="B33" s="435"/>
      <c r="C33" s="435"/>
      <c r="D33" s="435"/>
      <c r="E33" s="435"/>
      <c r="F33" s="435"/>
      <c r="G33" s="435"/>
    </row>
    <row r="34" spans="1:7" ht="15">
      <c r="A34" s="435"/>
      <c r="B34" s="435"/>
      <c r="C34" s="435"/>
      <c r="D34" s="435"/>
      <c r="E34" s="435"/>
      <c r="F34" s="435"/>
      <c r="G34" s="435"/>
    </row>
    <row r="35" spans="1:7" ht="15">
      <c r="A35" s="434" t="s">
        <v>592</v>
      </c>
      <c r="B35" s="434"/>
      <c r="C35" s="434"/>
      <c r="D35" s="434"/>
      <c r="E35" s="434"/>
      <c r="F35" s="434"/>
      <c r="G35" s="434"/>
    </row>
    <row r="36" spans="1:7" ht="15">
      <c r="A36" s="434" t="s">
        <v>593</v>
      </c>
      <c r="B36" s="434"/>
      <c r="C36" s="434"/>
      <c r="D36" s="434"/>
      <c r="E36" s="434"/>
      <c r="F36" s="434"/>
      <c r="G36" s="434"/>
    </row>
    <row r="37" spans="1:7" ht="15">
      <c r="A37" s="434" t="s">
        <v>594</v>
      </c>
      <c r="B37" s="434"/>
      <c r="C37" s="434"/>
      <c r="D37" s="434"/>
      <c r="E37" s="434"/>
      <c r="F37" s="434"/>
      <c r="G37" s="434"/>
    </row>
    <row r="38" spans="1:7" ht="15">
      <c r="A38" s="434" t="s">
        <v>595</v>
      </c>
      <c r="B38" s="434"/>
      <c r="C38" s="434"/>
      <c r="D38" s="434"/>
      <c r="E38" s="434"/>
      <c r="F38" s="434"/>
      <c r="G38" s="434"/>
    </row>
    <row r="39" spans="1:7" ht="15">
      <c r="A39" s="434" t="s">
        <v>596</v>
      </c>
      <c r="B39" s="434"/>
      <c r="C39" s="434"/>
      <c r="D39" s="434"/>
      <c r="E39" s="434"/>
      <c r="F39" s="434"/>
      <c r="G39" s="434"/>
    </row>
    <row r="40" spans="1:7" ht="15">
      <c r="A40" s="435"/>
      <c r="B40" s="435"/>
      <c r="C40" s="435"/>
      <c r="D40" s="435"/>
      <c r="E40" s="435"/>
      <c r="F40" s="435"/>
      <c r="G40" s="435"/>
    </row>
    <row r="41" spans="1:6" ht="15">
      <c r="A41" s="438" t="str">
        <f>CONCATENATE("So, let's look to see if any of your ",inputPrYr!C4-1," expenditures can")</f>
        <v>So, let's look to see if any of your 2012 expenditures can</v>
      </c>
      <c r="B41" s="434"/>
      <c r="C41" s="434"/>
      <c r="D41" s="434"/>
      <c r="E41" s="434"/>
      <c r="F41" s="434"/>
    </row>
    <row r="42" spans="1:6" ht="15">
      <c r="A42" s="438" t="s">
        <v>560</v>
      </c>
      <c r="B42" s="434"/>
      <c r="C42" s="434"/>
      <c r="D42" s="434"/>
      <c r="E42" s="434"/>
      <c r="F42" s="434"/>
    </row>
    <row r="43" spans="1:6" ht="15">
      <c r="A43" s="438" t="s">
        <v>444</v>
      </c>
      <c r="B43" s="434"/>
      <c r="C43" s="434"/>
      <c r="D43" s="434"/>
      <c r="E43" s="434"/>
      <c r="F43" s="434"/>
    </row>
    <row r="44" spans="1:6" ht="15">
      <c r="A44" s="438" t="s">
        <v>445</v>
      </c>
      <c r="B44" s="434"/>
      <c r="C44" s="434"/>
      <c r="D44" s="434"/>
      <c r="E44" s="434"/>
      <c r="F44" s="434"/>
    </row>
    <row r="45" ht="15">
      <c r="A45" s="434"/>
    </row>
    <row r="46" spans="1:6" ht="15">
      <c r="A46" s="438" t="str">
        <f>CONCATENATE("Additionally, do your ",inputPrYr!C4-1," receipts contain a reimbursement")</f>
        <v>Additionally, do your 2012 receipts contain a reimbursement</v>
      </c>
      <c r="B46" s="434"/>
      <c r="C46" s="434"/>
      <c r="D46" s="434"/>
      <c r="E46" s="434"/>
      <c r="F46" s="434"/>
    </row>
    <row r="47" spans="1:6" ht="15">
      <c r="A47" s="438" t="s">
        <v>446</v>
      </c>
      <c r="B47" s="434"/>
      <c r="C47" s="434"/>
      <c r="D47" s="434"/>
      <c r="E47" s="434"/>
      <c r="F47" s="434"/>
    </row>
    <row r="48" spans="1:6" ht="15">
      <c r="A48" s="438" t="s">
        <v>447</v>
      </c>
      <c r="B48" s="434"/>
      <c r="C48" s="434"/>
      <c r="D48" s="434"/>
      <c r="E48" s="434"/>
      <c r="F48" s="434"/>
    </row>
    <row r="49" spans="1:7" ht="15">
      <c r="A49" s="434"/>
      <c r="B49" s="434"/>
      <c r="C49" s="434"/>
      <c r="D49" s="434"/>
      <c r="E49" s="434"/>
      <c r="F49" s="434"/>
      <c r="G49" s="434"/>
    </row>
    <row r="50" spans="1:7" ht="15">
      <c r="A50" s="434" t="s">
        <v>514</v>
      </c>
      <c r="B50" s="434"/>
      <c r="C50" s="434"/>
      <c r="D50" s="434"/>
      <c r="E50" s="434"/>
      <c r="F50" s="434"/>
      <c r="G50" s="434"/>
    </row>
    <row r="51" spans="1:7" ht="15">
      <c r="A51" s="434" t="s">
        <v>515</v>
      </c>
      <c r="B51" s="434"/>
      <c r="C51" s="434"/>
      <c r="D51" s="434"/>
      <c r="E51" s="434"/>
      <c r="F51" s="434"/>
      <c r="G51" s="434"/>
    </row>
    <row r="52" spans="1:7" ht="15">
      <c r="A52" s="434" t="s">
        <v>516</v>
      </c>
      <c r="B52" s="434"/>
      <c r="C52" s="434"/>
      <c r="D52" s="434"/>
      <c r="E52" s="434"/>
      <c r="F52" s="434"/>
      <c r="G52" s="434"/>
    </row>
    <row r="53" spans="1:7" ht="15">
      <c r="A53" s="434" t="s">
        <v>517</v>
      </c>
      <c r="B53" s="434"/>
      <c r="C53" s="434"/>
      <c r="D53" s="434"/>
      <c r="E53" s="434"/>
      <c r="F53" s="434"/>
      <c r="G53" s="434"/>
    </row>
    <row r="54" spans="1:7" ht="15">
      <c r="A54" s="434" t="s">
        <v>518</v>
      </c>
      <c r="B54" s="434"/>
      <c r="C54" s="434"/>
      <c r="D54" s="434"/>
      <c r="E54" s="434"/>
      <c r="F54" s="434"/>
      <c r="G54" s="434"/>
    </row>
    <row r="55" spans="1:7" ht="15">
      <c r="A55" s="434"/>
      <c r="B55" s="434"/>
      <c r="C55" s="434"/>
      <c r="D55" s="434"/>
      <c r="E55" s="434"/>
      <c r="F55" s="434"/>
      <c r="G55" s="434"/>
    </row>
    <row r="56" spans="1:6" ht="15">
      <c r="A56" s="438" t="s">
        <v>456</v>
      </c>
      <c r="B56" s="434"/>
      <c r="C56" s="434"/>
      <c r="D56" s="434"/>
      <c r="E56" s="434"/>
      <c r="F56" s="434"/>
    </row>
    <row r="57" spans="1:6" ht="15">
      <c r="A57" s="438" t="s">
        <v>457</v>
      </c>
      <c r="B57" s="434"/>
      <c r="C57" s="434"/>
      <c r="D57" s="434"/>
      <c r="E57" s="434"/>
      <c r="F57" s="434"/>
    </row>
    <row r="58" spans="1:6" ht="15">
      <c r="A58" s="438" t="s">
        <v>458</v>
      </c>
      <c r="B58" s="434"/>
      <c r="C58" s="434"/>
      <c r="D58" s="434"/>
      <c r="E58" s="434"/>
      <c r="F58" s="434"/>
    </row>
    <row r="59" spans="1:6" ht="15">
      <c r="A59" s="438"/>
      <c r="B59" s="434"/>
      <c r="C59" s="434"/>
      <c r="D59" s="434"/>
      <c r="E59" s="434"/>
      <c r="F59" s="434"/>
    </row>
    <row r="60" spans="1:7" ht="15">
      <c r="A60" s="434" t="s">
        <v>597</v>
      </c>
      <c r="B60" s="434"/>
      <c r="C60" s="434"/>
      <c r="D60" s="434"/>
      <c r="E60" s="434"/>
      <c r="F60" s="434"/>
      <c r="G60" s="434"/>
    </row>
    <row r="61" spans="1:7" ht="15">
      <c r="A61" s="434" t="s">
        <v>598</v>
      </c>
      <c r="B61" s="434"/>
      <c r="C61" s="434"/>
      <c r="D61" s="434"/>
      <c r="E61" s="434"/>
      <c r="F61" s="434"/>
      <c r="G61" s="434"/>
    </row>
    <row r="62" spans="1:7" ht="15">
      <c r="A62" s="434" t="s">
        <v>599</v>
      </c>
      <c r="B62" s="434"/>
      <c r="C62" s="434"/>
      <c r="D62" s="434"/>
      <c r="E62" s="434"/>
      <c r="F62" s="434"/>
      <c r="G62" s="434"/>
    </row>
    <row r="63" spans="1:7" ht="15">
      <c r="A63" s="434" t="s">
        <v>600</v>
      </c>
      <c r="B63" s="434"/>
      <c r="C63" s="434"/>
      <c r="D63" s="434"/>
      <c r="E63" s="434"/>
      <c r="F63" s="434"/>
      <c r="G63" s="434"/>
    </row>
    <row r="64" spans="1:7" ht="15">
      <c r="A64" s="434" t="s">
        <v>601</v>
      </c>
      <c r="B64" s="434"/>
      <c r="C64" s="434"/>
      <c r="D64" s="434"/>
      <c r="E64" s="434"/>
      <c r="F64" s="434"/>
      <c r="G64" s="434"/>
    </row>
    <row r="66" spans="1:6" ht="15">
      <c r="A66" s="438" t="s">
        <v>564</v>
      </c>
      <c r="B66" s="434"/>
      <c r="C66" s="434"/>
      <c r="D66" s="434"/>
      <c r="E66" s="434"/>
      <c r="F66" s="434"/>
    </row>
    <row r="67" spans="1:6" ht="15">
      <c r="A67" s="438" t="s">
        <v>565</v>
      </c>
      <c r="B67" s="434"/>
      <c r="C67" s="434"/>
      <c r="D67" s="434"/>
      <c r="E67" s="434"/>
      <c r="F67" s="434"/>
    </row>
    <row r="68" spans="1:6" ht="15">
      <c r="A68" s="438" t="s">
        <v>566</v>
      </c>
      <c r="B68" s="434"/>
      <c r="C68" s="434"/>
      <c r="D68" s="434"/>
      <c r="E68" s="434"/>
      <c r="F68" s="434"/>
    </row>
    <row r="69" spans="1:6" ht="15">
      <c r="A69" s="438" t="s">
        <v>567</v>
      </c>
      <c r="B69" s="434"/>
      <c r="C69" s="434"/>
      <c r="D69" s="434"/>
      <c r="E69" s="434"/>
      <c r="F69" s="434"/>
    </row>
    <row r="70" spans="1:6" ht="15">
      <c r="A70" s="438" t="s">
        <v>568</v>
      </c>
      <c r="B70" s="434"/>
      <c r="C70" s="434"/>
      <c r="D70" s="434"/>
      <c r="E70" s="434"/>
      <c r="F70" s="434"/>
    </row>
    <row r="71" ht="15">
      <c r="A71" s="434"/>
    </row>
    <row r="72" ht="15">
      <c r="A72" s="434" t="s">
        <v>485</v>
      </c>
    </row>
    <row r="73" ht="15">
      <c r="A73" s="434"/>
    </row>
    <row r="74" ht="15">
      <c r="A74" s="434"/>
    </row>
    <row r="75" ht="15">
      <c r="A75" s="434"/>
    </row>
    <row r="78" ht="15">
      <c r="A78" s="435"/>
    </row>
    <row r="80" ht="15">
      <c r="A80" s="434"/>
    </row>
    <row r="81" ht="15">
      <c r="A81" s="434"/>
    </row>
    <row r="82" ht="15">
      <c r="A82" s="434"/>
    </row>
    <row r="83" ht="15">
      <c r="A83" s="434"/>
    </row>
    <row r="84" ht="15">
      <c r="A84" s="434"/>
    </row>
    <row r="85" ht="15">
      <c r="A85" s="434"/>
    </row>
    <row r="86" ht="15">
      <c r="A86" s="434"/>
    </row>
    <row r="87" ht="15">
      <c r="A87" s="434"/>
    </row>
    <row r="88" ht="15">
      <c r="A88" s="434"/>
    </row>
    <row r="89" ht="15">
      <c r="A89" s="434"/>
    </row>
    <row r="90" ht="15">
      <c r="A90" s="434"/>
    </row>
    <row r="92" ht="15">
      <c r="A92" s="434"/>
    </row>
    <row r="93" ht="15">
      <c r="A93" s="434"/>
    </row>
    <row r="94" ht="15">
      <c r="A94" s="434"/>
    </row>
    <row r="95" ht="15">
      <c r="A95" s="434"/>
    </row>
    <row r="96" ht="15">
      <c r="A96" s="434"/>
    </row>
    <row r="97" ht="15">
      <c r="A97" s="434"/>
    </row>
    <row r="98" ht="15">
      <c r="A98" s="434"/>
    </row>
    <row r="99" ht="15">
      <c r="A99" s="434"/>
    </row>
    <row r="100" ht="15">
      <c r="A100" s="434"/>
    </row>
    <row r="101" ht="15">
      <c r="A101" s="434"/>
    </row>
    <row r="102" ht="15">
      <c r="A102" s="434"/>
    </row>
    <row r="103" ht="15">
      <c r="A103" s="434"/>
    </row>
    <row r="104" ht="15">
      <c r="A104" s="434"/>
    </row>
    <row r="105" ht="15">
      <c r="A105" s="434"/>
    </row>
    <row r="106" ht="15">
      <c r="A106" s="434"/>
    </row>
  </sheetData>
  <sheetProtection sheet="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84"/>
  <sheetViews>
    <sheetView tabSelected="1" zoomScale="90" zoomScaleNormal="90" zoomScalePageLayoutView="0" workbookViewId="0" topLeftCell="A1">
      <selection activeCell="A1" sqref="A1"/>
    </sheetView>
  </sheetViews>
  <sheetFormatPr defaultColWidth="8.796875" defaultRowHeight="15"/>
  <cols>
    <col min="1" max="1" width="20.796875" style="163" customWidth="1"/>
    <col min="2" max="2" width="9.796875" style="163" customWidth="1"/>
    <col min="3" max="3" width="5.796875" style="163" customWidth="1"/>
    <col min="4" max="6" width="15.796875" style="163" customWidth="1"/>
    <col min="7" max="16384" width="8.8984375" style="163" customWidth="1"/>
  </cols>
  <sheetData>
    <row r="1" spans="1:6" ht="12.75">
      <c r="A1" s="162"/>
      <c r="B1" s="162"/>
      <c r="C1" s="162"/>
      <c r="D1" s="162"/>
      <c r="E1" s="162"/>
      <c r="F1" s="162"/>
    </row>
    <row r="2" spans="1:6" ht="12.75">
      <c r="A2" s="746" t="s">
        <v>234</v>
      </c>
      <c r="B2" s="746"/>
      <c r="C2" s="746"/>
      <c r="D2" s="746"/>
      <c r="E2" s="746"/>
      <c r="F2" s="746"/>
    </row>
    <row r="3" spans="1:6" ht="15" customHeight="1">
      <c r="A3" s="164"/>
      <c r="B3" s="164"/>
      <c r="C3" s="164"/>
      <c r="D3" s="164"/>
      <c r="E3" s="164"/>
      <c r="F3" s="162">
        <f>inputPrYr!C4</f>
        <v>2013</v>
      </c>
    </row>
    <row r="4" spans="1:6" ht="15">
      <c r="A4" s="751" t="str">
        <f>CONCATENATE("To the Clerk of ",inputPrYr!C2,", State of Kansas")</f>
        <v>To the Clerk of Rice County, State of Kansas</v>
      </c>
      <c r="B4" s="752"/>
      <c r="C4" s="752"/>
      <c r="D4" s="752"/>
      <c r="E4" s="752"/>
      <c r="F4" s="752"/>
    </row>
    <row r="5" spans="1:6" ht="15">
      <c r="A5" s="751" t="s">
        <v>5</v>
      </c>
      <c r="B5" s="753"/>
      <c r="C5" s="753"/>
      <c r="D5" s="753"/>
      <c r="E5" s="753"/>
      <c r="F5" s="753"/>
    </row>
    <row r="6" spans="1:6" ht="15">
      <c r="A6" s="749" t="str">
        <f>(inputPrYr!C2)</f>
        <v>Rice County</v>
      </c>
      <c r="B6" s="750"/>
      <c r="C6" s="750"/>
      <c r="D6" s="750"/>
      <c r="E6" s="750"/>
      <c r="F6" s="750"/>
    </row>
    <row r="7" spans="1:6" ht="12.75">
      <c r="A7" s="166" t="s">
        <v>135</v>
      </c>
      <c r="B7" s="167"/>
      <c r="C7" s="167"/>
      <c r="D7" s="167"/>
      <c r="E7" s="167"/>
      <c r="F7" s="167"/>
    </row>
    <row r="8" spans="1:6" ht="12.75">
      <c r="A8" s="166" t="s">
        <v>136</v>
      </c>
      <c r="B8" s="167"/>
      <c r="C8" s="167"/>
      <c r="D8" s="167"/>
      <c r="E8" s="167"/>
      <c r="F8" s="167"/>
    </row>
    <row r="9" spans="1:6" ht="12.75">
      <c r="A9" s="166" t="str">
        <f>CONCATENATE("maximum expenditure for the various funds for the year ",F3,"; and")</f>
        <v>maximum expenditure for the various funds for the year 2013; and</v>
      </c>
      <c r="B9" s="167"/>
      <c r="C9" s="167"/>
      <c r="D9" s="167"/>
      <c r="E9" s="167"/>
      <c r="F9" s="167"/>
    </row>
    <row r="10" spans="1:6" ht="12.75">
      <c r="A10" s="166" t="str">
        <f>CONCATENATE("(3) the Amount(s) of ",F3-1," Ad Valorem Tax are within statutory limitations.")</f>
        <v>(3) the Amount(s) of 2012 Ad Valorem Tax are within statutory limitations.</v>
      </c>
      <c r="B10" s="167"/>
      <c r="C10" s="167"/>
      <c r="D10" s="167"/>
      <c r="E10" s="167"/>
      <c r="F10" s="167"/>
    </row>
    <row r="11" spans="1:6" ht="8.25" customHeight="1">
      <c r="A11" s="168"/>
      <c r="B11" s="164"/>
      <c r="C11" s="164"/>
      <c r="D11" s="169"/>
      <c r="E11" s="169"/>
      <c r="F11" s="169"/>
    </row>
    <row r="12" spans="1:6" ht="12.75">
      <c r="A12" s="164"/>
      <c r="B12" s="164"/>
      <c r="C12" s="164"/>
      <c r="D12" s="170" t="str">
        <f>CONCATENATE("",F3," Adopted Budget")</f>
        <v>2013 Adopted Budget</v>
      </c>
      <c r="E12" s="171"/>
      <c r="F12" s="172"/>
    </row>
    <row r="13" spans="1:6" ht="13.5" customHeight="1">
      <c r="A13" s="164"/>
      <c r="B13" s="164"/>
      <c r="C13" s="173" t="s">
        <v>137</v>
      </c>
      <c r="D13" s="476" t="s">
        <v>677</v>
      </c>
      <c r="E13" s="747" t="str">
        <f>CONCATENATE("Amount of ",F3-1,"               Ad Valorem Tax")</f>
        <v>Amount of 2012               Ad Valorem Tax</v>
      </c>
      <c r="F13" s="173" t="s">
        <v>138</v>
      </c>
    </row>
    <row r="14" spans="1:6" ht="12.75" customHeight="1">
      <c r="A14" s="174" t="s">
        <v>139</v>
      </c>
      <c r="B14" s="175"/>
      <c r="C14" s="176" t="s">
        <v>140</v>
      </c>
      <c r="D14" s="475" t="s">
        <v>678</v>
      </c>
      <c r="E14" s="748"/>
      <c r="F14" s="176" t="s">
        <v>142</v>
      </c>
    </row>
    <row r="15" spans="1:6" ht="12.75">
      <c r="A15" s="177" t="str">
        <f>CONCATENATE("Computation to Determine Limit for ",F3,"")</f>
        <v>Computation to Determine Limit for 2013</v>
      </c>
      <c r="B15" s="181"/>
      <c r="C15" s="176">
        <v>2</v>
      </c>
      <c r="D15" s="178"/>
      <c r="E15" s="178"/>
      <c r="F15" s="178"/>
    </row>
    <row r="16" spans="1:6" ht="12.75">
      <c r="A16" s="180" t="s">
        <v>847</v>
      </c>
      <c r="B16" s="181"/>
      <c r="C16" s="182">
        <v>3</v>
      </c>
      <c r="D16" s="178"/>
      <c r="E16" s="178"/>
      <c r="F16" s="178"/>
    </row>
    <row r="17" spans="1:6" ht="12.75">
      <c r="A17" s="661" t="s">
        <v>289</v>
      </c>
      <c r="B17" s="707"/>
      <c r="C17" s="182">
        <v>4</v>
      </c>
      <c r="D17" s="178"/>
      <c r="E17" s="178"/>
      <c r="F17" s="178"/>
    </row>
    <row r="18" spans="1:6" ht="12.75">
      <c r="A18" s="180" t="s">
        <v>143</v>
      </c>
      <c r="B18" s="181"/>
      <c r="C18" s="183">
        <v>5</v>
      </c>
      <c r="D18" s="184"/>
      <c r="E18" s="184"/>
      <c r="F18" s="184"/>
    </row>
    <row r="19" spans="1:6" ht="12.75">
      <c r="A19" s="180" t="s">
        <v>144</v>
      </c>
      <c r="B19" s="181"/>
      <c r="C19" s="185">
        <v>6</v>
      </c>
      <c r="D19" s="184"/>
      <c r="E19" s="184"/>
      <c r="F19" s="184"/>
    </row>
    <row r="20" spans="1:6" ht="12.75">
      <c r="A20" s="186" t="s">
        <v>145</v>
      </c>
      <c r="B20" s="187" t="s">
        <v>146</v>
      </c>
      <c r="C20" s="188"/>
      <c r="D20" s="189"/>
      <c r="E20" s="189"/>
      <c r="F20" s="189"/>
    </row>
    <row r="21" spans="1:6" ht="15.75">
      <c r="A21" s="177" t="str">
        <f>inputPrYr!B16</f>
        <v>General</v>
      </c>
      <c r="B21" s="190" t="str">
        <f>inputPrYr!C16</f>
        <v>79-1946</v>
      </c>
      <c r="C21" s="183">
        <v>7</v>
      </c>
      <c r="D21" s="711">
        <f>IF(general!$E$113&lt;&gt;0,general!$E$113,"  ")</f>
        <v>4959306</v>
      </c>
      <c r="E21" s="712">
        <f>IF(general!$E$120&lt;&gt;0,general!$E$120,0)</f>
        <v>2426914.84</v>
      </c>
      <c r="F21" s="713" t="str">
        <f>IF(AND(general!E120=0,$F$69&gt;=0)," ",IF(AND(E21&gt;0,$F$69=0)," ",IF(AND(E21&gt;0,$F$69&gt;0),ROUND(E21/$F$69*1000,3))))</f>
        <v> </v>
      </c>
    </row>
    <row r="22" spans="1:6" ht="15.75">
      <c r="A22" s="177" t="str">
        <f>inputPrYr!B17</f>
        <v>Debt Service</v>
      </c>
      <c r="B22" s="190" t="str">
        <f>inputPrYr!C17</f>
        <v>10-113</v>
      </c>
      <c r="C22" s="193">
        <f>IF(DebtService!C59&gt;0,DebtService!C59,"")</f>
        <v>8</v>
      </c>
      <c r="D22" s="711">
        <f>IF(DebtService!$E$50&lt;&gt;0,DebtService!$E$50,"  ")</f>
        <v>1120</v>
      </c>
      <c r="E22" s="712">
        <f>IF(DebtService!$E$57&lt;&gt;0,DebtService!$E$57,0)</f>
        <v>0</v>
      </c>
      <c r="F22" s="713" t="str">
        <f>IF(AND(DebtService!E57=0,$F$69&gt;=0)," ",IF(AND(E22&gt;0,$F$69=0)," ",IF(AND(E22&gt;0,$F$69&gt;0),ROUND(E22/$F$69*1000,3))))</f>
        <v> </v>
      </c>
    </row>
    <row r="23" spans="1:6" ht="15.75">
      <c r="A23" s="177" t="str">
        <f>inputPrYr!B18</f>
        <v>Road &amp; Bridge</v>
      </c>
      <c r="B23" s="190" t="str">
        <f>inputPrYr!C18</f>
        <v>79-1946</v>
      </c>
      <c r="C23" s="183">
        <f>IF(road!C57&gt;0,road!C57,"")</f>
        <v>9</v>
      </c>
      <c r="D23" s="711">
        <f>IF(road!$E$111&lt;&gt;0,road!$E$111,"  ")</f>
        <v>1985837</v>
      </c>
      <c r="E23" s="712">
        <f>IF(road!$E$118&lt;&gt;0,road!$E$118,0)</f>
        <v>690896.19</v>
      </c>
      <c r="F23" s="713" t="str">
        <f>IF(AND(road!E118=0,$F$69&gt;=0)," ",IF(AND(E23&gt;0,$F$69=0)," ",IF(AND(E23&gt;0,$F$69&gt;0),ROUND(E23/$F$69*1000,3))))</f>
        <v> </v>
      </c>
    </row>
    <row r="24" spans="1:6" ht="15.75">
      <c r="A24" s="191" t="str">
        <f>IF((inputPrYr!$B19&gt;"  "),(inputPrYr!$B19),"  ")</f>
        <v>Employee Benefits</v>
      </c>
      <c r="B24" s="190" t="str">
        <f>IF((inputPrYr!C19&gt;0),(inputPrYr!C19),"  ")</f>
        <v>12-16,102</v>
      </c>
      <c r="C24" s="183">
        <f>IF('levy page10'!C81&gt;0,'levy page10'!C81,"  ")</f>
        <v>10</v>
      </c>
      <c r="D24" s="711">
        <f>IF('levy page10'!$E$33&lt;&gt;0,'levy page10'!$E$33,"  ")</f>
        <v>1449697</v>
      </c>
      <c r="E24" s="712">
        <f>IF('levy page10'!$E$40&lt;&gt;0,'levy page10'!$E$40,0)</f>
        <v>1401159</v>
      </c>
      <c r="F24" s="713" t="str">
        <f>IF(AND('levy page10'!E40=0,$F$69&gt;=0)," ",IF(AND(E24&gt;0,$F$69=0)," ",IF(AND(E24&gt;0,$F$69&gt;0),ROUND(E24/$F$69*1000,3))))</f>
        <v> </v>
      </c>
    </row>
    <row r="25" spans="1:6" ht="15.75">
      <c r="A25" s="191" t="str">
        <f>IF((inputPrYr!$B20&gt;"  "),(inputPrYr!$B20),"  ")</f>
        <v>Emergency Medical Services</v>
      </c>
      <c r="B25" s="190" t="str">
        <f>IF((inputPrYr!C20&gt;0),(inputPrYr!C20),"  ")</f>
        <v>65-6113</v>
      </c>
      <c r="C25" s="183">
        <f>IF('levy page10'!C81&gt;0,'levy page10'!C81,"  ")</f>
        <v>10</v>
      </c>
      <c r="D25" s="711">
        <f>IF('levy page10'!$E$73&lt;&gt;0,'levy page10'!$E$73,"  ")</f>
        <v>540023</v>
      </c>
      <c r="E25" s="712">
        <f>IF('levy page10'!$E$80&lt;&gt;0,'levy page10'!$E$80,0)</f>
        <v>168007</v>
      </c>
      <c r="F25" s="713" t="str">
        <f>IF(AND('levy page10'!E80=0,$F$69&gt;=0)," ",IF(AND(E25&gt;0,$F$69=0)," ",IF(AND(E25&gt;0,$F$69&gt;0),ROUND(E25/$F$69*1000,3))))</f>
        <v> </v>
      </c>
    </row>
    <row r="26" spans="1:6" ht="15.75">
      <c r="A26" s="191" t="str">
        <f>IF((inputPrYr!$B21&gt;"  "),(inputPrYr!$B21),"  ")</f>
        <v>Noxious Weed</v>
      </c>
      <c r="B26" s="190" t="str">
        <f>IF((inputPrYr!C21&gt;0),(inputPrYr!C21),"  ")</f>
        <v>2-1318</v>
      </c>
      <c r="C26" s="183">
        <f>IF('levy page11'!C81&gt;0,'levy page11'!C81,"  ")</f>
        <v>11</v>
      </c>
      <c r="D26" s="711">
        <f>IF('levy page11'!$E$33&lt;&gt;0,'levy page11'!$E$33,"  ")</f>
        <v>281981</v>
      </c>
      <c r="E26" s="712">
        <f>IF('levy page11'!$E$40&lt;&gt;0,'levy page11'!$E$40,0)</f>
        <v>173204</v>
      </c>
      <c r="F26" s="713" t="str">
        <f>IF(AND('levy page11'!E40=0,$F$69&gt;=0)," ",IF(AND(E26&gt;0,$F$69=0)," ",IF(AND(E26&gt;0,$F$69&gt;0),ROUND(E26/$F$69*1000,3))))</f>
        <v> </v>
      </c>
    </row>
    <row r="27" spans="1:6" ht="15.75">
      <c r="A27" s="191" t="str">
        <f>IF((inputPrYr!$B22&gt;"  "),(inputPrYr!$B22),"  ")</f>
        <v>Health</v>
      </c>
      <c r="B27" s="190" t="str">
        <f>IF((inputPrYr!C22&gt;0),(inputPrYr!C22),"  ")</f>
        <v>65-204</v>
      </c>
      <c r="C27" s="183">
        <f>IF('levy page11'!C81&gt;0,'levy page11'!C81,"  ")</f>
        <v>11</v>
      </c>
      <c r="D27" s="711">
        <f>IF('levy page11'!$E$73&lt;&gt;0,'levy page11'!$E$73,"  ")</f>
        <v>260006</v>
      </c>
      <c r="E27" s="712">
        <f>IF('levy page11'!$E$80&lt;&gt;0,'levy page11'!$E$80,0)</f>
        <v>111916</v>
      </c>
      <c r="F27" s="713" t="str">
        <f>IF(AND('levy page11'!E80=0,$F$69&gt;=0)," ",IF(AND(E27&gt;0,$F$69=0)," ",IF(AND(E27&gt;0,$F$69&gt;0),ROUND(E27/$F$69*1000,3))))</f>
        <v> </v>
      </c>
    </row>
    <row r="28" spans="1:6" ht="15.75">
      <c r="A28" s="191" t="str">
        <f>IF((inputPrYr!$B23&gt;"  "),(inputPrYr!$B23),"  ")</f>
        <v>Historical Society</v>
      </c>
      <c r="B28" s="190" t="str">
        <f>IF((inputPrYr!C23&gt;0),(inputPrYr!C23),"  ")</f>
        <v>73-402</v>
      </c>
      <c r="C28" s="183">
        <f>IF('levy page12'!C81&gt;0,'levy page12'!C81,"  ")</f>
        <v>12</v>
      </c>
      <c r="D28" s="711">
        <f>IF('levy page12'!$E$33&lt;&gt;0,'levy page12'!$E$33,"  ")</f>
        <v>132554</v>
      </c>
      <c r="E28" s="712">
        <f>IF('levy page12'!$E$40&lt;&gt;0,'levy page12'!$E$40,0)</f>
        <v>124804</v>
      </c>
      <c r="F28" s="713" t="str">
        <f>IF(AND('levy page12'!E40=0,$F$69&gt;=0)," ",IF(AND(E28&gt;0,$F$69=0)," ",IF(AND(E28&gt;0,$F$69&gt;0),ROUND(E28/$F$69*1000,3))))</f>
        <v> </v>
      </c>
    </row>
    <row r="29" spans="1:6" ht="15.75">
      <c r="A29" s="191" t="str">
        <f>IF((inputPrYr!$B24&gt;"  "),(inputPrYr!$B24),"  ")</f>
        <v>Senior Citizens</v>
      </c>
      <c r="B29" s="190" t="str">
        <f>IF((inputPrYr!C24&gt;0),(inputPrYr!C24),"  ")</f>
        <v>12-1680</v>
      </c>
      <c r="C29" s="183">
        <f>IF('levy page12'!C81&gt;0,'levy page12'!C81,"  ")</f>
        <v>12</v>
      </c>
      <c r="D29" s="711">
        <f>IF('levy page12'!$E$73&lt;&gt;0,'levy page12'!$E$73,"  ")</f>
        <v>256566</v>
      </c>
      <c r="E29" s="712">
        <f>IF('levy page12'!$E$80&lt;&gt;0,'levy page12'!$E$80,0)</f>
        <v>241953</v>
      </c>
      <c r="F29" s="713" t="str">
        <f>IF(AND('levy page12'!E80=0,$F$69&gt;=0)," ",IF(AND(E29&gt;0,$F$69=0)," ",IF(AND(E29&gt;0,$F$69&gt;0),ROUND(E29/$F$69*1000,3))))</f>
        <v> </v>
      </c>
    </row>
    <row r="30" spans="1:6" ht="15.75">
      <c r="A30" s="191" t="str">
        <f>IF((inputPrYr!$B25&gt;"  "),(inputPrYr!$B25),"  ")</f>
        <v>  </v>
      </c>
      <c r="B30" s="190" t="str">
        <f>IF((inputPrYr!C25&gt;0),(inputPrYr!C25),"  ")</f>
        <v>  </v>
      </c>
      <c r="C30" s="183" t="str">
        <f>IF('levy page13'!C81&gt;0,'levy page13'!C81,"  ")</f>
        <v>  </v>
      </c>
      <c r="D30" s="711" t="str">
        <f>IF('levy page13'!$E$33&lt;&gt;0,'levy page13'!$E$33,"  ")</f>
        <v>  </v>
      </c>
      <c r="E30" s="712">
        <f>IF('levy page13'!$E$40&lt;&gt;0,'levy page13'!$E$40,0)</f>
        <v>0</v>
      </c>
      <c r="F30" s="713" t="str">
        <f>IF(AND('levy page13'!E40=0,$F$69&gt;=0)," ",IF(AND(E30&gt;0,$F$69=0)," ",IF(AND(E30&gt;0,$F$69&gt;0),ROUND(E30/$F$69*1000,3))))</f>
        <v> </v>
      </c>
    </row>
    <row r="31" spans="1:6" ht="15.75" hidden="1">
      <c r="A31" s="191" t="str">
        <f>IF((inputPrYr!$B26&gt;"  "),(inputPrYr!$B26),"  ")</f>
        <v>  </v>
      </c>
      <c r="B31" s="190" t="str">
        <f>IF((inputPrYr!C26&gt;0),(inputPrYr!C26),"  ")</f>
        <v>  </v>
      </c>
      <c r="C31" s="183" t="str">
        <f>IF('levy page13'!C81&gt;0,'levy page13'!C81,"  ")</f>
        <v>  </v>
      </c>
      <c r="D31" s="711" t="str">
        <f>IF('levy page13'!$E$73&lt;&gt;0,'levy page13'!$E$73,"  ")</f>
        <v>  </v>
      </c>
      <c r="E31" s="712">
        <f>IF('levy page13'!$E$80&lt;&gt;0,'levy page13'!$E$80,0)</f>
        <v>0</v>
      </c>
      <c r="F31" s="713" t="str">
        <f>IF(AND('levy page13'!E80=0,$F$69&gt;=0)," ",IF(AND(E31&gt;0,$F$69=0)," ",IF(AND(E31&gt;0,$F$69&gt;0),ROUND(E31/$F$69*1000,3))))</f>
        <v> </v>
      </c>
    </row>
    <row r="32" spans="1:6" ht="15.75" hidden="1">
      <c r="A32" s="191" t="str">
        <f>IF((inputPrYr!$B27&gt;"  "),(inputPrYr!$B27),"  ")</f>
        <v>  </v>
      </c>
      <c r="B32" s="190" t="str">
        <f>IF((inputPrYr!C27&gt;0),(inputPrYr!C27),"  ")</f>
        <v>  </v>
      </c>
      <c r="C32" s="183" t="str">
        <f>IF('levy page14'!C81&gt;0,'levy page14'!C81,"  ")</f>
        <v>  </v>
      </c>
      <c r="D32" s="711" t="str">
        <f>IF('levy page14'!$E$33&lt;&gt;0,'levy page14'!$E$33,"  ")</f>
        <v>  </v>
      </c>
      <c r="E32" s="712">
        <f>IF('levy page14'!$E$40&lt;&gt;0,'levy page14'!$E$40,0)</f>
        <v>0</v>
      </c>
      <c r="F32" s="713" t="str">
        <f>IF(AND('levy page14'!E40=0,$F$69&gt;=0)," ",IF(AND(E32&gt;0,$F$69=0)," ",IF(AND(E32&gt;0,$F$69&gt;0),ROUND(E32/$F$69*1000,3))))</f>
        <v> </v>
      </c>
    </row>
    <row r="33" spans="1:6" ht="15.75" hidden="1">
      <c r="A33" s="191" t="str">
        <f>IF((inputPrYr!$B28&gt;"  "),(inputPrYr!$B28),"  ")</f>
        <v>  </v>
      </c>
      <c r="B33" s="190" t="str">
        <f>IF((inputPrYr!C28&gt;0),(inputPrYr!C28),"  ")</f>
        <v>  </v>
      </c>
      <c r="C33" s="183" t="str">
        <f>IF('levy page14'!C81&gt;0,'levy page14'!C81,"  ")</f>
        <v>  </v>
      </c>
      <c r="D33" s="711" t="str">
        <f>IF('levy page14'!$E$73&lt;&gt;0,'levy page14'!$E$73,"  ")</f>
        <v>  </v>
      </c>
      <c r="E33" s="712">
        <f>IF('levy page14'!$E$80&lt;&gt;0,'levy page14'!$E$80,0)</f>
        <v>0</v>
      </c>
      <c r="F33" s="713" t="str">
        <f>IF(AND('levy page14'!E80=0,$F$69&gt;=0)," ",IF(AND(E33&gt;0,$F$69=0)," ",IF(AND(E33&gt;0,$F$69&gt;0),ROUND(E33/$F$69*1000,3))))</f>
        <v> </v>
      </c>
    </row>
    <row r="34" spans="1:6" ht="15.75" hidden="1">
      <c r="A34" s="191" t="str">
        <f>IF((inputPrYr!$B29&gt;"  "),(inputPrYr!$B29),"  ")</f>
        <v>  </v>
      </c>
      <c r="B34" s="190" t="str">
        <f>IF((inputPrYr!C29&gt;0),(inputPrYr!C29),"  ")</f>
        <v>  </v>
      </c>
      <c r="C34" s="183" t="str">
        <f>IF('levy page15'!C81&gt;0,'levy page15'!C81,"  ")</f>
        <v>  </v>
      </c>
      <c r="D34" s="711" t="str">
        <f>IF('levy page15'!$E$33&lt;&gt;0,'levy page15'!$E$33,"  ")</f>
        <v>  </v>
      </c>
      <c r="E34" s="712">
        <f>IF('levy page15'!$E$40&lt;&gt;0,'levy page15'!$E$40,0)</f>
        <v>0</v>
      </c>
      <c r="F34" s="713" t="str">
        <f>IF(AND('levy page15'!E40=0,$F$69&gt;=0)," ",IF(AND(E34&gt;0,$F$69=0)," ",IF(AND(E34&gt;0,$F$69&gt;0),ROUND(E34/$F$69*1000,3))))</f>
        <v> </v>
      </c>
    </row>
    <row r="35" spans="1:6" ht="15.75" hidden="1">
      <c r="A35" s="191" t="str">
        <f>IF((inputPrYr!$B30&gt;"  "),(inputPrYr!$B30),"  ")</f>
        <v>  </v>
      </c>
      <c r="B35" s="190" t="str">
        <f>IF((inputPrYr!C30&gt;0),(inputPrYr!C30),"  ")</f>
        <v>  </v>
      </c>
      <c r="C35" s="183" t="str">
        <f>IF('levy page15'!C81&gt;0,'levy page15'!C81,"  ")</f>
        <v>  </v>
      </c>
      <c r="D35" s="711" t="str">
        <f>IF('levy page15'!$E$73&lt;&gt;0,'levy page15'!$E$73,"  ")</f>
        <v>  </v>
      </c>
      <c r="E35" s="712">
        <f>IF('levy page15'!$E$80&lt;&gt;0,'levy page15'!$E$80,0)</f>
        <v>0</v>
      </c>
      <c r="F35" s="713" t="str">
        <f>IF(AND('levy page15'!E80=0,$F$69&gt;=0)," ",IF(AND(E35&gt;0,$F$69=0)," ",IF(AND(E35&gt;0,$F$69&gt;0),ROUND(E35/$F$69*1000,3))))</f>
        <v> </v>
      </c>
    </row>
    <row r="36" spans="1:6" ht="15.75" hidden="1">
      <c r="A36" s="191" t="str">
        <f>IF((inputPrYr!$B31&gt;"  "),(inputPrYr!$B31),"  ")</f>
        <v>  </v>
      </c>
      <c r="B36" s="190" t="str">
        <f>IF((inputPrYr!C31&gt;0),(inputPrYr!C31),"  ")</f>
        <v>  </v>
      </c>
      <c r="C36" s="183" t="str">
        <f>IF('levy page16'!C81&gt;0,'levy page16'!C81,"  ")</f>
        <v>  </v>
      </c>
      <c r="D36" s="711" t="str">
        <f>IF('levy page16'!$E$33&lt;&gt;0,'levy page16'!$E$33,"  ")</f>
        <v>  </v>
      </c>
      <c r="E36" s="712">
        <f>IF('levy page16'!$E$40&lt;&gt;0,'levy page16'!$E$40,0)</f>
        <v>0</v>
      </c>
      <c r="F36" s="713" t="str">
        <f>IF(AND('levy page16'!E40=0,$F$69&gt;=0)," ",IF(AND(E36&gt;0,$F$69=0)," ",IF(AND(E36&gt;0,$F$69&gt;0),ROUND(E36/$F$69*1000,3))))</f>
        <v> </v>
      </c>
    </row>
    <row r="37" spans="1:6" ht="15.75" hidden="1">
      <c r="A37" s="191" t="str">
        <f>IF((inputPrYr!$B32&gt;"  "),(inputPrYr!$B32),"  ")</f>
        <v>  </v>
      </c>
      <c r="B37" s="190" t="str">
        <f>IF((inputPrYr!C32&gt;0),(inputPrYr!C32),"  ")</f>
        <v>  </v>
      </c>
      <c r="C37" s="183" t="str">
        <f>IF('levy page16'!C81&gt;0,'levy page16'!C81,"  ")</f>
        <v>  </v>
      </c>
      <c r="D37" s="711" t="str">
        <f>IF('levy page16'!$E$73&lt;&gt;0,'levy page16'!$E$73,"  ")</f>
        <v>  </v>
      </c>
      <c r="E37" s="712">
        <f>IF('levy page16'!$E$80&lt;&gt;0,'levy page16'!$E$80,0)</f>
        <v>0</v>
      </c>
      <c r="F37" s="713" t="str">
        <f>IF(AND('levy page16'!E80=0,$F$69&gt;=0)," ",IF(AND(E37&gt;0,$F$69=0)," ",IF(AND(E37&gt;0,$F$69&gt;0),ROUND(E37/$F$69*1000,3))))</f>
        <v> </v>
      </c>
    </row>
    <row r="38" spans="1:6" ht="15.75" hidden="1">
      <c r="A38" s="191" t="str">
        <f>IF((inputPrYr!$B33&gt;"  "),(inputPrYr!$B33),"  ")</f>
        <v>  </v>
      </c>
      <c r="B38" s="190" t="str">
        <f>IF((inputPrYr!C33&gt;0),(inputPrYr!C33),"  ")</f>
        <v>  </v>
      </c>
      <c r="C38" s="183" t="str">
        <f>IF('levy page17'!C81&gt;0,'levy page17'!C81,"  ")</f>
        <v>  </v>
      </c>
      <c r="D38" s="711" t="str">
        <f>IF('levy page17'!$E$33&lt;&gt;0,'levy page17'!$E$33,"  ")</f>
        <v>  </v>
      </c>
      <c r="E38" s="712">
        <f>IF('levy page17'!$E$40&lt;&gt;0,'levy page17'!$E$40,0)</f>
        <v>0</v>
      </c>
      <c r="F38" s="713" t="str">
        <f>IF(AND('levy page17'!E40=0,$F$69&gt;=0)," ",IF(AND(E38&gt;0,$F$69=0)," ",IF(AND(E38&gt;0,$F$69&gt;0),ROUND(E38/$F$69*1000,3))))</f>
        <v> </v>
      </c>
    </row>
    <row r="39" spans="1:6" ht="15.75" hidden="1">
      <c r="A39" s="191" t="str">
        <f>IF((inputPrYr!$B34&gt;"  "),(inputPrYr!$B34),"  ")</f>
        <v>  </v>
      </c>
      <c r="B39" s="190" t="str">
        <f>IF((inputPrYr!C34&gt;0),(inputPrYr!C34),"  ")</f>
        <v>  </v>
      </c>
      <c r="C39" s="183" t="str">
        <f>IF('levy page17'!C81&gt;0,'levy page17'!C81,"  ")</f>
        <v>  </v>
      </c>
      <c r="D39" s="711" t="str">
        <f>IF('levy page17'!$E$73&lt;&gt;0,'levy page17'!$E$73,"  ")</f>
        <v>  </v>
      </c>
      <c r="E39" s="712">
        <f>IF('levy page17'!$E$80&lt;&gt;0,'levy page17'!$E$80,0)</f>
        <v>0</v>
      </c>
      <c r="F39" s="713" t="str">
        <f>IF(AND('levy page17'!E80=0,$F$69&gt;=0)," ",IF(AND(E39&gt;0,$F$69=0)," ",IF(AND(E39&gt;0,$F$69&gt;0),ROUND(E39/$F$69*1000,3))))</f>
        <v> </v>
      </c>
    </row>
    <row r="40" spans="1:6" ht="15.75" hidden="1">
      <c r="A40" s="191" t="str">
        <f>IF((inputPrYr!$B35&gt;"  "),(inputPrYr!$B35),"  ")</f>
        <v>  </v>
      </c>
      <c r="B40" s="190" t="str">
        <f>IF((inputPrYr!C35&gt;0),(inputPrYr!C35),"  ")</f>
        <v>  </v>
      </c>
      <c r="C40" s="183" t="str">
        <f>IF('levy page18'!C81&gt;0,'levy page18'!C81,"  ")</f>
        <v>  </v>
      </c>
      <c r="D40" s="711" t="str">
        <f>IF('levy page18'!$E$33&lt;&gt;0,'levy page18'!$E$33,"  ")</f>
        <v>  </v>
      </c>
      <c r="E40" s="712">
        <f>IF('levy page18'!$E$40&lt;&gt;0,'levy page18'!$E$40,0)</f>
        <v>0</v>
      </c>
      <c r="F40" s="713" t="str">
        <f>IF(AND('levy page18'!E40=0,$F$69&gt;=0)," ",IF(AND(E40&gt;0,$F$69=0)," ",IF(AND(E40&gt;0,$F$69&gt;0),ROUND(E40/$F$69*1000,3))))</f>
        <v> </v>
      </c>
    </row>
    <row r="41" spans="1:6" ht="15.75" hidden="1">
      <c r="A41" s="191" t="str">
        <f>IF((inputPrYr!$B36&gt;"  "),(inputPrYr!$B36),"  ")</f>
        <v>  </v>
      </c>
      <c r="B41" s="190" t="str">
        <f>IF((inputPrYr!C36&gt;0),(inputPrYr!C36),"  ")</f>
        <v>  </v>
      </c>
      <c r="C41" s="183" t="str">
        <f>IF('levy page18'!C81&gt;0,'levy page18'!C81,"  ")</f>
        <v>  </v>
      </c>
      <c r="D41" s="711" t="str">
        <f>IF('levy page18'!$E$73&lt;&gt;0,'levy page18'!$E$73,"  ")</f>
        <v>  </v>
      </c>
      <c r="E41" s="712">
        <f>IF('levy page18'!$E$80&lt;&gt;0,'levy page18'!$E$80,0)</f>
        <v>0</v>
      </c>
      <c r="F41" s="713" t="str">
        <f>IF(AND('levy page18'!E80=0,$F$69&gt;=0)," ",IF(AND(E41&gt;0,$F$69=0)," ",IF(AND(E41&gt;0,$F$69&gt;0),ROUND(E41/$F$69*1000,3))))</f>
        <v> </v>
      </c>
    </row>
    <row r="42" spans="1:6" ht="15.75" hidden="1">
      <c r="A42" s="191" t="str">
        <f>IF((inputPrYr!$B37&gt;"  "),(inputPrYr!$B37),"  ")</f>
        <v>  </v>
      </c>
      <c r="B42" s="190" t="str">
        <f>IF((inputPrYr!C37&gt;0),(inputPrYr!C37),"  ")</f>
        <v>  </v>
      </c>
      <c r="C42" s="183" t="str">
        <f>IF('levy page19'!C81&gt;0,'levy page19'!C81,"  ")</f>
        <v>  </v>
      </c>
      <c r="D42" s="711" t="str">
        <f>IF('levy page19'!E33&lt;&gt;0,'levy page19'!#REF!,"  ")</f>
        <v>  </v>
      </c>
      <c r="E42" s="712">
        <f>IF('levy page19'!E40&lt;&gt;0,'levy page19'!#REF!,0)</f>
        <v>0</v>
      </c>
      <c r="F42" s="713" t="str">
        <f>IF(AND('levy page19'!E40=0,$F$69&gt;=0)," ",IF(AND(E42&gt;0,$F$69=0)," ",IF(AND(E42&gt;0,$F$69&gt;0),ROUND(E42/$F$69*1000,3))))</f>
        <v> </v>
      </c>
    </row>
    <row r="43" spans="1:6" ht="15.75">
      <c r="A43" s="191" t="str">
        <f>IF((inputPrYr!$B38&gt;"  "),(inputPrYr!$B38),"  ")</f>
        <v>  </v>
      </c>
      <c r="B43" s="190" t="str">
        <f>IF((inputPrYr!C38&gt;0),(inputPrYr!C38),"  ")</f>
        <v>  </v>
      </c>
      <c r="C43" s="183" t="str">
        <f>IF('levy page19'!C81&gt;0,'levy page19'!C81,"  ")</f>
        <v>  </v>
      </c>
      <c r="D43" s="711" t="str">
        <f>IF('levy page19'!E73&lt;&gt;0,'levy page19'!#REF!,"  ")</f>
        <v>  </v>
      </c>
      <c r="E43" s="712">
        <f>IF('levy page19'!E80&lt;&gt;0,'levy page19'!#REF!,0)</f>
        <v>0</v>
      </c>
      <c r="F43" s="713" t="str">
        <f>IF(AND('levy page19'!E80=0,$F$69&gt;=0)," ",IF(AND(E43&gt;0,$F$69=0)," ",IF(AND(E43&gt;0,$F$69&gt;0),ROUND(E43/$F$69*1000,3))))</f>
        <v> </v>
      </c>
    </row>
    <row r="44" spans="1:6" ht="15.75">
      <c r="A44" s="191" t="str">
        <f>IF((inputPrYr!$B39&gt;"  "),(inputPrYr!$B39),"  ")</f>
        <v>  </v>
      </c>
      <c r="B44" s="190" t="str">
        <f>IF((inputPrYr!C39&gt;0),(inputPrYr!C39),"  ")</f>
        <v>  </v>
      </c>
      <c r="C44" s="183" t="str">
        <f>IF('levy page20'!C81&gt;0,'levy page20'!C81,"  ")</f>
        <v>  </v>
      </c>
      <c r="D44" s="711" t="str">
        <f>IF('levy page20'!$E$33&lt;&gt;0,'levy page20'!$E$33,"  ")</f>
        <v>  </v>
      </c>
      <c r="E44" s="712">
        <f>IF('levy page20'!$E$40&lt;&gt;0,'levy page20'!$E$40,0)</f>
        <v>0</v>
      </c>
      <c r="F44" s="713" t="str">
        <f>IF(AND('levy page20'!E40=0,$F$69&gt;=0)," ",IF(AND(E44&gt;0,$F$69=0)," ",IF(AND(E44&gt;0,$F$69&gt;0),ROUND(E44/$F$69*1000,3))))</f>
        <v> </v>
      </c>
    </row>
    <row r="45" spans="1:6" ht="15.75">
      <c r="A45" s="191" t="str">
        <f>IF((inputPrYr!$B40&gt;"  "),(inputPrYr!$B40),"  ")</f>
        <v>  </v>
      </c>
      <c r="B45" s="190" t="str">
        <f>IF((inputPrYr!C40&gt;0),(inputPrYr!C40),"  ")</f>
        <v>  </v>
      </c>
      <c r="C45" s="183" t="str">
        <f>IF('levy page20'!C81&gt;0,'levy page20'!C81,"  ")</f>
        <v>  </v>
      </c>
      <c r="D45" s="711" t="str">
        <f>IF('levy page20'!$E$73&lt;&gt;0,'levy page20'!$E$73,"  ")</f>
        <v>  </v>
      </c>
      <c r="E45" s="712">
        <f>IF('levy page20'!$E$80&lt;&gt;0,'levy page20'!$E$80,0)</f>
        <v>0</v>
      </c>
      <c r="F45" s="713" t="str">
        <f>IF(AND('levy page20'!E80=0,$F$69&gt;=0)," ",IF(AND(E45&gt;0,$F$69=0)," ",IF(AND(E45&gt;0,$F$69&gt;0),ROUND(E45/$F$69*1000,3))))</f>
        <v> </v>
      </c>
    </row>
    <row r="46" spans="1:6" ht="12.75">
      <c r="A46" s="191" t="str">
        <f>IF((inputPrYr!$B43&gt;"  "),(inputPrYr!$B43),"  ")</f>
        <v>Detention</v>
      </c>
      <c r="B46" s="194"/>
      <c r="C46" s="183">
        <f>IF('no levy page21'!C68&gt;0,'no levy page21'!C68,"  ")</f>
        <v>13</v>
      </c>
      <c r="D46" s="711">
        <f>IF('no levy page21'!$E$31&lt;&gt;0,'no levy page21'!$E$31,"  ")</f>
        <v>1197817</v>
      </c>
      <c r="E46" s="714"/>
      <c r="F46" s="714"/>
    </row>
    <row r="47" spans="1:6" ht="12.75">
      <c r="A47" s="191" t="str">
        <f>IF((inputPrYr!$B44&gt;"  "),(inputPrYr!$B44),"  ")</f>
        <v>Special Alcohol Fund</v>
      </c>
      <c r="B47" s="194"/>
      <c r="C47" s="183">
        <f>IF('no levy page21'!C68&gt;0,'no levy page21'!C68,"  ")</f>
        <v>13</v>
      </c>
      <c r="D47" s="711">
        <f>IF('no levy page21'!$E$62&lt;&gt;0,'no levy page21'!$E$62,"  ")</f>
        <v>4144</v>
      </c>
      <c r="E47" s="714"/>
      <c r="F47" s="714"/>
    </row>
    <row r="48" spans="1:6" ht="12.75">
      <c r="A48" s="191" t="str">
        <f>IF((inputPrYr!$B45&gt;"  "),(inputPrYr!$B45),"  ")</f>
        <v>Transient Guest Tax</v>
      </c>
      <c r="B48" s="194"/>
      <c r="C48" s="183">
        <f>IF('no levy page22'!C68&gt;0,'no levy page22'!C68,"  ")</f>
        <v>14</v>
      </c>
      <c r="D48" s="711">
        <f>IF('no levy page22'!$E$29&lt;&gt;0,'no levy page22'!$E$29,"  ")</f>
        <v>18211</v>
      </c>
      <c r="E48" s="714"/>
      <c r="F48" s="714"/>
    </row>
    <row r="49" spans="1:6" ht="12.75">
      <c r="A49" s="191" t="str">
        <f>IF((inputPrYr!$B46&gt;"  "),(inputPrYr!$B46),"  ")</f>
        <v>Equipment Reserve</v>
      </c>
      <c r="B49" s="194"/>
      <c r="C49" s="183">
        <f>IF('no levy page22'!C68&gt;0,'no levy page22'!C68,"  ")</f>
        <v>14</v>
      </c>
      <c r="D49" s="711">
        <f>IF('no levy page22'!$E$62&lt;&gt;0,'no levy page22'!$E$62,"  ")</f>
        <v>674896</v>
      </c>
      <c r="E49" s="714"/>
      <c r="F49" s="714"/>
    </row>
    <row r="50" spans="1:6" ht="12.75">
      <c r="A50" s="191" t="str">
        <f>IF((inputPrYr!$B47&gt;"  "),(inputPrYr!$B47),"  ")</f>
        <v>Capital Improvements</v>
      </c>
      <c r="B50" s="194"/>
      <c r="C50" s="183">
        <f>IF('no levy page23'!C66&gt;0,'no levy page23'!C66,"  ")</f>
        <v>15</v>
      </c>
      <c r="D50" s="711">
        <f>IF('no levy page23'!$E$29&lt;&gt;0,'no levy page23'!$E$29,"  ")</f>
        <v>564673</v>
      </c>
      <c r="E50" s="714"/>
      <c r="F50" s="714"/>
    </row>
    <row r="51" spans="1:6" ht="12.75">
      <c r="A51" s="191" t="str">
        <f>IF((inputPrYr!$B48&gt;"  "),(inputPrYr!$B48),"  ")</f>
        <v>Risk Management</v>
      </c>
      <c r="B51" s="194"/>
      <c r="C51" s="183">
        <f>IF('no levy page23'!C66&gt;0,'no levy page23'!C66,"  ")</f>
        <v>15</v>
      </c>
      <c r="D51" s="711">
        <f>IF('no levy page23'!$E$60&lt;&gt;0,'no levy page23'!$E$60,"  ")</f>
        <v>396265</v>
      </c>
      <c r="E51" s="714"/>
      <c r="F51" s="714"/>
    </row>
    <row r="52" spans="1:6" ht="12.75">
      <c r="A52" s="191" t="str">
        <f>IF((inputPrYr!$B49&gt;"  "),(inputPrYr!$B49),"  ")</f>
        <v>911 Fund</v>
      </c>
      <c r="B52" s="194"/>
      <c r="C52" s="183">
        <f>IF('no levy page24'!C66&gt;0,'no levy page24'!C66,"  ")</f>
        <v>16</v>
      </c>
      <c r="D52" s="711">
        <f>IF('no levy page24'!$E$29&lt;&gt;0,'no levy page24'!$E$29,"  ")</f>
        <v>190042</v>
      </c>
      <c r="E52" s="714"/>
      <c r="F52" s="714"/>
    </row>
    <row r="53" spans="1:6" ht="12.75">
      <c r="A53" s="191" t="str">
        <f>IF((inputPrYr!$B50&gt;"  "),(inputPrYr!$B50),"  ")</f>
        <v>Wireless 911</v>
      </c>
      <c r="B53" s="194"/>
      <c r="C53" s="183">
        <f>IF('no levy page24'!C66&gt;0,'no levy page24'!C66,"  ")</f>
        <v>16</v>
      </c>
      <c r="D53" s="711" t="str">
        <f>IF('no levy page24'!$E$60&lt;&gt;0,'no levy page24'!$E$60,"  ")</f>
        <v>  </v>
      </c>
      <c r="E53" s="714"/>
      <c r="F53" s="714"/>
    </row>
    <row r="54" spans="1:6" ht="12.75">
      <c r="A54" s="191" t="str">
        <f>IF((inputPrYr!$B51&gt;"  "),(inputPrYr!$B51),"  ")</f>
        <v>EMS Special Equipment</v>
      </c>
      <c r="B54" s="194"/>
      <c r="C54" s="183">
        <f>IF('no levy page25'!C66&gt;0,'no levy page25'!C66,"  ")</f>
        <v>17</v>
      </c>
      <c r="D54" s="711">
        <f>IF('no levy page25'!$E$29&lt;&gt;0,'no levy page25'!$E$29,"  ")</f>
        <v>58291</v>
      </c>
      <c r="E54" s="714"/>
      <c r="F54" s="714"/>
    </row>
    <row r="55" spans="1:6" ht="12.75">
      <c r="A55" s="191" t="str">
        <f>IF((inputPrYr!$B52&gt;"  "),(inputPrYr!$B52),"  ")</f>
        <v>Solid Waste Recycling</v>
      </c>
      <c r="B55" s="194"/>
      <c r="C55" s="183">
        <f>IF('no levy page25'!C66&gt;0,'no levy page25'!C66,"  ")</f>
        <v>17</v>
      </c>
      <c r="D55" s="711">
        <f>IF('no levy page25'!$E$60&lt;&gt;0,'no levy page25'!$E$60,"  ")</f>
        <v>83470</v>
      </c>
      <c r="E55" s="714"/>
      <c r="F55" s="714"/>
    </row>
    <row r="56" spans="1:6" ht="12.75">
      <c r="A56" s="191" t="str">
        <f>IF((inputPrYr!$B53&gt;"  "),(inputPrYr!$B53),"  ")</f>
        <v>Weed Capital Outlay</v>
      </c>
      <c r="B56" s="194"/>
      <c r="C56" s="183">
        <f>IF('no levy page26'!C66&gt;0,'no levy page26'!C66,"  ")</f>
        <v>18</v>
      </c>
      <c r="D56" s="711">
        <f>IF('no levy page26'!$E$29&lt;&gt;0,'no levy page26'!$E$29,"  ")</f>
        <v>85828</v>
      </c>
      <c r="E56" s="714"/>
      <c r="F56" s="714"/>
    </row>
    <row r="57" spans="1:6" ht="12.75">
      <c r="A57" s="191" t="str">
        <f>IF((inputPrYr!$B54&gt;"  "),(inputPrYr!$B54),"  ")</f>
        <v>  </v>
      </c>
      <c r="B57" s="194"/>
      <c r="C57" s="183">
        <f>IF('no levy page26'!C66&gt;0,'no levy page26'!C66,"  ")</f>
        <v>18</v>
      </c>
      <c r="D57" s="711" t="str">
        <f>IF('no levy page26'!$E$60&lt;&gt;0,'no levy page26'!$E$60,"  ")</f>
        <v>  </v>
      </c>
      <c r="E57" s="715"/>
      <c r="F57" s="715"/>
    </row>
    <row r="58" spans="1:6" ht="12.75">
      <c r="A58" s="191" t="str">
        <f>IF((inputPrYr!$B55&gt;"  "),(inputPrYr!$B55),"  ")</f>
        <v>  </v>
      </c>
      <c r="B58" s="194"/>
      <c r="C58" s="183" t="str">
        <f>IF('no levy page27'!C66&gt;0,'no levy page27'!C66,"  ")</f>
        <v>  </v>
      </c>
      <c r="D58" s="711" t="str">
        <f>IF('no levy page27'!$E$29&lt;&gt;0,'no levy page27'!$E$29,"  ")</f>
        <v>  </v>
      </c>
      <c r="E58" s="715"/>
      <c r="F58" s="715"/>
    </row>
    <row r="59" spans="1:6" ht="12.75">
      <c r="A59" s="191" t="str">
        <f>IF((inputPrYr!$B56&gt;"  "),(inputPrYr!$B56),"  ")</f>
        <v>  </v>
      </c>
      <c r="B59" s="194"/>
      <c r="C59" s="183" t="str">
        <f>IF('no levy page27'!C66&gt;0,'no levy page27'!C66,"  ")</f>
        <v>  </v>
      </c>
      <c r="D59" s="711" t="str">
        <f>IF('no levy page27'!$E$60&lt;&gt;0,'no levy page27'!$E$60,"  ")</f>
        <v>  </v>
      </c>
      <c r="E59" s="715"/>
      <c r="F59" s="715"/>
    </row>
    <row r="60" spans="1:6" ht="12.75">
      <c r="A60" s="191" t="str">
        <f>IF((inputPrYr!$B57&gt;"  "),(inputPrYr!$B57),"  ")</f>
        <v>  </v>
      </c>
      <c r="B60" s="194"/>
      <c r="C60" s="183" t="str">
        <f>IF('no levy page28'!C66&gt;0,'no levy page28'!C66,"  ")</f>
        <v>  </v>
      </c>
      <c r="D60" s="711" t="str">
        <f>IF('no levy page28'!$E$29&lt;&gt;0,'no levy page28'!$E$29,"  ")</f>
        <v>  </v>
      </c>
      <c r="E60" s="715"/>
      <c r="F60" s="715"/>
    </row>
    <row r="61" spans="1:6" ht="12.75">
      <c r="A61" s="191" t="str">
        <f>IF((inputPrYr!$B58&gt;"  "),(inputPrYr!$B58),"  ")</f>
        <v>  </v>
      </c>
      <c r="B61" s="188"/>
      <c r="C61" s="183" t="str">
        <f>IF('no levy page28'!C66&gt;0,'no levy page28'!C66,"  ")</f>
        <v>  </v>
      </c>
      <c r="D61" s="711" t="str">
        <f>IF('no levy page28'!$E$60&lt;&gt;0,'no levy page28'!$E$60,"  ")</f>
        <v>  </v>
      </c>
      <c r="E61" s="715"/>
      <c r="F61" s="715"/>
    </row>
    <row r="62" spans="1:6" ht="12.75">
      <c r="A62" s="191" t="str">
        <f>IF((inputPrYr!$B62&gt;"  "),(nonbudA!$A3),"  ")</f>
        <v>Non-Budgeted Funds-A</v>
      </c>
      <c r="B62" s="188"/>
      <c r="C62" s="183">
        <f>IF(nonbudA!$F$33&gt;0,nonbudA!$F$33,"  ")</f>
        <v>19</v>
      </c>
      <c r="D62" s="711"/>
      <c r="E62" s="715"/>
      <c r="F62" s="715"/>
    </row>
    <row r="63" spans="1:6" ht="12.75">
      <c r="A63" s="191" t="str">
        <f>IF((inputPrYr!$B68&gt;"  "),(nonbudB!$A3),"  ")</f>
        <v>Non-Budgeted Funds-B</v>
      </c>
      <c r="B63" s="188"/>
      <c r="C63" s="183">
        <f>IF(nonbudB!$F$33&gt;0,nonbudB!$F$33,"  ")</f>
        <v>20</v>
      </c>
      <c r="D63" s="711"/>
      <c r="E63" s="715"/>
      <c r="F63" s="715"/>
    </row>
    <row r="64" spans="1:6" ht="12.75">
      <c r="A64" s="191" t="str">
        <f>IF((inputPrYr!$B74&gt;"  "),(nonbudC!$A3),"  ")</f>
        <v>  </v>
      </c>
      <c r="B64" s="188"/>
      <c r="C64" s="183" t="str">
        <f>IF(nonbudC!$F$33&gt;0,nonbudC!$F$33,"  ")</f>
        <v>  </v>
      </c>
      <c r="D64" s="711"/>
      <c r="E64" s="715"/>
      <c r="F64" s="715"/>
    </row>
    <row r="65" spans="1:6" ht="12.75">
      <c r="A65" s="191" t="str">
        <f>IF((inputPrYr!$B80&gt;"  "),(nonbudD!$A3),"  ")</f>
        <v>  </v>
      </c>
      <c r="B65" s="188"/>
      <c r="C65" s="183" t="str">
        <f>IF(nonbudD!$F$33&gt;0,nonbudD!$F$33,"  ")</f>
        <v>  </v>
      </c>
      <c r="D65" s="711"/>
      <c r="E65" s="715"/>
      <c r="F65" s="715"/>
    </row>
    <row r="66" spans="1:6" ht="14.25" customHeight="1" thickBot="1">
      <c r="A66" s="196" t="s">
        <v>158</v>
      </c>
      <c r="B66" s="195"/>
      <c r="C66" s="183" t="s">
        <v>52</v>
      </c>
      <c r="D66" s="716">
        <f>SUM(D21:D65)</f>
        <v>13140727</v>
      </c>
      <c r="E66" s="716">
        <f>SUM(E21:E45)</f>
        <v>5338854.029999999</v>
      </c>
      <c r="F66" s="717">
        <f>IF(SUM(F21:F45)=0,"",SUM(F21:F45))</f>
      </c>
    </row>
    <row r="67" spans="1:6" ht="14.25" customHeight="1" thickTop="1">
      <c r="A67" s="197" t="s">
        <v>51</v>
      </c>
      <c r="B67" s="198"/>
      <c r="C67" s="183">
        <f>summ!E78</f>
        <v>21</v>
      </c>
      <c r="D67" s="199"/>
      <c r="E67" s="199"/>
      <c r="F67" s="179"/>
    </row>
    <row r="68" spans="1:6" ht="12.75">
      <c r="A68" s="180" t="s">
        <v>87</v>
      </c>
      <c r="B68" s="181"/>
      <c r="C68" s="183">
        <f>IF(summ2!E42&gt;0,summ2!E42,"")</f>
      </c>
      <c r="D68" s="200"/>
      <c r="E68" s="164"/>
      <c r="F68" s="468" t="s">
        <v>322</v>
      </c>
    </row>
    <row r="69" spans="1:6" ht="15.75">
      <c r="A69" s="754" t="s">
        <v>77</v>
      </c>
      <c r="B69" s="755"/>
      <c r="C69" s="193">
        <f>IF(Nhood!C51&gt;0,Nhood!C51,"")</f>
        <v>22</v>
      </c>
      <c r="D69" s="201" t="s">
        <v>54</v>
      </c>
      <c r="E69" s="202" t="str">
        <f>IF(E66&gt;computation!J35,"Yes","No")</f>
        <v>Yes</v>
      </c>
      <c r="F69" s="203"/>
    </row>
    <row r="70" spans="1:6" ht="14.25" customHeight="1">
      <c r="A70" s="180" t="s">
        <v>53</v>
      </c>
      <c r="B70" s="204"/>
      <c r="C70" s="193">
        <f>IF(Resolution!E55&gt;0,Resolution!E55,"")</f>
        <v>23</v>
      </c>
      <c r="D70" s="200"/>
      <c r="E70" s="179"/>
      <c r="F70" s="757" t="str">
        <f>CONCATENATE("Nov 1, ",F3-1," Total Assessed Valuation")</f>
        <v>Nov 1, 2012 Total Assessed Valuation</v>
      </c>
    </row>
    <row r="71" spans="1:6" ht="12.75">
      <c r="A71" s="162" t="s">
        <v>149</v>
      </c>
      <c r="B71" s="164"/>
      <c r="C71" s="168"/>
      <c r="D71" s="164"/>
      <c r="E71" s="164"/>
      <c r="F71" s="758"/>
    </row>
    <row r="72" spans="1:6" ht="12.75">
      <c r="A72" s="206"/>
      <c r="B72" s="164"/>
      <c r="C72" s="164"/>
      <c r="D72" s="164"/>
      <c r="E72" s="421"/>
      <c r="F72" s="421"/>
    </row>
    <row r="73" spans="1:6" ht="12.75">
      <c r="A73" s="207"/>
      <c r="B73" s="205"/>
      <c r="C73" s="179"/>
      <c r="D73" s="179"/>
      <c r="E73" s="722"/>
      <c r="F73" s="722"/>
    </row>
    <row r="74" spans="1:6" ht="12.75">
      <c r="A74" s="419" t="s">
        <v>324</v>
      </c>
      <c r="B74" s="205"/>
      <c r="C74" s="179"/>
      <c r="D74" s="179"/>
      <c r="E74" s="722"/>
      <c r="F74" s="722"/>
    </row>
    <row r="75" spans="1:6" ht="12.75">
      <c r="A75" s="206"/>
      <c r="B75" s="164"/>
      <c r="C75" s="179" t="s">
        <v>892</v>
      </c>
      <c r="D75" s="179"/>
      <c r="E75" s="721"/>
      <c r="F75" s="721"/>
    </row>
    <row r="76" spans="1:6" ht="12.75">
      <c r="A76" s="207"/>
      <c r="B76" s="208"/>
      <c r="C76" s="179"/>
      <c r="D76" s="179"/>
      <c r="E76" s="722"/>
      <c r="F76" s="723"/>
    </row>
    <row r="77" spans="1:6" ht="12.75">
      <c r="A77" s="419" t="s">
        <v>891</v>
      </c>
      <c r="B77" s="164"/>
      <c r="C77" s="179" t="s">
        <v>892</v>
      </c>
      <c r="D77" s="179"/>
      <c r="E77" s="721"/>
      <c r="F77" s="722"/>
    </row>
    <row r="78" spans="1:6" ht="12.75">
      <c r="A78" s="206"/>
      <c r="B78" s="164"/>
      <c r="C78" s="179"/>
      <c r="D78" s="179"/>
      <c r="E78" s="721"/>
      <c r="F78" s="722"/>
    </row>
    <row r="79" spans="1:6" ht="12.75">
      <c r="A79" s="419"/>
      <c r="B79" s="164"/>
      <c r="C79" s="179" t="s">
        <v>892</v>
      </c>
      <c r="D79" s="179"/>
      <c r="E79" s="721"/>
      <c r="F79" s="722"/>
    </row>
    <row r="80" spans="1:6" ht="12.75">
      <c r="A80" s="467" t="s">
        <v>6</v>
      </c>
      <c r="B80" s="209">
        <f>F3-1</f>
        <v>2012</v>
      </c>
      <c r="C80" s="179"/>
      <c r="D80" s="179"/>
      <c r="E80" s="724"/>
      <c r="F80" s="179"/>
    </row>
    <row r="81" spans="1:6" ht="12.75">
      <c r="A81" s="466"/>
      <c r="B81" s="164"/>
      <c r="C81" s="179" t="s">
        <v>892</v>
      </c>
      <c r="D81" s="179"/>
      <c r="E81" s="179"/>
      <c r="F81" s="179"/>
    </row>
    <row r="82" spans="1:6" ht="15">
      <c r="A82" s="469" t="s">
        <v>151</v>
      </c>
      <c r="B82" s="164"/>
      <c r="C82" s="756" t="s">
        <v>150</v>
      </c>
      <c r="D82" s="753"/>
      <c r="E82" s="753"/>
      <c r="F82" s="753"/>
    </row>
    <row r="83" spans="1:6" ht="12.75">
      <c r="A83" s="745"/>
      <c r="B83" s="745"/>
      <c r="C83" s="745"/>
      <c r="D83" s="745"/>
      <c r="E83" s="745"/>
      <c r="F83" s="745"/>
    </row>
    <row r="84" spans="3:6" ht="12.75">
      <c r="C84" s="210"/>
      <c r="E84" s="210"/>
      <c r="F84" s="210"/>
    </row>
  </sheetData>
  <sheetProtection/>
  <mergeCells count="9">
    <mergeCell ref="A83:F83"/>
    <mergeCell ref="A2:F2"/>
    <mergeCell ref="E13:E14"/>
    <mergeCell ref="A6:F6"/>
    <mergeCell ref="A4:F4"/>
    <mergeCell ref="A5:F5"/>
    <mergeCell ref="A69:B69"/>
    <mergeCell ref="C82:F82"/>
    <mergeCell ref="F70:F71"/>
  </mergeCells>
  <printOptions/>
  <pageMargins left="0.5" right="0.5" top="0" bottom="0.23" header="0" footer="0"/>
  <pageSetup blackAndWhite="1" fitToHeight="1" fitToWidth="1" horizontalDpi="600" verticalDpi="600" orientation="portrait" scale="89" r:id="rId1"/>
  <headerFooter alignWithMargins="0">
    <oddHeader>&amp;RState of Kansas
County
</oddHeader>
    <oddFooter>&amp;CPage No. 1</oddFooter>
  </headerFooter>
</worksheet>
</file>

<file path=xl/worksheets/sheet5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433" t="s">
        <v>602</v>
      </c>
      <c r="B3" s="433"/>
      <c r="C3" s="433"/>
      <c r="D3" s="433"/>
      <c r="E3" s="433"/>
      <c r="F3" s="433"/>
      <c r="G3" s="433"/>
    </row>
    <row r="4" spans="1:7" ht="15">
      <c r="A4" s="433" t="s">
        <v>603</v>
      </c>
      <c r="B4" s="433"/>
      <c r="C4" s="433"/>
      <c r="D4" s="433"/>
      <c r="E4" s="433"/>
      <c r="F4" s="433"/>
      <c r="G4" s="433"/>
    </row>
    <row r="5" spans="1:7" ht="15">
      <c r="A5" s="433"/>
      <c r="B5" s="433"/>
      <c r="C5" s="433"/>
      <c r="D5" s="433"/>
      <c r="E5" s="433"/>
      <c r="F5" s="433"/>
      <c r="G5" s="433"/>
    </row>
    <row r="6" spans="1:7" ht="15">
      <c r="A6" s="433"/>
      <c r="B6" s="433"/>
      <c r="C6" s="433"/>
      <c r="D6" s="433"/>
      <c r="E6" s="433"/>
      <c r="F6" s="433"/>
      <c r="G6" s="433"/>
    </row>
    <row r="7" ht="15">
      <c r="A7" s="434" t="s">
        <v>430</v>
      </c>
    </row>
    <row r="8" ht="15">
      <c r="A8" s="434" t="str">
        <f>CONCATENATE("estimated ",inputPrYr!C4," 'total expenditures' exceed your ",inputPrYr!C4,"")</f>
        <v>estimated 2013 'total expenditures' exceed your 2013</v>
      </c>
    </row>
    <row r="9" ht="15">
      <c r="A9" s="437" t="s">
        <v>604</v>
      </c>
    </row>
    <row r="10" ht="15">
      <c r="A10" s="434"/>
    </row>
    <row r="11" ht="15">
      <c r="A11" s="434" t="s">
        <v>605</v>
      </c>
    </row>
    <row r="12" ht="15">
      <c r="A12" s="434" t="s">
        <v>606</v>
      </c>
    </row>
    <row r="13" ht="15">
      <c r="A13" s="434" t="s">
        <v>607</v>
      </c>
    </row>
    <row r="14" ht="15">
      <c r="A14" s="434"/>
    </row>
    <row r="15" ht="15">
      <c r="A15" s="435" t="s">
        <v>608</v>
      </c>
    </row>
    <row r="16" spans="1:7" ht="15">
      <c r="A16" s="433"/>
      <c r="B16" s="433"/>
      <c r="C16" s="433"/>
      <c r="D16" s="433"/>
      <c r="E16" s="433"/>
      <c r="F16" s="433"/>
      <c r="G16" s="433"/>
    </row>
    <row r="17" spans="1:8" ht="15">
      <c r="A17" s="440" t="s">
        <v>609</v>
      </c>
      <c r="B17" s="418"/>
      <c r="C17" s="418"/>
      <c r="D17" s="418"/>
      <c r="E17" s="418"/>
      <c r="F17" s="418"/>
      <c r="G17" s="418"/>
      <c r="H17" s="418"/>
    </row>
    <row r="18" spans="1:7" ht="15">
      <c r="A18" s="434" t="s">
        <v>610</v>
      </c>
      <c r="B18" s="441"/>
      <c r="C18" s="441"/>
      <c r="D18" s="441"/>
      <c r="E18" s="441"/>
      <c r="F18" s="441"/>
      <c r="G18" s="441"/>
    </row>
    <row r="19" ht="15">
      <c r="A19" s="434" t="s">
        <v>611</v>
      </c>
    </row>
    <row r="20" ht="15">
      <c r="A20" s="434" t="s">
        <v>612</v>
      </c>
    </row>
    <row r="22" ht="15">
      <c r="A22" s="435" t="s">
        <v>613</v>
      </c>
    </row>
    <row r="24" ht="15">
      <c r="A24" s="434" t="s">
        <v>614</v>
      </c>
    </row>
    <row r="25" ht="15">
      <c r="A25" s="434" t="s">
        <v>615</v>
      </c>
    </row>
    <row r="26" ht="15">
      <c r="A26" s="434" t="s">
        <v>616</v>
      </c>
    </row>
    <row r="28" ht="15">
      <c r="A28" s="435" t="s">
        <v>617</v>
      </c>
    </row>
    <row r="30" ht="15">
      <c r="A30" t="s">
        <v>618</v>
      </c>
    </row>
    <row r="31" ht="15">
      <c r="A31" t="s">
        <v>619</v>
      </c>
    </row>
    <row r="32" ht="15">
      <c r="A32" t="s">
        <v>620</v>
      </c>
    </row>
    <row r="33" ht="15">
      <c r="A33" s="434" t="s">
        <v>621</v>
      </c>
    </row>
    <row r="35" ht="15">
      <c r="A35" t="s">
        <v>622</v>
      </c>
    </row>
    <row r="36" ht="15">
      <c r="A36" t="s">
        <v>623</v>
      </c>
    </row>
    <row r="37" ht="15">
      <c r="A37" t="s">
        <v>624</v>
      </c>
    </row>
    <row r="38" ht="15">
      <c r="A38" t="s">
        <v>625</v>
      </c>
    </row>
    <row r="40" ht="15">
      <c r="A40" t="s">
        <v>626</v>
      </c>
    </row>
    <row r="41" ht="15">
      <c r="A41" t="s">
        <v>627</v>
      </c>
    </row>
    <row r="42" ht="15">
      <c r="A42" t="s">
        <v>628</v>
      </c>
    </row>
    <row r="43" ht="15">
      <c r="A43" t="s">
        <v>629</v>
      </c>
    </row>
    <row r="44" ht="15">
      <c r="A44" t="s">
        <v>630</v>
      </c>
    </row>
    <row r="45" ht="15">
      <c r="A45" t="s">
        <v>631</v>
      </c>
    </row>
    <row r="47" ht="15">
      <c r="A47" t="s">
        <v>632</v>
      </c>
    </row>
    <row r="48" ht="15">
      <c r="A48" t="s">
        <v>633</v>
      </c>
    </row>
    <row r="49" ht="15">
      <c r="A49" s="434" t="s">
        <v>634</v>
      </c>
    </row>
    <row r="50" ht="15">
      <c r="A50" s="434" t="s">
        <v>635</v>
      </c>
    </row>
    <row r="52" ht="15">
      <c r="A52" t="s">
        <v>485</v>
      </c>
    </row>
  </sheetData>
  <sheetProtection sheet="1"/>
  <printOptions/>
  <pageMargins left="0.7" right="0.7" top="0.75" bottom="0.75" header="0.3" footer="0.3"/>
  <pageSetup horizontalDpi="600" verticalDpi="600" orientation="portrait" r:id="rId1"/>
</worksheet>
</file>

<file path=xl/worksheets/sheet51.xml><?xml version="1.0" encoding="utf-8"?>
<worksheet xmlns="http://schemas.openxmlformats.org/spreadsheetml/2006/main" xmlns:r="http://schemas.openxmlformats.org/officeDocument/2006/relationships">
  <dimension ref="A1:X354"/>
  <sheetViews>
    <sheetView zoomScalePageLayoutView="0" workbookViewId="0" topLeftCell="A1">
      <selection activeCell="B49" sqref="B49"/>
    </sheetView>
  </sheetViews>
  <sheetFormatPr defaultColWidth="8.796875" defaultRowHeight="15"/>
  <cols>
    <col min="1" max="1" width="7.59765625" style="541" customWidth="1"/>
    <col min="2" max="2" width="11.19921875" style="568" customWidth="1"/>
    <col min="3" max="3" width="7.3984375" style="568" customWidth="1"/>
    <col min="4" max="4" width="8.8984375" style="568" customWidth="1"/>
    <col min="5" max="5" width="1.59765625" style="568" customWidth="1"/>
    <col min="6" max="6" width="14.296875" style="568" customWidth="1"/>
    <col min="7" max="7" width="2.59765625" style="568" customWidth="1"/>
    <col min="8" max="8" width="9.796875" style="568" customWidth="1"/>
    <col min="9" max="9" width="2" style="568" customWidth="1"/>
    <col min="10" max="10" width="8.59765625" style="568" customWidth="1"/>
    <col min="11" max="11" width="11.69921875" style="568" customWidth="1"/>
    <col min="12" max="12" width="7.59765625" style="541" customWidth="1"/>
    <col min="13" max="14" width="8.8984375" style="541" customWidth="1"/>
    <col min="15" max="15" width="9.8984375" style="541" bestFit="1" customWidth="1"/>
    <col min="16" max="16384" width="8.8984375" style="541" customWidth="1"/>
  </cols>
  <sheetData>
    <row r="1" spans="1:12" ht="14.25">
      <c r="A1" s="567"/>
      <c r="B1" s="567"/>
      <c r="C1" s="567"/>
      <c r="D1" s="567"/>
      <c r="E1" s="567"/>
      <c r="F1" s="567"/>
      <c r="G1" s="567"/>
      <c r="H1" s="567"/>
      <c r="I1" s="567"/>
      <c r="J1" s="567"/>
      <c r="K1" s="567"/>
      <c r="L1" s="567"/>
    </row>
    <row r="2" spans="1:12" ht="14.25">
      <c r="A2" s="567"/>
      <c r="B2" s="567"/>
      <c r="C2" s="567"/>
      <c r="D2" s="567"/>
      <c r="E2" s="567"/>
      <c r="F2" s="567"/>
      <c r="G2" s="567"/>
      <c r="H2" s="567"/>
      <c r="I2" s="567"/>
      <c r="J2" s="567"/>
      <c r="K2" s="567"/>
      <c r="L2" s="567"/>
    </row>
    <row r="3" spans="1:12" ht="14.25">
      <c r="A3" s="567"/>
      <c r="B3" s="567"/>
      <c r="C3" s="567"/>
      <c r="D3" s="567"/>
      <c r="E3" s="567"/>
      <c r="F3" s="567"/>
      <c r="G3" s="567"/>
      <c r="H3" s="567"/>
      <c r="I3" s="567"/>
      <c r="J3" s="567"/>
      <c r="K3" s="567"/>
      <c r="L3" s="567"/>
    </row>
    <row r="4" spans="1:12" ht="14.25">
      <c r="A4" s="567"/>
      <c r="L4" s="567"/>
    </row>
    <row r="5" spans="1:12" ht="15" customHeight="1">
      <c r="A5" s="567"/>
      <c r="L5" s="567"/>
    </row>
    <row r="6" spans="1:12" ht="33" customHeight="1">
      <c r="A6" s="567"/>
      <c r="B6" s="824" t="s">
        <v>739</v>
      </c>
      <c r="C6" s="829"/>
      <c r="D6" s="829"/>
      <c r="E6" s="829"/>
      <c r="F6" s="829"/>
      <c r="G6" s="829"/>
      <c r="H6" s="829"/>
      <c r="I6" s="829"/>
      <c r="J6" s="829"/>
      <c r="K6" s="829"/>
      <c r="L6" s="569"/>
    </row>
    <row r="7" spans="1:12" ht="40.5" customHeight="1">
      <c r="A7" s="567"/>
      <c r="B7" s="838" t="s">
        <v>740</v>
      </c>
      <c r="C7" s="839"/>
      <c r="D7" s="839"/>
      <c r="E7" s="839"/>
      <c r="F7" s="839"/>
      <c r="G7" s="839"/>
      <c r="H7" s="839"/>
      <c r="I7" s="839"/>
      <c r="J7" s="839"/>
      <c r="K7" s="839"/>
      <c r="L7" s="567"/>
    </row>
    <row r="8" spans="1:12" ht="14.25">
      <c r="A8" s="567"/>
      <c r="B8" s="830" t="s">
        <v>741</v>
      </c>
      <c r="C8" s="830"/>
      <c r="D8" s="830"/>
      <c r="E8" s="830"/>
      <c r="F8" s="830"/>
      <c r="G8" s="830"/>
      <c r="H8" s="830"/>
      <c r="I8" s="830"/>
      <c r="J8" s="830"/>
      <c r="K8" s="830"/>
      <c r="L8" s="567"/>
    </row>
    <row r="9" spans="1:12" ht="14.25">
      <c r="A9" s="567"/>
      <c r="L9" s="567"/>
    </row>
    <row r="10" spans="1:12" ht="14.25">
      <c r="A10" s="567"/>
      <c r="B10" s="830" t="s">
        <v>742</v>
      </c>
      <c r="C10" s="830"/>
      <c r="D10" s="830"/>
      <c r="E10" s="830"/>
      <c r="F10" s="830"/>
      <c r="G10" s="830"/>
      <c r="H10" s="830"/>
      <c r="I10" s="830"/>
      <c r="J10" s="830"/>
      <c r="K10" s="830"/>
      <c r="L10" s="567"/>
    </row>
    <row r="11" spans="1:12" ht="14.25">
      <c r="A11" s="567"/>
      <c r="B11" s="628"/>
      <c r="C11" s="628"/>
      <c r="D11" s="628"/>
      <c r="E11" s="628"/>
      <c r="F11" s="628"/>
      <c r="G11" s="628"/>
      <c r="H11" s="628"/>
      <c r="I11" s="628"/>
      <c r="J11" s="628"/>
      <c r="K11" s="628"/>
      <c r="L11" s="567"/>
    </row>
    <row r="12" spans="1:12" ht="32.25" customHeight="1">
      <c r="A12" s="567"/>
      <c r="B12" s="825" t="s">
        <v>743</v>
      </c>
      <c r="C12" s="825"/>
      <c r="D12" s="825"/>
      <c r="E12" s="825"/>
      <c r="F12" s="825"/>
      <c r="G12" s="825"/>
      <c r="H12" s="825"/>
      <c r="I12" s="825"/>
      <c r="J12" s="825"/>
      <c r="K12" s="825"/>
      <c r="L12" s="567"/>
    </row>
    <row r="13" spans="1:12" ht="14.25">
      <c r="A13" s="567"/>
      <c r="L13" s="567"/>
    </row>
    <row r="14" spans="1:12" ht="14.25">
      <c r="A14" s="567"/>
      <c r="B14" s="550" t="s">
        <v>744</v>
      </c>
      <c r="L14" s="567"/>
    </row>
    <row r="15" spans="1:12" ht="14.25">
      <c r="A15" s="567"/>
      <c r="L15" s="567"/>
    </row>
    <row r="16" spans="1:12" ht="14.25">
      <c r="A16" s="567"/>
      <c r="B16" s="568" t="s">
        <v>745</v>
      </c>
      <c r="L16" s="567"/>
    </row>
    <row r="17" spans="1:12" ht="14.25">
      <c r="A17" s="567"/>
      <c r="B17" s="568" t="s">
        <v>746</v>
      </c>
      <c r="L17" s="567"/>
    </row>
    <row r="18" spans="1:12" ht="14.25">
      <c r="A18" s="567"/>
      <c r="L18" s="567"/>
    </row>
    <row r="19" spans="1:12" ht="14.25">
      <c r="A19" s="567"/>
      <c r="B19" s="550" t="s">
        <v>817</v>
      </c>
      <c r="L19" s="567"/>
    </row>
    <row r="20" spans="1:12" ht="14.25">
      <c r="A20" s="567"/>
      <c r="B20" s="550"/>
      <c r="L20" s="567"/>
    </row>
    <row r="21" spans="1:12" ht="14.25">
      <c r="A21" s="567"/>
      <c r="B21" s="568" t="s">
        <v>818</v>
      </c>
      <c r="L21" s="567"/>
    </row>
    <row r="22" spans="1:12" ht="14.25">
      <c r="A22" s="567"/>
      <c r="L22" s="567"/>
    </row>
    <row r="23" spans="1:12" ht="14.25">
      <c r="A23" s="567"/>
      <c r="B23" s="568" t="s">
        <v>747</v>
      </c>
      <c r="E23" s="568" t="s">
        <v>748</v>
      </c>
      <c r="F23" s="826">
        <v>5000000</v>
      </c>
      <c r="G23" s="826"/>
      <c r="L23" s="567"/>
    </row>
    <row r="24" spans="1:12" ht="14.25">
      <c r="A24" s="567"/>
      <c r="L24" s="567"/>
    </row>
    <row r="25" spans="1:12" ht="14.25">
      <c r="A25" s="567"/>
      <c r="C25" s="840">
        <f>F23</f>
        <v>5000000</v>
      </c>
      <c r="D25" s="840"/>
      <c r="E25" s="568" t="s">
        <v>749</v>
      </c>
      <c r="F25" s="570">
        <v>1000</v>
      </c>
      <c r="G25" s="570" t="s">
        <v>748</v>
      </c>
      <c r="H25" s="629">
        <f>F23/F25</f>
        <v>5000</v>
      </c>
      <c r="L25" s="567"/>
    </row>
    <row r="26" spans="1:12" ht="15" thickBot="1">
      <c r="A26" s="567"/>
      <c r="L26" s="567"/>
    </row>
    <row r="27" spans="1:12" ht="14.25">
      <c r="A27" s="567"/>
      <c r="B27" s="551" t="s">
        <v>744</v>
      </c>
      <c r="C27" s="571"/>
      <c r="D27" s="571"/>
      <c r="E27" s="571"/>
      <c r="F27" s="571"/>
      <c r="G27" s="571"/>
      <c r="H27" s="571"/>
      <c r="I27" s="571"/>
      <c r="J27" s="571"/>
      <c r="K27" s="572"/>
      <c r="L27" s="567"/>
    </row>
    <row r="28" spans="1:12" ht="14.25">
      <c r="A28" s="567"/>
      <c r="B28" s="573">
        <f>F23</f>
        <v>5000000</v>
      </c>
      <c r="C28" s="574" t="s">
        <v>750</v>
      </c>
      <c r="D28" s="574"/>
      <c r="E28" s="574" t="s">
        <v>749</v>
      </c>
      <c r="F28" s="632">
        <v>1000</v>
      </c>
      <c r="G28" s="632" t="s">
        <v>748</v>
      </c>
      <c r="H28" s="575">
        <f>B28/F28</f>
        <v>5000</v>
      </c>
      <c r="I28" s="574" t="s">
        <v>751</v>
      </c>
      <c r="J28" s="574"/>
      <c r="K28" s="576"/>
      <c r="L28" s="567"/>
    </row>
    <row r="29" spans="1:12" ht="15" thickBot="1">
      <c r="A29" s="567"/>
      <c r="B29" s="577"/>
      <c r="C29" s="578"/>
      <c r="D29" s="578"/>
      <c r="E29" s="578"/>
      <c r="F29" s="578"/>
      <c r="G29" s="578"/>
      <c r="H29" s="578"/>
      <c r="I29" s="578"/>
      <c r="J29" s="578"/>
      <c r="K29" s="579"/>
      <c r="L29" s="567"/>
    </row>
    <row r="30" spans="1:12" ht="40.5" customHeight="1">
      <c r="A30" s="567"/>
      <c r="B30" s="827" t="s">
        <v>740</v>
      </c>
      <c r="C30" s="827"/>
      <c r="D30" s="827"/>
      <c r="E30" s="827"/>
      <c r="F30" s="827"/>
      <c r="G30" s="827"/>
      <c r="H30" s="827"/>
      <c r="I30" s="827"/>
      <c r="J30" s="827"/>
      <c r="K30" s="827"/>
      <c r="L30" s="567"/>
    </row>
    <row r="31" spans="1:12" ht="14.25">
      <c r="A31" s="567"/>
      <c r="B31" s="830" t="s">
        <v>752</v>
      </c>
      <c r="C31" s="830"/>
      <c r="D31" s="830"/>
      <c r="E31" s="830"/>
      <c r="F31" s="830"/>
      <c r="G31" s="830"/>
      <c r="H31" s="830"/>
      <c r="I31" s="830"/>
      <c r="J31" s="830"/>
      <c r="K31" s="830"/>
      <c r="L31" s="567"/>
    </row>
    <row r="32" spans="1:12" ht="14.25">
      <c r="A32" s="567"/>
      <c r="L32" s="567"/>
    </row>
    <row r="33" spans="1:12" ht="14.25">
      <c r="A33" s="567"/>
      <c r="B33" s="830" t="s">
        <v>753</v>
      </c>
      <c r="C33" s="830"/>
      <c r="D33" s="830"/>
      <c r="E33" s="830"/>
      <c r="F33" s="830"/>
      <c r="G33" s="830"/>
      <c r="H33" s="830"/>
      <c r="I33" s="830"/>
      <c r="J33" s="830"/>
      <c r="K33" s="830"/>
      <c r="L33" s="567"/>
    </row>
    <row r="34" spans="1:12" ht="14.25">
      <c r="A34" s="567"/>
      <c r="L34" s="567"/>
    </row>
    <row r="35" spans="1:12" ht="89.25" customHeight="1">
      <c r="A35" s="567"/>
      <c r="B35" s="825" t="s">
        <v>754</v>
      </c>
      <c r="C35" s="831"/>
      <c r="D35" s="831"/>
      <c r="E35" s="831"/>
      <c r="F35" s="831"/>
      <c r="G35" s="831"/>
      <c r="H35" s="831"/>
      <c r="I35" s="831"/>
      <c r="J35" s="831"/>
      <c r="K35" s="831"/>
      <c r="L35" s="567"/>
    </row>
    <row r="36" spans="1:12" ht="14.25">
      <c r="A36" s="567"/>
      <c r="L36" s="567"/>
    </row>
    <row r="37" spans="1:12" ht="14.25">
      <c r="A37" s="567"/>
      <c r="B37" s="550" t="s">
        <v>755</v>
      </c>
      <c r="L37" s="567"/>
    </row>
    <row r="38" spans="1:12" ht="14.25">
      <c r="A38" s="567"/>
      <c r="L38" s="567"/>
    </row>
    <row r="39" spans="1:12" ht="14.25">
      <c r="A39" s="567"/>
      <c r="B39" s="568" t="s">
        <v>756</v>
      </c>
      <c r="L39" s="567"/>
    </row>
    <row r="40" spans="1:12" ht="14.25">
      <c r="A40" s="567"/>
      <c r="L40" s="567"/>
    </row>
    <row r="41" spans="1:12" ht="14.25">
      <c r="A41" s="567"/>
      <c r="C41" s="832">
        <v>312000000</v>
      </c>
      <c r="D41" s="832"/>
      <c r="E41" s="568" t="s">
        <v>749</v>
      </c>
      <c r="F41" s="570">
        <v>1000</v>
      </c>
      <c r="G41" s="570" t="s">
        <v>748</v>
      </c>
      <c r="H41" s="580">
        <f>C41/F41</f>
        <v>312000</v>
      </c>
      <c r="L41" s="567"/>
    </row>
    <row r="42" spans="1:12" ht="14.25">
      <c r="A42" s="567"/>
      <c r="L42" s="567"/>
    </row>
    <row r="43" spans="1:12" ht="14.25">
      <c r="A43" s="567"/>
      <c r="B43" s="568" t="s">
        <v>757</v>
      </c>
      <c r="L43" s="567"/>
    </row>
    <row r="44" spans="1:12" ht="14.25">
      <c r="A44" s="567"/>
      <c r="L44" s="567"/>
    </row>
    <row r="45" spans="1:12" ht="14.25">
      <c r="A45" s="567"/>
      <c r="B45" s="568" t="s">
        <v>758</v>
      </c>
      <c r="L45" s="567"/>
    </row>
    <row r="46" spans="1:12" ht="15" thickBot="1">
      <c r="A46" s="567"/>
      <c r="L46" s="567"/>
    </row>
    <row r="47" spans="1:12" ht="14.25">
      <c r="A47" s="567"/>
      <c r="B47" s="581" t="s">
        <v>744</v>
      </c>
      <c r="C47" s="571"/>
      <c r="D47" s="571"/>
      <c r="E47" s="571"/>
      <c r="F47" s="571"/>
      <c r="G47" s="571"/>
      <c r="H47" s="571"/>
      <c r="I47" s="571"/>
      <c r="J47" s="571"/>
      <c r="K47" s="572"/>
      <c r="L47" s="567"/>
    </row>
    <row r="48" spans="1:12" ht="14.25">
      <c r="A48" s="567"/>
      <c r="B48" s="833">
        <v>5000000</v>
      </c>
      <c r="C48" s="826"/>
      <c r="D48" s="574" t="s">
        <v>759</v>
      </c>
      <c r="E48" s="574" t="s">
        <v>749</v>
      </c>
      <c r="F48" s="632">
        <v>1000</v>
      </c>
      <c r="G48" s="632" t="s">
        <v>748</v>
      </c>
      <c r="H48" s="575">
        <f>B48/F48</f>
        <v>5000</v>
      </c>
      <c r="I48" s="574" t="s">
        <v>760</v>
      </c>
      <c r="J48" s="574"/>
      <c r="K48" s="576"/>
      <c r="L48" s="567"/>
    </row>
    <row r="49" spans="1:12" ht="14.25">
      <c r="A49" s="567"/>
      <c r="B49" s="582"/>
      <c r="C49" s="574"/>
      <c r="D49" s="574"/>
      <c r="E49" s="574"/>
      <c r="F49" s="574"/>
      <c r="G49" s="574"/>
      <c r="H49" s="574"/>
      <c r="I49" s="574"/>
      <c r="J49" s="574"/>
      <c r="K49" s="576"/>
      <c r="L49" s="567"/>
    </row>
    <row r="50" spans="1:12" ht="14.25">
      <c r="A50" s="567"/>
      <c r="B50" s="583">
        <v>50000</v>
      </c>
      <c r="C50" s="574" t="s">
        <v>761</v>
      </c>
      <c r="D50" s="574"/>
      <c r="E50" s="574" t="s">
        <v>749</v>
      </c>
      <c r="F50" s="575">
        <f>H48</f>
        <v>5000</v>
      </c>
      <c r="G50" s="834" t="s">
        <v>762</v>
      </c>
      <c r="H50" s="835"/>
      <c r="I50" s="632" t="s">
        <v>748</v>
      </c>
      <c r="J50" s="584">
        <f>B50/F50</f>
        <v>10</v>
      </c>
      <c r="K50" s="576"/>
      <c r="L50" s="567"/>
    </row>
    <row r="51" spans="1:15" ht="15" thickBot="1">
      <c r="A51" s="567"/>
      <c r="B51" s="577"/>
      <c r="C51" s="578"/>
      <c r="D51" s="578"/>
      <c r="E51" s="578"/>
      <c r="F51" s="578"/>
      <c r="G51" s="578"/>
      <c r="H51" s="578"/>
      <c r="I51" s="836" t="s">
        <v>763</v>
      </c>
      <c r="J51" s="836"/>
      <c r="K51" s="837"/>
      <c r="L51" s="567"/>
      <c r="O51" s="585"/>
    </row>
    <row r="52" spans="1:12" ht="40.5" customHeight="1">
      <c r="A52" s="567"/>
      <c r="B52" s="827" t="s">
        <v>740</v>
      </c>
      <c r="C52" s="827"/>
      <c r="D52" s="827"/>
      <c r="E52" s="827"/>
      <c r="F52" s="827"/>
      <c r="G52" s="827"/>
      <c r="H52" s="827"/>
      <c r="I52" s="827"/>
      <c r="J52" s="827"/>
      <c r="K52" s="827"/>
      <c r="L52" s="567"/>
    </row>
    <row r="53" spans="1:12" ht="14.25">
      <c r="A53" s="567"/>
      <c r="B53" s="830" t="s">
        <v>764</v>
      </c>
      <c r="C53" s="830"/>
      <c r="D53" s="830"/>
      <c r="E53" s="830"/>
      <c r="F53" s="830"/>
      <c r="G53" s="830"/>
      <c r="H53" s="830"/>
      <c r="I53" s="830"/>
      <c r="J53" s="830"/>
      <c r="K53" s="830"/>
      <c r="L53" s="567"/>
    </row>
    <row r="54" spans="1:12" ht="14.25">
      <c r="A54" s="567"/>
      <c r="B54" s="628"/>
      <c r="C54" s="628"/>
      <c r="D54" s="628"/>
      <c r="E54" s="628"/>
      <c r="F54" s="628"/>
      <c r="G54" s="628"/>
      <c r="H54" s="628"/>
      <c r="I54" s="628"/>
      <c r="J54" s="628"/>
      <c r="K54" s="628"/>
      <c r="L54" s="567"/>
    </row>
    <row r="55" spans="1:12" ht="14.25">
      <c r="A55" s="567"/>
      <c r="B55" s="824" t="s">
        <v>765</v>
      </c>
      <c r="C55" s="824"/>
      <c r="D55" s="824"/>
      <c r="E55" s="824"/>
      <c r="F55" s="824"/>
      <c r="G55" s="824"/>
      <c r="H55" s="824"/>
      <c r="I55" s="824"/>
      <c r="J55" s="824"/>
      <c r="K55" s="824"/>
      <c r="L55" s="567"/>
    </row>
    <row r="56" spans="1:12" ht="15" customHeight="1">
      <c r="A56" s="567"/>
      <c r="L56" s="567"/>
    </row>
    <row r="57" spans="1:24" ht="74.25" customHeight="1">
      <c r="A57" s="567"/>
      <c r="B57" s="825" t="s">
        <v>766</v>
      </c>
      <c r="C57" s="831"/>
      <c r="D57" s="831"/>
      <c r="E57" s="831"/>
      <c r="F57" s="831"/>
      <c r="G57" s="831"/>
      <c r="H57" s="831"/>
      <c r="I57" s="831"/>
      <c r="J57" s="831"/>
      <c r="K57" s="831"/>
      <c r="L57" s="567"/>
      <c r="M57" s="552"/>
      <c r="N57" s="540"/>
      <c r="O57" s="540"/>
      <c r="P57" s="540"/>
      <c r="Q57" s="540"/>
      <c r="R57" s="540"/>
      <c r="S57" s="540"/>
      <c r="T57" s="540"/>
      <c r="U57" s="540"/>
      <c r="V57" s="540"/>
      <c r="W57" s="540"/>
      <c r="X57" s="540"/>
    </row>
    <row r="58" spans="1:24" ht="15" customHeight="1">
      <c r="A58" s="567"/>
      <c r="B58" s="825"/>
      <c r="C58" s="831"/>
      <c r="D58" s="831"/>
      <c r="E58" s="831"/>
      <c r="F58" s="831"/>
      <c r="G58" s="831"/>
      <c r="H58" s="831"/>
      <c r="I58" s="831"/>
      <c r="J58" s="831"/>
      <c r="K58" s="831"/>
      <c r="L58" s="567"/>
      <c r="M58" s="552"/>
      <c r="N58" s="540"/>
      <c r="O58" s="540"/>
      <c r="P58" s="540"/>
      <c r="Q58" s="540"/>
      <c r="R58" s="540"/>
      <c r="S58" s="540"/>
      <c r="T58" s="540"/>
      <c r="U58" s="540"/>
      <c r="V58" s="540"/>
      <c r="W58" s="540"/>
      <c r="X58" s="540"/>
    </row>
    <row r="59" spans="1:24" ht="14.25">
      <c r="A59" s="567"/>
      <c r="B59" s="550" t="s">
        <v>755</v>
      </c>
      <c r="L59" s="567"/>
      <c r="M59" s="540"/>
      <c r="N59" s="540"/>
      <c r="O59" s="540"/>
      <c r="P59" s="540"/>
      <c r="Q59" s="540"/>
      <c r="R59" s="540"/>
      <c r="S59" s="540"/>
      <c r="T59" s="540"/>
      <c r="U59" s="540"/>
      <c r="V59" s="540"/>
      <c r="W59" s="540"/>
      <c r="X59" s="540"/>
    </row>
    <row r="60" spans="1:24" ht="14.25">
      <c r="A60" s="567"/>
      <c r="L60" s="567"/>
      <c r="M60" s="540"/>
      <c r="N60" s="540"/>
      <c r="O60" s="540"/>
      <c r="P60" s="540"/>
      <c r="Q60" s="540"/>
      <c r="R60" s="540"/>
      <c r="S60" s="540"/>
      <c r="T60" s="540"/>
      <c r="U60" s="540"/>
      <c r="V60" s="540"/>
      <c r="W60" s="540"/>
      <c r="X60" s="540"/>
    </row>
    <row r="61" spans="1:24" ht="14.25">
      <c r="A61" s="567"/>
      <c r="B61" s="568" t="s">
        <v>767</v>
      </c>
      <c r="L61" s="567"/>
      <c r="M61" s="540"/>
      <c r="N61" s="540"/>
      <c r="O61" s="540"/>
      <c r="P61" s="540"/>
      <c r="Q61" s="540"/>
      <c r="R61" s="540"/>
      <c r="S61" s="540"/>
      <c r="T61" s="540"/>
      <c r="U61" s="540"/>
      <c r="V61" s="540"/>
      <c r="W61" s="540"/>
      <c r="X61" s="540"/>
    </row>
    <row r="62" spans="1:24" ht="14.25">
      <c r="A62" s="567"/>
      <c r="B62" s="568" t="s">
        <v>819</v>
      </c>
      <c r="L62" s="567"/>
      <c r="M62" s="540"/>
      <c r="N62" s="540"/>
      <c r="O62" s="540"/>
      <c r="P62" s="540"/>
      <c r="Q62" s="540"/>
      <c r="R62" s="540"/>
      <c r="S62" s="540"/>
      <c r="T62" s="540"/>
      <c r="U62" s="540"/>
      <c r="V62" s="540"/>
      <c r="W62" s="540"/>
      <c r="X62" s="540"/>
    </row>
    <row r="63" spans="1:24" ht="14.25">
      <c r="A63" s="567"/>
      <c r="B63" s="568" t="s">
        <v>820</v>
      </c>
      <c r="L63" s="567"/>
      <c r="M63" s="540"/>
      <c r="N63" s="540"/>
      <c r="O63" s="540"/>
      <c r="P63" s="540"/>
      <c r="Q63" s="540"/>
      <c r="R63" s="540"/>
      <c r="S63" s="540"/>
      <c r="T63" s="540"/>
      <c r="U63" s="540"/>
      <c r="V63" s="540"/>
      <c r="W63" s="540"/>
      <c r="X63" s="540"/>
    </row>
    <row r="64" spans="1:24" ht="14.25">
      <c r="A64" s="567"/>
      <c r="L64" s="567"/>
      <c r="M64" s="540"/>
      <c r="N64" s="540"/>
      <c r="O64" s="540"/>
      <c r="P64" s="540"/>
      <c r="Q64" s="540"/>
      <c r="R64" s="540"/>
      <c r="S64" s="540"/>
      <c r="T64" s="540"/>
      <c r="U64" s="540"/>
      <c r="V64" s="540"/>
      <c r="W64" s="540"/>
      <c r="X64" s="540"/>
    </row>
    <row r="65" spans="1:24" ht="14.25">
      <c r="A65" s="567"/>
      <c r="B65" s="568" t="s">
        <v>768</v>
      </c>
      <c r="L65" s="567"/>
      <c r="M65" s="540"/>
      <c r="N65" s="540"/>
      <c r="O65" s="540"/>
      <c r="P65" s="540"/>
      <c r="Q65" s="540"/>
      <c r="R65" s="540"/>
      <c r="S65" s="540"/>
      <c r="T65" s="540"/>
      <c r="U65" s="540"/>
      <c r="V65" s="540"/>
      <c r="W65" s="540"/>
      <c r="X65" s="540"/>
    </row>
    <row r="66" spans="1:24" ht="14.25">
      <c r="A66" s="567"/>
      <c r="B66" s="568" t="s">
        <v>769</v>
      </c>
      <c r="L66" s="567"/>
      <c r="M66" s="540"/>
      <c r="N66" s="540"/>
      <c r="O66" s="540"/>
      <c r="P66" s="540"/>
      <c r="Q66" s="540"/>
      <c r="R66" s="540"/>
      <c r="S66" s="540"/>
      <c r="T66" s="540"/>
      <c r="U66" s="540"/>
      <c r="V66" s="540"/>
      <c r="W66" s="540"/>
      <c r="X66" s="540"/>
    </row>
    <row r="67" spans="1:24" ht="14.25">
      <c r="A67" s="567"/>
      <c r="L67" s="567"/>
      <c r="M67" s="540"/>
      <c r="N67" s="540"/>
      <c r="O67" s="540"/>
      <c r="P67" s="540"/>
      <c r="Q67" s="540"/>
      <c r="R67" s="540"/>
      <c r="S67" s="540"/>
      <c r="T67" s="540"/>
      <c r="U67" s="540"/>
      <c r="V67" s="540"/>
      <c r="W67" s="540"/>
      <c r="X67" s="540"/>
    </row>
    <row r="68" spans="1:24" ht="14.25">
      <c r="A68" s="567"/>
      <c r="B68" s="568" t="s">
        <v>770</v>
      </c>
      <c r="L68" s="567"/>
      <c r="M68" s="553"/>
      <c r="N68" s="539"/>
      <c r="O68" s="539"/>
      <c r="P68" s="539"/>
      <c r="Q68" s="539"/>
      <c r="R68" s="539"/>
      <c r="S68" s="539"/>
      <c r="T68" s="539"/>
      <c r="U68" s="539"/>
      <c r="V68" s="539"/>
      <c r="W68" s="539"/>
      <c r="X68" s="540"/>
    </row>
    <row r="69" spans="1:24" ht="14.25">
      <c r="A69" s="567"/>
      <c r="B69" s="568" t="s">
        <v>821</v>
      </c>
      <c r="L69" s="567"/>
      <c r="M69" s="540"/>
      <c r="N69" s="540"/>
      <c r="O69" s="540"/>
      <c r="P69" s="540"/>
      <c r="Q69" s="540"/>
      <c r="R69" s="540"/>
      <c r="S69" s="540"/>
      <c r="T69" s="540"/>
      <c r="U69" s="540"/>
      <c r="V69" s="540"/>
      <c r="W69" s="540"/>
      <c r="X69" s="540"/>
    </row>
    <row r="70" spans="1:24" ht="14.25">
      <c r="A70" s="567"/>
      <c r="B70" s="568" t="s">
        <v>822</v>
      </c>
      <c r="L70" s="567"/>
      <c r="M70" s="540"/>
      <c r="N70" s="540"/>
      <c r="O70" s="540"/>
      <c r="P70" s="540"/>
      <c r="Q70" s="540"/>
      <c r="R70" s="540"/>
      <c r="S70" s="540"/>
      <c r="T70" s="540"/>
      <c r="U70" s="540"/>
      <c r="V70" s="540"/>
      <c r="W70" s="540"/>
      <c r="X70" s="540"/>
    </row>
    <row r="71" spans="1:12" ht="15" thickBot="1">
      <c r="A71" s="567"/>
      <c r="B71" s="574"/>
      <c r="C71" s="574"/>
      <c r="D71" s="574"/>
      <c r="E71" s="574"/>
      <c r="F71" s="574"/>
      <c r="G71" s="574"/>
      <c r="H71" s="574"/>
      <c r="I71" s="574"/>
      <c r="J71" s="574"/>
      <c r="K71" s="574"/>
      <c r="L71" s="567"/>
    </row>
    <row r="72" spans="1:12" ht="14.25">
      <c r="A72" s="567"/>
      <c r="B72" s="551" t="s">
        <v>744</v>
      </c>
      <c r="C72" s="571"/>
      <c r="D72" s="571"/>
      <c r="E72" s="571"/>
      <c r="F72" s="571"/>
      <c r="G72" s="571"/>
      <c r="H72" s="571"/>
      <c r="I72" s="571"/>
      <c r="J72" s="571"/>
      <c r="K72" s="572"/>
      <c r="L72" s="586"/>
    </row>
    <row r="73" spans="1:12" ht="14.25">
      <c r="A73" s="567"/>
      <c r="B73" s="582"/>
      <c r="C73" s="574" t="s">
        <v>750</v>
      </c>
      <c r="D73" s="574"/>
      <c r="E73" s="574"/>
      <c r="F73" s="574"/>
      <c r="G73" s="574"/>
      <c r="H73" s="574"/>
      <c r="I73" s="574"/>
      <c r="J73" s="574"/>
      <c r="K73" s="576"/>
      <c r="L73" s="586"/>
    </row>
    <row r="74" spans="1:12" ht="14.25">
      <c r="A74" s="567"/>
      <c r="B74" s="582" t="s">
        <v>771</v>
      </c>
      <c r="C74" s="826">
        <v>312000000</v>
      </c>
      <c r="D74" s="826"/>
      <c r="E74" s="632" t="s">
        <v>749</v>
      </c>
      <c r="F74" s="632">
        <v>1000</v>
      </c>
      <c r="G74" s="632" t="s">
        <v>748</v>
      </c>
      <c r="H74" s="623">
        <f>C74/F74</f>
        <v>312000</v>
      </c>
      <c r="I74" s="574" t="s">
        <v>772</v>
      </c>
      <c r="J74" s="574"/>
      <c r="K74" s="576"/>
      <c r="L74" s="586"/>
    </row>
    <row r="75" spans="1:12" ht="14.25">
      <c r="A75" s="567"/>
      <c r="B75" s="582"/>
      <c r="C75" s="574"/>
      <c r="D75" s="574"/>
      <c r="E75" s="632"/>
      <c r="F75" s="574"/>
      <c r="G75" s="574"/>
      <c r="H75" s="574"/>
      <c r="I75" s="574"/>
      <c r="J75" s="574"/>
      <c r="K75" s="576"/>
      <c r="L75" s="586"/>
    </row>
    <row r="76" spans="1:12" ht="14.25">
      <c r="A76" s="567"/>
      <c r="B76" s="582"/>
      <c r="C76" s="574" t="s">
        <v>773</v>
      </c>
      <c r="D76" s="574"/>
      <c r="E76" s="632"/>
      <c r="F76" s="574" t="s">
        <v>772</v>
      </c>
      <c r="G76" s="574"/>
      <c r="H76" s="574"/>
      <c r="I76" s="574"/>
      <c r="J76" s="574"/>
      <c r="K76" s="576"/>
      <c r="L76" s="586"/>
    </row>
    <row r="77" spans="1:12" ht="14.25">
      <c r="A77" s="567"/>
      <c r="B77" s="582" t="s">
        <v>776</v>
      </c>
      <c r="C77" s="826">
        <v>50000</v>
      </c>
      <c r="D77" s="826"/>
      <c r="E77" s="632" t="s">
        <v>749</v>
      </c>
      <c r="F77" s="623">
        <f>H74</f>
        <v>312000</v>
      </c>
      <c r="G77" s="632" t="s">
        <v>748</v>
      </c>
      <c r="H77" s="584">
        <f>C77/F77</f>
        <v>0.16025641025641027</v>
      </c>
      <c r="I77" s="574" t="s">
        <v>774</v>
      </c>
      <c r="J77" s="574"/>
      <c r="K77" s="576"/>
      <c r="L77" s="586"/>
    </row>
    <row r="78" spans="1:12" ht="14.25">
      <c r="A78" s="567"/>
      <c r="B78" s="582"/>
      <c r="C78" s="574"/>
      <c r="D78" s="574"/>
      <c r="E78" s="632"/>
      <c r="F78" s="574"/>
      <c r="G78" s="574"/>
      <c r="H78" s="574"/>
      <c r="I78" s="574"/>
      <c r="J78" s="574"/>
      <c r="K78" s="576"/>
      <c r="L78" s="586"/>
    </row>
    <row r="79" spans="1:12" ht="14.25">
      <c r="A79" s="567"/>
      <c r="B79" s="587"/>
      <c r="C79" s="588" t="s">
        <v>775</v>
      </c>
      <c r="D79" s="588"/>
      <c r="E79" s="624"/>
      <c r="F79" s="588"/>
      <c r="G79" s="588"/>
      <c r="H79" s="588"/>
      <c r="I79" s="588"/>
      <c r="J79" s="588"/>
      <c r="K79" s="589"/>
      <c r="L79" s="586"/>
    </row>
    <row r="80" spans="1:12" ht="14.25">
      <c r="A80" s="567"/>
      <c r="B80" s="582" t="s">
        <v>801</v>
      </c>
      <c r="C80" s="826">
        <v>100000</v>
      </c>
      <c r="D80" s="826"/>
      <c r="E80" s="632" t="s">
        <v>148</v>
      </c>
      <c r="F80" s="632">
        <v>0.115</v>
      </c>
      <c r="G80" s="632" t="s">
        <v>748</v>
      </c>
      <c r="H80" s="623">
        <f>C80*F80</f>
        <v>11500</v>
      </c>
      <c r="I80" s="574" t="s">
        <v>777</v>
      </c>
      <c r="J80" s="574"/>
      <c r="K80" s="576"/>
      <c r="L80" s="586"/>
    </row>
    <row r="81" spans="1:12" ht="14.25">
      <c r="A81" s="567"/>
      <c r="B81" s="582"/>
      <c r="C81" s="574"/>
      <c r="D81" s="574"/>
      <c r="E81" s="632"/>
      <c r="F81" s="574"/>
      <c r="G81" s="574"/>
      <c r="H81" s="574"/>
      <c r="I81" s="574"/>
      <c r="J81" s="574"/>
      <c r="K81" s="576"/>
      <c r="L81" s="586"/>
    </row>
    <row r="82" spans="1:12" ht="14.25">
      <c r="A82" s="567"/>
      <c r="B82" s="587"/>
      <c r="C82" s="588" t="s">
        <v>778</v>
      </c>
      <c r="D82" s="588"/>
      <c r="E82" s="624"/>
      <c r="F82" s="588" t="s">
        <v>774</v>
      </c>
      <c r="G82" s="588"/>
      <c r="H82" s="588"/>
      <c r="I82" s="588"/>
      <c r="J82" s="588" t="s">
        <v>779</v>
      </c>
      <c r="K82" s="589"/>
      <c r="L82" s="586"/>
    </row>
    <row r="83" spans="1:12" ht="14.25">
      <c r="A83" s="567"/>
      <c r="B83" s="582" t="s">
        <v>802</v>
      </c>
      <c r="C83" s="815">
        <f>H80</f>
        <v>11500</v>
      </c>
      <c r="D83" s="815"/>
      <c r="E83" s="632" t="s">
        <v>148</v>
      </c>
      <c r="F83" s="584">
        <f>H77</f>
        <v>0.16025641025641027</v>
      </c>
      <c r="G83" s="632" t="s">
        <v>749</v>
      </c>
      <c r="H83" s="632">
        <v>1000</v>
      </c>
      <c r="I83" s="632" t="s">
        <v>748</v>
      </c>
      <c r="J83" s="625">
        <f>C83*F83/H83</f>
        <v>1.842948717948718</v>
      </c>
      <c r="K83" s="576"/>
      <c r="L83" s="586"/>
    </row>
    <row r="84" spans="1:12" ht="15" thickBot="1">
      <c r="A84" s="567"/>
      <c r="B84" s="577"/>
      <c r="C84" s="590"/>
      <c r="D84" s="590"/>
      <c r="E84" s="591"/>
      <c r="F84" s="592"/>
      <c r="G84" s="591"/>
      <c r="H84" s="591"/>
      <c r="I84" s="591"/>
      <c r="J84" s="593"/>
      <c r="K84" s="579"/>
      <c r="L84" s="586"/>
    </row>
    <row r="85" spans="1:12" ht="40.5" customHeight="1">
      <c r="A85" s="567"/>
      <c r="B85" s="827" t="s">
        <v>740</v>
      </c>
      <c r="C85" s="827"/>
      <c r="D85" s="827"/>
      <c r="E85" s="827"/>
      <c r="F85" s="827"/>
      <c r="G85" s="827"/>
      <c r="H85" s="827"/>
      <c r="I85" s="827"/>
      <c r="J85" s="827"/>
      <c r="K85" s="827"/>
      <c r="L85" s="567"/>
    </row>
    <row r="86" spans="1:12" ht="14.25">
      <c r="A86" s="567"/>
      <c r="B86" s="824" t="s">
        <v>780</v>
      </c>
      <c r="C86" s="824"/>
      <c r="D86" s="824"/>
      <c r="E86" s="824"/>
      <c r="F86" s="824"/>
      <c r="G86" s="824"/>
      <c r="H86" s="824"/>
      <c r="I86" s="824"/>
      <c r="J86" s="824"/>
      <c r="K86" s="824"/>
      <c r="L86" s="567"/>
    </row>
    <row r="87" spans="1:12" ht="14.25">
      <c r="A87" s="567"/>
      <c r="B87" s="594"/>
      <c r="C87" s="594"/>
      <c r="D87" s="594"/>
      <c r="E87" s="594"/>
      <c r="F87" s="594"/>
      <c r="G87" s="594"/>
      <c r="H87" s="594"/>
      <c r="I87" s="594"/>
      <c r="J87" s="594"/>
      <c r="K87" s="594"/>
      <c r="L87" s="567"/>
    </row>
    <row r="88" spans="1:12" ht="14.25">
      <c r="A88" s="567"/>
      <c r="B88" s="824" t="s">
        <v>781</v>
      </c>
      <c r="C88" s="824"/>
      <c r="D88" s="824"/>
      <c r="E88" s="824"/>
      <c r="F88" s="824"/>
      <c r="G88" s="824"/>
      <c r="H88" s="824"/>
      <c r="I88" s="824"/>
      <c r="J88" s="824"/>
      <c r="K88" s="824"/>
      <c r="L88" s="567"/>
    </row>
    <row r="89" spans="1:12" ht="14.25">
      <c r="A89" s="567"/>
      <c r="B89" s="626"/>
      <c r="C89" s="626"/>
      <c r="D89" s="626"/>
      <c r="E89" s="626"/>
      <c r="F89" s="626"/>
      <c r="G89" s="626"/>
      <c r="H89" s="626"/>
      <c r="I89" s="626"/>
      <c r="J89" s="626"/>
      <c r="K89" s="626"/>
      <c r="L89" s="567"/>
    </row>
    <row r="90" spans="1:12" ht="45" customHeight="1">
      <c r="A90" s="567"/>
      <c r="B90" s="825" t="s">
        <v>782</v>
      </c>
      <c r="C90" s="825"/>
      <c r="D90" s="825"/>
      <c r="E90" s="825"/>
      <c r="F90" s="825"/>
      <c r="G90" s="825"/>
      <c r="H90" s="825"/>
      <c r="I90" s="825"/>
      <c r="J90" s="825"/>
      <c r="K90" s="825"/>
      <c r="L90" s="567"/>
    </row>
    <row r="91" spans="1:12" ht="15" customHeight="1" thickBot="1">
      <c r="A91" s="567"/>
      <c r="L91" s="567"/>
    </row>
    <row r="92" spans="1:12" ht="15" customHeight="1">
      <c r="A92" s="567"/>
      <c r="B92" s="554" t="s">
        <v>744</v>
      </c>
      <c r="C92" s="595"/>
      <c r="D92" s="595"/>
      <c r="E92" s="595"/>
      <c r="F92" s="595"/>
      <c r="G92" s="595"/>
      <c r="H92" s="595"/>
      <c r="I92" s="595"/>
      <c r="J92" s="595"/>
      <c r="K92" s="596"/>
      <c r="L92" s="567"/>
    </row>
    <row r="93" spans="1:12" ht="15" customHeight="1">
      <c r="A93" s="567"/>
      <c r="B93" s="597"/>
      <c r="C93" s="630" t="s">
        <v>750</v>
      </c>
      <c r="D93" s="630"/>
      <c r="E93" s="630"/>
      <c r="F93" s="630"/>
      <c r="G93" s="630"/>
      <c r="H93" s="630"/>
      <c r="I93" s="630"/>
      <c r="J93" s="630"/>
      <c r="K93" s="598"/>
      <c r="L93" s="567"/>
    </row>
    <row r="94" spans="1:12" ht="15" customHeight="1">
      <c r="A94" s="567"/>
      <c r="B94" s="597" t="s">
        <v>771</v>
      </c>
      <c r="C94" s="826">
        <v>312000000</v>
      </c>
      <c r="D94" s="826"/>
      <c r="E94" s="632" t="s">
        <v>749</v>
      </c>
      <c r="F94" s="632">
        <v>1000</v>
      </c>
      <c r="G94" s="632" t="s">
        <v>748</v>
      </c>
      <c r="H94" s="623">
        <f>C94/F94</f>
        <v>312000</v>
      </c>
      <c r="I94" s="630" t="s">
        <v>772</v>
      </c>
      <c r="J94" s="630"/>
      <c r="K94" s="598"/>
      <c r="L94" s="567"/>
    </row>
    <row r="95" spans="1:12" ht="15" customHeight="1">
      <c r="A95" s="567"/>
      <c r="B95" s="597"/>
      <c r="C95" s="630"/>
      <c r="D95" s="630"/>
      <c r="E95" s="632"/>
      <c r="F95" s="630"/>
      <c r="G95" s="630"/>
      <c r="H95" s="630"/>
      <c r="I95" s="630"/>
      <c r="J95" s="630"/>
      <c r="K95" s="598"/>
      <c r="L95" s="567"/>
    </row>
    <row r="96" spans="1:12" ht="15" customHeight="1">
      <c r="A96" s="567"/>
      <c r="B96" s="597"/>
      <c r="C96" s="630" t="s">
        <v>773</v>
      </c>
      <c r="D96" s="630"/>
      <c r="E96" s="632"/>
      <c r="F96" s="630" t="s">
        <v>772</v>
      </c>
      <c r="G96" s="630"/>
      <c r="H96" s="630"/>
      <c r="I96" s="630"/>
      <c r="J96" s="630"/>
      <c r="K96" s="598"/>
      <c r="L96" s="567"/>
    </row>
    <row r="97" spans="1:12" ht="15" customHeight="1">
      <c r="A97" s="567"/>
      <c r="B97" s="597" t="s">
        <v>776</v>
      </c>
      <c r="C97" s="826">
        <v>50000</v>
      </c>
      <c r="D97" s="826"/>
      <c r="E97" s="632" t="s">
        <v>749</v>
      </c>
      <c r="F97" s="623">
        <f>H94</f>
        <v>312000</v>
      </c>
      <c r="G97" s="632" t="s">
        <v>748</v>
      </c>
      <c r="H97" s="584">
        <f>C97/F97</f>
        <v>0.16025641025641027</v>
      </c>
      <c r="I97" s="630" t="s">
        <v>774</v>
      </c>
      <c r="J97" s="630"/>
      <c r="K97" s="598"/>
      <c r="L97" s="567"/>
    </row>
    <row r="98" spans="1:12" ht="15" customHeight="1">
      <c r="A98" s="567"/>
      <c r="B98" s="597"/>
      <c r="C98" s="630"/>
      <c r="D98" s="630"/>
      <c r="E98" s="632"/>
      <c r="F98" s="630"/>
      <c r="G98" s="630"/>
      <c r="H98" s="630"/>
      <c r="I98" s="630"/>
      <c r="J98" s="630"/>
      <c r="K98" s="598"/>
      <c r="L98" s="567"/>
    </row>
    <row r="99" spans="1:12" ht="15" customHeight="1">
      <c r="A99" s="567"/>
      <c r="B99" s="599"/>
      <c r="C99" s="600" t="s">
        <v>783</v>
      </c>
      <c r="D99" s="600"/>
      <c r="E99" s="624"/>
      <c r="F99" s="600"/>
      <c r="G99" s="600"/>
      <c r="H99" s="600"/>
      <c r="I99" s="600"/>
      <c r="J99" s="600"/>
      <c r="K99" s="601"/>
      <c r="L99" s="567"/>
    </row>
    <row r="100" spans="1:12" ht="15" customHeight="1">
      <c r="A100" s="567"/>
      <c r="B100" s="597" t="s">
        <v>801</v>
      </c>
      <c r="C100" s="826">
        <v>2500000</v>
      </c>
      <c r="D100" s="826"/>
      <c r="E100" s="632" t="s">
        <v>148</v>
      </c>
      <c r="F100" s="602">
        <v>0.3</v>
      </c>
      <c r="G100" s="632" t="s">
        <v>748</v>
      </c>
      <c r="H100" s="623">
        <f>C100*F100</f>
        <v>750000</v>
      </c>
      <c r="I100" s="630" t="s">
        <v>777</v>
      </c>
      <c r="J100" s="630"/>
      <c r="K100" s="598"/>
      <c r="L100" s="567"/>
    </row>
    <row r="101" spans="1:12" ht="15" customHeight="1">
      <c r="A101" s="567"/>
      <c r="B101" s="597"/>
      <c r="C101" s="630"/>
      <c r="D101" s="630"/>
      <c r="E101" s="632"/>
      <c r="F101" s="630"/>
      <c r="G101" s="630"/>
      <c r="H101" s="630"/>
      <c r="I101" s="630"/>
      <c r="J101" s="630"/>
      <c r="K101" s="598"/>
      <c r="L101" s="567"/>
    </row>
    <row r="102" spans="1:12" ht="15" customHeight="1">
      <c r="A102" s="567"/>
      <c r="B102" s="599"/>
      <c r="C102" s="600" t="s">
        <v>778</v>
      </c>
      <c r="D102" s="600"/>
      <c r="E102" s="624"/>
      <c r="F102" s="600" t="s">
        <v>774</v>
      </c>
      <c r="G102" s="600"/>
      <c r="H102" s="600"/>
      <c r="I102" s="600"/>
      <c r="J102" s="600" t="s">
        <v>779</v>
      </c>
      <c r="K102" s="601"/>
      <c r="L102" s="567"/>
    </row>
    <row r="103" spans="1:12" ht="15" customHeight="1">
      <c r="A103" s="567"/>
      <c r="B103" s="597" t="s">
        <v>802</v>
      </c>
      <c r="C103" s="815">
        <f>H100</f>
        <v>750000</v>
      </c>
      <c r="D103" s="815"/>
      <c r="E103" s="632" t="s">
        <v>148</v>
      </c>
      <c r="F103" s="584">
        <f>H97</f>
        <v>0.16025641025641027</v>
      </c>
      <c r="G103" s="632" t="s">
        <v>749</v>
      </c>
      <c r="H103" s="632">
        <v>1000</v>
      </c>
      <c r="I103" s="632" t="s">
        <v>748</v>
      </c>
      <c r="J103" s="625">
        <f>C103*F103/H103</f>
        <v>120.19230769230771</v>
      </c>
      <c r="K103" s="598"/>
      <c r="L103" s="567"/>
    </row>
    <row r="104" spans="1:12" ht="15" customHeight="1" thickBot="1">
      <c r="A104" s="567"/>
      <c r="B104" s="603"/>
      <c r="C104" s="590"/>
      <c r="D104" s="590"/>
      <c r="E104" s="591"/>
      <c r="F104" s="592"/>
      <c r="G104" s="591"/>
      <c r="H104" s="591"/>
      <c r="I104" s="591"/>
      <c r="J104" s="593"/>
      <c r="K104" s="631"/>
      <c r="L104" s="567"/>
    </row>
    <row r="105" spans="1:12" ht="40.5" customHeight="1">
      <c r="A105" s="567"/>
      <c r="B105" s="827" t="s">
        <v>740</v>
      </c>
      <c r="C105" s="828"/>
      <c r="D105" s="828"/>
      <c r="E105" s="828"/>
      <c r="F105" s="828"/>
      <c r="G105" s="828"/>
      <c r="H105" s="828"/>
      <c r="I105" s="828"/>
      <c r="J105" s="828"/>
      <c r="K105" s="828"/>
      <c r="L105" s="567"/>
    </row>
    <row r="106" spans="1:12" ht="15" customHeight="1">
      <c r="A106" s="567"/>
      <c r="B106" s="822" t="s">
        <v>784</v>
      </c>
      <c r="C106" s="829"/>
      <c r="D106" s="829"/>
      <c r="E106" s="829"/>
      <c r="F106" s="829"/>
      <c r="G106" s="829"/>
      <c r="H106" s="829"/>
      <c r="I106" s="829"/>
      <c r="J106" s="829"/>
      <c r="K106" s="829"/>
      <c r="L106" s="567"/>
    </row>
    <row r="107" spans="1:12" ht="15" customHeight="1">
      <c r="A107" s="567"/>
      <c r="B107" s="630"/>
      <c r="C107" s="604"/>
      <c r="D107" s="604"/>
      <c r="E107" s="632"/>
      <c r="F107" s="584"/>
      <c r="G107" s="632"/>
      <c r="H107" s="632"/>
      <c r="I107" s="632"/>
      <c r="J107" s="625"/>
      <c r="K107" s="630"/>
      <c r="L107" s="567"/>
    </row>
    <row r="108" spans="1:12" ht="15" customHeight="1">
      <c r="A108" s="567"/>
      <c r="B108" s="822" t="s">
        <v>785</v>
      </c>
      <c r="C108" s="823"/>
      <c r="D108" s="823"/>
      <c r="E108" s="823"/>
      <c r="F108" s="823"/>
      <c r="G108" s="823"/>
      <c r="H108" s="823"/>
      <c r="I108" s="823"/>
      <c r="J108" s="823"/>
      <c r="K108" s="823"/>
      <c r="L108" s="567"/>
    </row>
    <row r="109" spans="1:12" ht="15" customHeight="1">
      <c r="A109" s="567"/>
      <c r="B109" s="630"/>
      <c r="C109" s="604"/>
      <c r="D109" s="604"/>
      <c r="E109" s="632"/>
      <c r="F109" s="584"/>
      <c r="G109" s="632"/>
      <c r="H109" s="632"/>
      <c r="I109" s="632"/>
      <c r="J109" s="625"/>
      <c r="K109" s="630"/>
      <c r="L109" s="567"/>
    </row>
    <row r="110" spans="1:12" ht="59.25" customHeight="1">
      <c r="A110" s="567"/>
      <c r="B110" s="841" t="s">
        <v>786</v>
      </c>
      <c r="C110" s="831"/>
      <c r="D110" s="831"/>
      <c r="E110" s="831"/>
      <c r="F110" s="831"/>
      <c r="G110" s="831"/>
      <c r="H110" s="831"/>
      <c r="I110" s="831"/>
      <c r="J110" s="831"/>
      <c r="K110" s="831"/>
      <c r="L110" s="567"/>
    </row>
    <row r="111" spans="1:12" ht="15" thickBot="1">
      <c r="A111" s="567"/>
      <c r="B111" s="628"/>
      <c r="C111" s="628"/>
      <c r="D111" s="628"/>
      <c r="E111" s="628"/>
      <c r="F111" s="628"/>
      <c r="G111" s="628"/>
      <c r="H111" s="628"/>
      <c r="I111" s="628"/>
      <c r="J111" s="628"/>
      <c r="K111" s="628"/>
      <c r="L111" s="605"/>
    </row>
    <row r="112" spans="1:12" ht="14.25">
      <c r="A112" s="567"/>
      <c r="B112" s="551" t="s">
        <v>744</v>
      </c>
      <c r="C112" s="571"/>
      <c r="D112" s="571"/>
      <c r="E112" s="571"/>
      <c r="F112" s="571"/>
      <c r="G112" s="571"/>
      <c r="H112" s="571"/>
      <c r="I112" s="571"/>
      <c r="J112" s="571"/>
      <c r="K112" s="572"/>
      <c r="L112" s="567"/>
    </row>
    <row r="113" spans="1:12" ht="14.25">
      <c r="A113" s="567"/>
      <c r="B113" s="582"/>
      <c r="C113" s="574" t="s">
        <v>750</v>
      </c>
      <c r="D113" s="574"/>
      <c r="E113" s="574"/>
      <c r="F113" s="574"/>
      <c r="G113" s="574"/>
      <c r="H113" s="574"/>
      <c r="I113" s="574"/>
      <c r="J113" s="574"/>
      <c r="K113" s="576"/>
      <c r="L113" s="567"/>
    </row>
    <row r="114" spans="1:12" ht="14.25">
      <c r="A114" s="567"/>
      <c r="B114" s="582" t="s">
        <v>771</v>
      </c>
      <c r="C114" s="826">
        <v>312000000</v>
      </c>
      <c r="D114" s="826"/>
      <c r="E114" s="632" t="s">
        <v>749</v>
      </c>
      <c r="F114" s="632">
        <v>1000</v>
      </c>
      <c r="G114" s="632" t="s">
        <v>748</v>
      </c>
      <c r="H114" s="623">
        <f>C114/F114</f>
        <v>312000</v>
      </c>
      <c r="I114" s="574" t="s">
        <v>772</v>
      </c>
      <c r="J114" s="574"/>
      <c r="K114" s="576"/>
      <c r="L114" s="567"/>
    </row>
    <row r="115" spans="1:12" ht="14.25">
      <c r="A115" s="567"/>
      <c r="B115" s="582"/>
      <c r="C115" s="574"/>
      <c r="D115" s="574"/>
      <c r="E115" s="632"/>
      <c r="F115" s="574"/>
      <c r="G115" s="574"/>
      <c r="H115" s="574"/>
      <c r="I115" s="574"/>
      <c r="J115" s="574"/>
      <c r="K115" s="576"/>
      <c r="L115" s="567"/>
    </row>
    <row r="116" spans="1:12" ht="14.25">
      <c r="A116" s="567"/>
      <c r="B116" s="582"/>
      <c r="C116" s="574" t="s">
        <v>773</v>
      </c>
      <c r="D116" s="574"/>
      <c r="E116" s="632"/>
      <c r="F116" s="574" t="s">
        <v>772</v>
      </c>
      <c r="G116" s="574"/>
      <c r="H116" s="574"/>
      <c r="I116" s="574"/>
      <c r="J116" s="574"/>
      <c r="K116" s="576"/>
      <c r="L116" s="567"/>
    </row>
    <row r="117" spans="1:12" ht="14.25">
      <c r="A117" s="567"/>
      <c r="B117" s="582" t="s">
        <v>776</v>
      </c>
      <c r="C117" s="826">
        <v>50000</v>
      </c>
      <c r="D117" s="826"/>
      <c r="E117" s="632" t="s">
        <v>749</v>
      </c>
      <c r="F117" s="623">
        <f>H114</f>
        <v>312000</v>
      </c>
      <c r="G117" s="632" t="s">
        <v>748</v>
      </c>
      <c r="H117" s="584">
        <f>C117/F117</f>
        <v>0.16025641025641027</v>
      </c>
      <c r="I117" s="574" t="s">
        <v>774</v>
      </c>
      <c r="J117" s="574"/>
      <c r="K117" s="576"/>
      <c r="L117" s="567"/>
    </row>
    <row r="118" spans="1:12" ht="14.25">
      <c r="A118" s="567"/>
      <c r="B118" s="582"/>
      <c r="C118" s="574"/>
      <c r="D118" s="574"/>
      <c r="E118" s="632"/>
      <c r="F118" s="574"/>
      <c r="G118" s="574"/>
      <c r="H118" s="574"/>
      <c r="I118" s="574"/>
      <c r="J118" s="574"/>
      <c r="K118" s="576"/>
      <c r="L118" s="567"/>
    </row>
    <row r="119" spans="1:12" ht="14.25">
      <c r="A119" s="567"/>
      <c r="B119" s="587"/>
      <c r="C119" s="588" t="s">
        <v>783</v>
      </c>
      <c r="D119" s="588"/>
      <c r="E119" s="624"/>
      <c r="F119" s="588"/>
      <c r="G119" s="588"/>
      <c r="H119" s="588"/>
      <c r="I119" s="588"/>
      <c r="J119" s="588"/>
      <c r="K119" s="589"/>
      <c r="L119" s="567"/>
    </row>
    <row r="120" spans="1:12" ht="14.25">
      <c r="A120" s="567"/>
      <c r="B120" s="582" t="s">
        <v>801</v>
      </c>
      <c r="C120" s="826">
        <v>2500000</v>
      </c>
      <c r="D120" s="826"/>
      <c r="E120" s="632" t="s">
        <v>148</v>
      </c>
      <c r="F120" s="602">
        <v>0.25</v>
      </c>
      <c r="G120" s="632" t="s">
        <v>748</v>
      </c>
      <c r="H120" s="623">
        <f>C120*F120</f>
        <v>625000</v>
      </c>
      <c r="I120" s="574" t="s">
        <v>777</v>
      </c>
      <c r="J120" s="574"/>
      <c r="K120" s="576"/>
      <c r="L120" s="567"/>
    </row>
    <row r="121" spans="1:12" ht="14.25">
      <c r="A121" s="567"/>
      <c r="B121" s="582"/>
      <c r="C121" s="574"/>
      <c r="D121" s="574"/>
      <c r="E121" s="632"/>
      <c r="F121" s="574"/>
      <c r="G121" s="574"/>
      <c r="H121" s="574"/>
      <c r="I121" s="574"/>
      <c r="J121" s="574"/>
      <c r="K121" s="576"/>
      <c r="L121" s="567"/>
    </row>
    <row r="122" spans="1:12" ht="14.25">
      <c r="A122" s="567"/>
      <c r="B122" s="587"/>
      <c r="C122" s="588" t="s">
        <v>778</v>
      </c>
      <c r="D122" s="588"/>
      <c r="E122" s="624"/>
      <c r="F122" s="588" t="s">
        <v>774</v>
      </c>
      <c r="G122" s="588"/>
      <c r="H122" s="588"/>
      <c r="I122" s="588"/>
      <c r="J122" s="588" t="s">
        <v>779</v>
      </c>
      <c r="K122" s="589"/>
      <c r="L122" s="567"/>
    </row>
    <row r="123" spans="1:12" ht="14.25">
      <c r="A123" s="567"/>
      <c r="B123" s="582" t="s">
        <v>802</v>
      </c>
      <c r="C123" s="815">
        <f>H120</f>
        <v>625000</v>
      </c>
      <c r="D123" s="815"/>
      <c r="E123" s="632" t="s">
        <v>148</v>
      </c>
      <c r="F123" s="584">
        <f>H117</f>
        <v>0.16025641025641027</v>
      </c>
      <c r="G123" s="632" t="s">
        <v>749</v>
      </c>
      <c r="H123" s="632">
        <v>1000</v>
      </c>
      <c r="I123" s="632" t="s">
        <v>748</v>
      </c>
      <c r="J123" s="625">
        <f>C123*F123/H123</f>
        <v>100.16025641025642</v>
      </c>
      <c r="K123" s="576"/>
      <c r="L123" s="567"/>
    </row>
    <row r="124" spans="1:12" ht="15" thickBot="1">
      <c r="A124" s="567"/>
      <c r="B124" s="577"/>
      <c r="C124" s="590"/>
      <c r="D124" s="590"/>
      <c r="E124" s="591"/>
      <c r="F124" s="592"/>
      <c r="G124" s="591"/>
      <c r="H124" s="591"/>
      <c r="I124" s="591"/>
      <c r="J124" s="593"/>
      <c r="K124" s="579"/>
      <c r="L124" s="567"/>
    </row>
    <row r="125" spans="1:12" ht="40.5" customHeight="1">
      <c r="A125" s="567"/>
      <c r="B125" s="827" t="s">
        <v>740</v>
      </c>
      <c r="C125" s="827"/>
      <c r="D125" s="827"/>
      <c r="E125" s="827"/>
      <c r="F125" s="827"/>
      <c r="G125" s="827"/>
      <c r="H125" s="827"/>
      <c r="I125" s="827"/>
      <c r="J125" s="827"/>
      <c r="K125" s="827"/>
      <c r="L125" s="605"/>
    </row>
    <row r="126" spans="1:12" ht="14.25">
      <c r="A126" s="567"/>
      <c r="B126" s="824" t="s">
        <v>787</v>
      </c>
      <c r="C126" s="824"/>
      <c r="D126" s="824"/>
      <c r="E126" s="824"/>
      <c r="F126" s="824"/>
      <c r="G126" s="824"/>
      <c r="H126" s="824"/>
      <c r="I126" s="824"/>
      <c r="J126" s="824"/>
      <c r="K126" s="824"/>
      <c r="L126" s="605"/>
    </row>
    <row r="127" spans="1:12" ht="14.25">
      <c r="A127" s="567"/>
      <c r="B127" s="628"/>
      <c r="C127" s="628"/>
      <c r="D127" s="628"/>
      <c r="E127" s="628"/>
      <c r="F127" s="628"/>
      <c r="G127" s="628"/>
      <c r="H127" s="628"/>
      <c r="I127" s="628"/>
      <c r="J127" s="628"/>
      <c r="K127" s="628"/>
      <c r="L127" s="605"/>
    </row>
    <row r="128" spans="1:12" ht="14.25">
      <c r="A128" s="567"/>
      <c r="B128" s="824" t="s">
        <v>788</v>
      </c>
      <c r="C128" s="824"/>
      <c r="D128" s="824"/>
      <c r="E128" s="824"/>
      <c r="F128" s="824"/>
      <c r="G128" s="824"/>
      <c r="H128" s="824"/>
      <c r="I128" s="824"/>
      <c r="J128" s="824"/>
      <c r="K128" s="824"/>
      <c r="L128" s="605"/>
    </row>
    <row r="129" spans="1:12" ht="14.25">
      <c r="A129" s="567"/>
      <c r="B129" s="626"/>
      <c r="C129" s="626"/>
      <c r="D129" s="626"/>
      <c r="E129" s="626"/>
      <c r="F129" s="626"/>
      <c r="G129" s="626"/>
      <c r="H129" s="626"/>
      <c r="I129" s="626"/>
      <c r="J129" s="626"/>
      <c r="K129" s="626"/>
      <c r="L129" s="605"/>
    </row>
    <row r="130" spans="1:12" ht="74.25" customHeight="1">
      <c r="A130" s="567"/>
      <c r="B130" s="825" t="s">
        <v>803</v>
      </c>
      <c r="C130" s="825"/>
      <c r="D130" s="825"/>
      <c r="E130" s="825"/>
      <c r="F130" s="825"/>
      <c r="G130" s="825"/>
      <c r="H130" s="825"/>
      <c r="I130" s="825"/>
      <c r="J130" s="825"/>
      <c r="K130" s="825"/>
      <c r="L130" s="605"/>
    </row>
    <row r="131" spans="1:12" ht="15" thickBot="1">
      <c r="A131" s="567"/>
      <c r="L131" s="567"/>
    </row>
    <row r="132" spans="1:12" ht="14.25">
      <c r="A132" s="567"/>
      <c r="B132" s="551" t="s">
        <v>744</v>
      </c>
      <c r="C132" s="571"/>
      <c r="D132" s="571"/>
      <c r="E132" s="571"/>
      <c r="F132" s="571"/>
      <c r="G132" s="571"/>
      <c r="H132" s="571"/>
      <c r="I132" s="571"/>
      <c r="J132" s="571"/>
      <c r="K132" s="572"/>
      <c r="L132" s="567"/>
    </row>
    <row r="133" spans="1:12" ht="14.25">
      <c r="A133" s="567"/>
      <c r="B133" s="582"/>
      <c r="C133" s="842" t="s">
        <v>789</v>
      </c>
      <c r="D133" s="842"/>
      <c r="E133" s="574"/>
      <c r="F133" s="632" t="s">
        <v>790</v>
      </c>
      <c r="G133" s="574"/>
      <c r="H133" s="842" t="s">
        <v>777</v>
      </c>
      <c r="I133" s="842"/>
      <c r="J133" s="574"/>
      <c r="K133" s="576"/>
      <c r="L133" s="567"/>
    </row>
    <row r="134" spans="1:12" ht="14.25">
      <c r="A134" s="567"/>
      <c r="B134" s="582" t="s">
        <v>771</v>
      </c>
      <c r="C134" s="826">
        <v>100000</v>
      </c>
      <c r="D134" s="826"/>
      <c r="E134" s="632" t="s">
        <v>148</v>
      </c>
      <c r="F134" s="632">
        <v>0.115</v>
      </c>
      <c r="G134" s="632" t="s">
        <v>748</v>
      </c>
      <c r="H134" s="816">
        <f>C134*F134</f>
        <v>11500</v>
      </c>
      <c r="I134" s="816"/>
      <c r="J134" s="574"/>
      <c r="K134" s="576"/>
      <c r="L134" s="567"/>
    </row>
    <row r="135" spans="1:12" ht="14.25">
      <c r="A135" s="567"/>
      <c r="B135" s="582"/>
      <c r="C135" s="574"/>
      <c r="D135" s="574"/>
      <c r="E135" s="574"/>
      <c r="F135" s="574"/>
      <c r="G135" s="574"/>
      <c r="H135" s="574"/>
      <c r="I135" s="574"/>
      <c r="J135" s="574"/>
      <c r="K135" s="576"/>
      <c r="L135" s="567"/>
    </row>
    <row r="136" spans="1:12" ht="14.25">
      <c r="A136" s="567"/>
      <c r="B136" s="587"/>
      <c r="C136" s="817" t="s">
        <v>777</v>
      </c>
      <c r="D136" s="817"/>
      <c r="E136" s="588"/>
      <c r="F136" s="624" t="s">
        <v>791</v>
      </c>
      <c r="G136" s="624"/>
      <c r="H136" s="588"/>
      <c r="I136" s="588"/>
      <c r="J136" s="588" t="s">
        <v>792</v>
      </c>
      <c r="K136" s="589"/>
      <c r="L136" s="567"/>
    </row>
    <row r="137" spans="1:12" ht="14.25">
      <c r="A137" s="567"/>
      <c r="B137" s="582" t="s">
        <v>776</v>
      </c>
      <c r="C137" s="816">
        <f>H134</f>
        <v>11500</v>
      </c>
      <c r="D137" s="816"/>
      <c r="E137" s="632" t="s">
        <v>148</v>
      </c>
      <c r="F137" s="606">
        <v>52.869</v>
      </c>
      <c r="G137" s="632" t="s">
        <v>749</v>
      </c>
      <c r="H137" s="632">
        <v>1000</v>
      </c>
      <c r="I137" s="632" t="s">
        <v>748</v>
      </c>
      <c r="J137" s="607">
        <f>C137*F137/H137</f>
        <v>607.9935</v>
      </c>
      <c r="K137" s="576"/>
      <c r="L137" s="567"/>
    </row>
    <row r="138" spans="1:12" ht="15" thickBot="1">
      <c r="A138" s="567"/>
      <c r="B138" s="577"/>
      <c r="C138" s="608"/>
      <c r="D138" s="608"/>
      <c r="E138" s="591"/>
      <c r="F138" s="609"/>
      <c r="G138" s="591"/>
      <c r="H138" s="591"/>
      <c r="I138" s="591"/>
      <c r="J138" s="610"/>
      <c r="K138" s="579"/>
      <c r="L138" s="567"/>
    </row>
    <row r="139" spans="1:12" ht="40.5" customHeight="1">
      <c r="A139" s="567"/>
      <c r="B139" s="555" t="s">
        <v>740</v>
      </c>
      <c r="C139" s="556"/>
      <c r="D139" s="556"/>
      <c r="E139" s="557"/>
      <c r="F139" s="558"/>
      <c r="G139" s="557"/>
      <c r="H139" s="557"/>
      <c r="I139" s="557"/>
      <c r="J139" s="559"/>
      <c r="K139" s="560"/>
      <c r="L139" s="567"/>
    </row>
    <row r="140" spans="1:12" ht="14.25">
      <c r="A140" s="567"/>
      <c r="B140" s="561" t="s">
        <v>804</v>
      </c>
      <c r="C140" s="562"/>
      <c r="D140" s="562"/>
      <c r="E140" s="563"/>
      <c r="F140" s="564"/>
      <c r="G140" s="563"/>
      <c r="H140" s="563"/>
      <c r="I140" s="563"/>
      <c r="J140" s="565"/>
      <c r="K140" s="566"/>
      <c r="L140" s="567"/>
    </row>
    <row r="141" spans="1:12" ht="14.25">
      <c r="A141" s="567"/>
      <c r="B141" s="582"/>
      <c r="C141" s="623"/>
      <c r="D141" s="623"/>
      <c r="E141" s="632"/>
      <c r="F141" s="611"/>
      <c r="G141" s="632"/>
      <c r="H141" s="632"/>
      <c r="I141" s="632"/>
      <c r="J141" s="607"/>
      <c r="K141" s="576"/>
      <c r="L141" s="567"/>
    </row>
    <row r="142" spans="1:12" ht="14.25">
      <c r="A142" s="567"/>
      <c r="B142" s="561" t="s">
        <v>805</v>
      </c>
      <c r="C142" s="562"/>
      <c r="D142" s="562"/>
      <c r="E142" s="563"/>
      <c r="F142" s="564"/>
      <c r="G142" s="563"/>
      <c r="H142" s="563"/>
      <c r="I142" s="563"/>
      <c r="J142" s="565"/>
      <c r="K142" s="566"/>
      <c r="L142" s="567"/>
    </row>
    <row r="143" spans="1:12" ht="14.25">
      <c r="A143" s="567"/>
      <c r="B143" s="582"/>
      <c r="C143" s="623"/>
      <c r="D143" s="623"/>
      <c r="E143" s="632"/>
      <c r="F143" s="611"/>
      <c r="G143" s="632"/>
      <c r="H143" s="632"/>
      <c r="I143" s="632"/>
      <c r="J143" s="607"/>
      <c r="K143" s="576"/>
      <c r="L143" s="567"/>
    </row>
    <row r="144" spans="1:12" ht="76.5" customHeight="1">
      <c r="A144" s="567"/>
      <c r="B144" s="818" t="s">
        <v>806</v>
      </c>
      <c r="C144" s="819"/>
      <c r="D144" s="819"/>
      <c r="E144" s="819"/>
      <c r="F144" s="819"/>
      <c r="G144" s="819"/>
      <c r="H144" s="819"/>
      <c r="I144" s="819"/>
      <c r="J144" s="819"/>
      <c r="K144" s="820"/>
      <c r="L144" s="567"/>
    </row>
    <row r="145" spans="1:12" ht="15" thickBot="1">
      <c r="A145" s="567"/>
      <c r="B145" s="582"/>
      <c r="C145" s="623"/>
      <c r="D145" s="623"/>
      <c r="E145" s="632"/>
      <c r="F145" s="611"/>
      <c r="G145" s="632"/>
      <c r="H145" s="632"/>
      <c r="I145" s="632"/>
      <c r="J145" s="607"/>
      <c r="K145" s="576"/>
      <c r="L145" s="567"/>
    </row>
    <row r="146" spans="1:12" ht="14.25">
      <c r="A146" s="567"/>
      <c r="B146" s="551" t="s">
        <v>744</v>
      </c>
      <c r="C146" s="612"/>
      <c r="D146" s="612"/>
      <c r="E146" s="613"/>
      <c r="F146" s="614"/>
      <c r="G146" s="613"/>
      <c r="H146" s="613"/>
      <c r="I146" s="613"/>
      <c r="J146" s="615"/>
      <c r="K146" s="572"/>
      <c r="L146" s="567"/>
    </row>
    <row r="147" spans="1:12" ht="14.25">
      <c r="A147" s="567"/>
      <c r="B147" s="582"/>
      <c r="C147" s="816" t="s">
        <v>807</v>
      </c>
      <c r="D147" s="816"/>
      <c r="E147" s="632"/>
      <c r="F147" s="611" t="s">
        <v>808</v>
      </c>
      <c r="G147" s="632"/>
      <c r="H147" s="632"/>
      <c r="I147" s="632"/>
      <c r="J147" s="813" t="s">
        <v>809</v>
      </c>
      <c r="K147" s="821"/>
      <c r="L147" s="567"/>
    </row>
    <row r="148" spans="1:12" ht="14.25">
      <c r="A148" s="567"/>
      <c r="B148" s="582"/>
      <c r="C148" s="812">
        <v>52.869</v>
      </c>
      <c r="D148" s="812"/>
      <c r="E148" s="632" t="s">
        <v>148</v>
      </c>
      <c r="F148" s="627">
        <v>312000000</v>
      </c>
      <c r="G148" s="616" t="s">
        <v>749</v>
      </c>
      <c r="H148" s="632">
        <v>1000</v>
      </c>
      <c r="I148" s="632" t="s">
        <v>748</v>
      </c>
      <c r="J148" s="813">
        <f>C148*(F148/1000)</f>
        <v>16495128</v>
      </c>
      <c r="K148" s="814"/>
      <c r="L148" s="567"/>
    </row>
    <row r="149" spans="1:12" ht="15" thickBot="1">
      <c r="A149" s="567"/>
      <c r="B149" s="577"/>
      <c r="C149" s="608"/>
      <c r="D149" s="608"/>
      <c r="E149" s="591"/>
      <c r="F149" s="609"/>
      <c r="G149" s="591"/>
      <c r="H149" s="591"/>
      <c r="I149" s="591"/>
      <c r="J149" s="610"/>
      <c r="K149" s="579"/>
      <c r="L149" s="567"/>
    </row>
    <row r="150" spans="1:12" ht="15" thickBot="1">
      <c r="A150" s="567"/>
      <c r="B150" s="577"/>
      <c r="C150" s="578"/>
      <c r="D150" s="578"/>
      <c r="E150" s="578"/>
      <c r="F150" s="578"/>
      <c r="G150" s="578"/>
      <c r="H150" s="578"/>
      <c r="I150" s="578"/>
      <c r="J150" s="578"/>
      <c r="K150" s="579"/>
      <c r="L150" s="567"/>
    </row>
    <row r="151" spans="1:12" ht="14.25">
      <c r="A151" s="567"/>
      <c r="B151" s="567"/>
      <c r="C151" s="567"/>
      <c r="D151" s="567"/>
      <c r="E151" s="567"/>
      <c r="F151" s="567"/>
      <c r="G151" s="567"/>
      <c r="H151" s="567"/>
      <c r="I151" s="567"/>
      <c r="J151" s="567"/>
      <c r="K151" s="567"/>
      <c r="L151" s="567"/>
    </row>
    <row r="152" spans="1:12" ht="14.25">
      <c r="A152" s="567"/>
      <c r="B152" s="567"/>
      <c r="C152" s="567"/>
      <c r="D152" s="567"/>
      <c r="E152" s="567"/>
      <c r="F152" s="567"/>
      <c r="G152" s="567"/>
      <c r="H152" s="567"/>
      <c r="I152" s="567"/>
      <c r="J152" s="567"/>
      <c r="K152" s="567"/>
      <c r="L152" s="567"/>
    </row>
    <row r="153" spans="1:12" ht="14.25">
      <c r="A153" s="567"/>
      <c r="B153" s="567"/>
      <c r="C153" s="567"/>
      <c r="D153" s="567"/>
      <c r="E153" s="567"/>
      <c r="F153" s="567"/>
      <c r="G153" s="567"/>
      <c r="H153" s="567"/>
      <c r="I153" s="567"/>
      <c r="J153" s="567"/>
      <c r="K153" s="567"/>
      <c r="L153" s="567"/>
    </row>
    <row r="154" spans="1:12" ht="14.25">
      <c r="A154" s="617"/>
      <c r="B154" s="617"/>
      <c r="C154" s="617"/>
      <c r="D154" s="617"/>
      <c r="E154" s="617"/>
      <c r="F154" s="617"/>
      <c r="G154" s="617"/>
      <c r="H154" s="617"/>
      <c r="I154" s="617"/>
      <c r="J154" s="617"/>
      <c r="K154" s="617"/>
      <c r="L154" s="617"/>
    </row>
    <row r="155" spans="1:12" ht="14.25">
      <c r="A155" s="617"/>
      <c r="B155" s="617"/>
      <c r="C155" s="617"/>
      <c r="D155" s="617"/>
      <c r="E155" s="617"/>
      <c r="F155" s="617"/>
      <c r="G155" s="617"/>
      <c r="H155" s="617"/>
      <c r="I155" s="617"/>
      <c r="J155" s="617"/>
      <c r="K155" s="617"/>
      <c r="L155" s="617"/>
    </row>
    <row r="156" spans="1:12" ht="14.25">
      <c r="A156" s="617"/>
      <c r="B156" s="617"/>
      <c r="C156" s="617"/>
      <c r="D156" s="617"/>
      <c r="E156" s="617"/>
      <c r="F156" s="617"/>
      <c r="G156" s="617"/>
      <c r="H156" s="617"/>
      <c r="I156" s="617"/>
      <c r="J156" s="617"/>
      <c r="K156" s="617"/>
      <c r="L156" s="617"/>
    </row>
    <row r="157" spans="1:12" ht="14.25">
      <c r="A157" s="617"/>
      <c r="B157" s="617"/>
      <c r="C157" s="617"/>
      <c r="D157" s="617"/>
      <c r="E157" s="617"/>
      <c r="F157" s="617"/>
      <c r="G157" s="617"/>
      <c r="H157" s="617"/>
      <c r="I157" s="617"/>
      <c r="J157" s="617"/>
      <c r="K157" s="617"/>
      <c r="L157" s="617"/>
    </row>
    <row r="158" spans="1:12" ht="14.25">
      <c r="A158" s="617"/>
      <c r="B158" s="617"/>
      <c r="C158" s="617"/>
      <c r="D158" s="617"/>
      <c r="E158" s="617"/>
      <c r="F158" s="617"/>
      <c r="G158" s="617"/>
      <c r="H158" s="617"/>
      <c r="I158" s="617"/>
      <c r="J158" s="617"/>
      <c r="K158" s="617"/>
      <c r="L158" s="617"/>
    </row>
    <row r="159" spans="1:12" ht="14.25">
      <c r="A159" s="617"/>
      <c r="B159" s="617"/>
      <c r="C159" s="617"/>
      <c r="D159" s="617"/>
      <c r="E159" s="617"/>
      <c r="F159" s="617"/>
      <c r="G159" s="617"/>
      <c r="H159" s="617"/>
      <c r="I159" s="617"/>
      <c r="J159" s="617"/>
      <c r="K159" s="617"/>
      <c r="L159" s="617"/>
    </row>
    <row r="160" spans="1:12" ht="14.25">
      <c r="A160" s="617"/>
      <c r="B160" s="617"/>
      <c r="C160" s="617"/>
      <c r="D160" s="617"/>
      <c r="E160" s="617"/>
      <c r="F160" s="617"/>
      <c r="G160" s="617"/>
      <c r="H160" s="617"/>
      <c r="I160" s="617"/>
      <c r="J160" s="617"/>
      <c r="K160" s="617"/>
      <c r="L160" s="617"/>
    </row>
    <row r="161" spans="1:12" ht="14.25">
      <c r="A161" s="617"/>
      <c r="B161" s="617"/>
      <c r="C161" s="617"/>
      <c r="D161" s="617"/>
      <c r="E161" s="617"/>
      <c r="F161" s="617"/>
      <c r="G161" s="617"/>
      <c r="H161" s="617"/>
      <c r="I161" s="617"/>
      <c r="J161" s="617"/>
      <c r="K161" s="617"/>
      <c r="L161" s="617"/>
    </row>
    <row r="162" spans="1:12" ht="14.25">
      <c r="A162" s="617"/>
      <c r="B162" s="617"/>
      <c r="C162" s="617"/>
      <c r="D162" s="617"/>
      <c r="E162" s="617"/>
      <c r="F162" s="617"/>
      <c r="G162" s="617"/>
      <c r="H162" s="617"/>
      <c r="I162" s="617"/>
      <c r="J162" s="617"/>
      <c r="K162" s="617"/>
      <c r="L162" s="617"/>
    </row>
    <row r="163" spans="1:12" ht="14.25">
      <c r="A163" s="617"/>
      <c r="B163" s="617"/>
      <c r="C163" s="617"/>
      <c r="D163" s="617"/>
      <c r="E163" s="617"/>
      <c r="F163" s="617"/>
      <c r="G163" s="617"/>
      <c r="H163" s="617"/>
      <c r="I163" s="617"/>
      <c r="J163" s="617"/>
      <c r="K163" s="617"/>
      <c r="L163" s="617"/>
    </row>
    <row r="164" spans="1:12" ht="14.25">
      <c r="A164" s="617"/>
      <c r="B164" s="617"/>
      <c r="C164" s="617"/>
      <c r="D164" s="617"/>
      <c r="E164" s="617"/>
      <c r="F164" s="617"/>
      <c r="G164" s="617"/>
      <c r="H164" s="617"/>
      <c r="I164" s="617"/>
      <c r="J164" s="617"/>
      <c r="K164" s="617"/>
      <c r="L164" s="617"/>
    </row>
    <row r="165" spans="1:12" ht="14.25">
      <c r="A165" s="617"/>
      <c r="B165" s="617"/>
      <c r="C165" s="617"/>
      <c r="D165" s="617"/>
      <c r="E165" s="617"/>
      <c r="F165" s="617"/>
      <c r="G165" s="617"/>
      <c r="H165" s="617"/>
      <c r="I165" s="617"/>
      <c r="J165" s="617"/>
      <c r="K165" s="617"/>
      <c r="L165" s="617"/>
    </row>
    <row r="166" spans="1:12" ht="14.25">
      <c r="A166" s="617"/>
      <c r="B166" s="617"/>
      <c r="C166" s="617"/>
      <c r="D166" s="617"/>
      <c r="E166" s="617"/>
      <c r="F166" s="617"/>
      <c r="G166" s="617"/>
      <c r="H166" s="617"/>
      <c r="I166" s="617"/>
      <c r="J166" s="617"/>
      <c r="K166" s="617"/>
      <c r="L166" s="617"/>
    </row>
    <row r="167" spans="1:12" ht="14.25">
      <c r="A167" s="617"/>
      <c r="B167" s="617"/>
      <c r="C167" s="617"/>
      <c r="D167" s="617"/>
      <c r="E167" s="617"/>
      <c r="F167" s="617"/>
      <c r="G167" s="617"/>
      <c r="H167" s="617"/>
      <c r="I167" s="617"/>
      <c r="J167" s="617"/>
      <c r="K167" s="617"/>
      <c r="L167" s="617"/>
    </row>
    <row r="168" spans="1:12" ht="14.25">
      <c r="A168" s="617"/>
      <c r="B168" s="617"/>
      <c r="C168" s="617"/>
      <c r="D168" s="617"/>
      <c r="E168" s="617"/>
      <c r="F168" s="617"/>
      <c r="G168" s="617"/>
      <c r="H168" s="617"/>
      <c r="I168" s="617"/>
      <c r="J168" s="617"/>
      <c r="K168" s="617"/>
      <c r="L168" s="617"/>
    </row>
    <row r="169" spans="1:12" ht="14.25">
      <c r="A169" s="617"/>
      <c r="B169" s="617"/>
      <c r="C169" s="617"/>
      <c r="D169" s="617"/>
      <c r="E169" s="617"/>
      <c r="F169" s="617"/>
      <c r="G169" s="617"/>
      <c r="H169" s="617"/>
      <c r="I169" s="617"/>
      <c r="J169" s="617"/>
      <c r="K169" s="617"/>
      <c r="L169" s="617"/>
    </row>
    <row r="170" spans="1:12" ht="14.25">
      <c r="A170" s="617"/>
      <c r="B170" s="617"/>
      <c r="C170" s="617"/>
      <c r="D170" s="617"/>
      <c r="E170" s="617"/>
      <c r="F170" s="617"/>
      <c r="G170" s="617"/>
      <c r="H170" s="617"/>
      <c r="I170" s="617"/>
      <c r="J170" s="617"/>
      <c r="K170" s="617"/>
      <c r="L170" s="617"/>
    </row>
    <row r="171" spans="1:12" ht="14.25">
      <c r="A171" s="617"/>
      <c r="B171" s="617"/>
      <c r="C171" s="617"/>
      <c r="D171" s="617"/>
      <c r="E171" s="617"/>
      <c r="F171" s="617"/>
      <c r="G171" s="617"/>
      <c r="H171" s="617"/>
      <c r="I171" s="617"/>
      <c r="J171" s="617"/>
      <c r="K171" s="617"/>
      <c r="L171" s="617"/>
    </row>
    <row r="172" spans="1:12" ht="14.25">
      <c r="A172" s="617"/>
      <c r="B172" s="617"/>
      <c r="C172" s="617"/>
      <c r="D172" s="617"/>
      <c r="E172" s="617"/>
      <c r="F172" s="617"/>
      <c r="G172" s="617"/>
      <c r="H172" s="617"/>
      <c r="I172" s="617"/>
      <c r="J172" s="617"/>
      <c r="K172" s="617"/>
      <c r="L172" s="617"/>
    </row>
    <row r="173" spans="1:12" ht="14.25">
      <c r="A173" s="617"/>
      <c r="B173" s="617"/>
      <c r="C173" s="617"/>
      <c r="D173" s="617"/>
      <c r="E173" s="617"/>
      <c r="F173" s="617"/>
      <c r="G173" s="617"/>
      <c r="H173" s="617"/>
      <c r="I173" s="617"/>
      <c r="J173" s="617"/>
      <c r="K173" s="617"/>
      <c r="L173" s="617"/>
    </row>
    <row r="174" spans="1:12" ht="14.25">
      <c r="A174" s="617"/>
      <c r="B174" s="617"/>
      <c r="C174" s="617"/>
      <c r="D174" s="617"/>
      <c r="E174" s="617"/>
      <c r="F174" s="617"/>
      <c r="G174" s="617"/>
      <c r="H174" s="617"/>
      <c r="I174" s="617"/>
      <c r="J174" s="617"/>
      <c r="K174" s="617"/>
      <c r="L174" s="617"/>
    </row>
    <row r="175" spans="1:12" ht="14.25">
      <c r="A175" s="617"/>
      <c r="B175" s="617"/>
      <c r="C175" s="617"/>
      <c r="D175" s="617"/>
      <c r="E175" s="617"/>
      <c r="F175" s="617"/>
      <c r="G175" s="617"/>
      <c r="H175" s="617"/>
      <c r="I175" s="617"/>
      <c r="J175" s="617"/>
      <c r="K175" s="617"/>
      <c r="L175" s="617"/>
    </row>
    <row r="176" spans="1:12" ht="14.25">
      <c r="A176" s="617"/>
      <c r="B176" s="617"/>
      <c r="C176" s="617"/>
      <c r="D176" s="617"/>
      <c r="E176" s="617"/>
      <c r="F176" s="617"/>
      <c r="G176" s="617"/>
      <c r="H176" s="617"/>
      <c r="I176" s="617"/>
      <c r="J176" s="617"/>
      <c r="K176" s="617"/>
      <c r="L176" s="617"/>
    </row>
    <row r="177" spans="1:12" ht="14.25">
      <c r="A177" s="617"/>
      <c r="B177" s="617"/>
      <c r="C177" s="617"/>
      <c r="D177" s="617"/>
      <c r="E177" s="617"/>
      <c r="F177" s="617"/>
      <c r="G177" s="617"/>
      <c r="H177" s="617"/>
      <c r="I177" s="617"/>
      <c r="J177" s="617"/>
      <c r="K177" s="617"/>
      <c r="L177" s="617"/>
    </row>
    <row r="178" spans="1:12" ht="14.25">
      <c r="A178" s="617"/>
      <c r="B178" s="617"/>
      <c r="C178" s="617"/>
      <c r="D178" s="617"/>
      <c r="E178" s="617"/>
      <c r="F178" s="617"/>
      <c r="G178" s="617"/>
      <c r="H178" s="617"/>
      <c r="I178" s="617"/>
      <c r="J178" s="617"/>
      <c r="K178" s="617"/>
      <c r="L178" s="617"/>
    </row>
    <row r="179" spans="1:12" ht="14.25">
      <c r="A179" s="617"/>
      <c r="B179" s="617"/>
      <c r="C179" s="617"/>
      <c r="D179" s="617"/>
      <c r="E179" s="617"/>
      <c r="F179" s="617"/>
      <c r="G179" s="617"/>
      <c r="H179" s="617"/>
      <c r="I179" s="617"/>
      <c r="J179" s="617"/>
      <c r="K179" s="617"/>
      <c r="L179" s="617"/>
    </row>
    <row r="180" spans="1:12" ht="14.25">
      <c r="A180" s="617"/>
      <c r="B180" s="617"/>
      <c r="C180" s="617"/>
      <c r="D180" s="617"/>
      <c r="E180" s="617"/>
      <c r="F180" s="617"/>
      <c r="G180" s="617"/>
      <c r="H180" s="617"/>
      <c r="I180" s="617"/>
      <c r="J180" s="617"/>
      <c r="K180" s="617"/>
      <c r="L180" s="617"/>
    </row>
    <row r="181" spans="1:12" ht="14.25">
      <c r="A181" s="617"/>
      <c r="B181" s="617"/>
      <c r="C181" s="617"/>
      <c r="D181" s="617"/>
      <c r="E181" s="617"/>
      <c r="F181" s="617"/>
      <c r="G181" s="617"/>
      <c r="H181" s="617"/>
      <c r="I181" s="617"/>
      <c r="J181" s="617"/>
      <c r="K181" s="617"/>
      <c r="L181" s="617"/>
    </row>
    <row r="182" spans="1:12" ht="14.25">
      <c r="A182" s="617"/>
      <c r="B182" s="617"/>
      <c r="C182" s="617"/>
      <c r="D182" s="617"/>
      <c r="E182" s="617"/>
      <c r="F182" s="617"/>
      <c r="G182" s="617"/>
      <c r="H182" s="617"/>
      <c r="I182" s="617"/>
      <c r="J182" s="617"/>
      <c r="K182" s="617"/>
      <c r="L182" s="617"/>
    </row>
    <row r="183" spans="1:12" ht="14.25">
      <c r="A183" s="617"/>
      <c r="B183" s="617"/>
      <c r="C183" s="617"/>
      <c r="D183" s="617"/>
      <c r="E183" s="617"/>
      <c r="F183" s="617"/>
      <c r="G183" s="617"/>
      <c r="H183" s="617"/>
      <c r="I183" s="617"/>
      <c r="J183" s="617"/>
      <c r="K183" s="617"/>
      <c r="L183" s="617"/>
    </row>
    <row r="184" spans="1:12" ht="14.25">
      <c r="A184" s="617"/>
      <c r="B184" s="617"/>
      <c r="C184" s="617"/>
      <c r="D184" s="617"/>
      <c r="E184" s="617"/>
      <c r="F184" s="617"/>
      <c r="G184" s="617"/>
      <c r="H184" s="617"/>
      <c r="I184" s="617"/>
      <c r="J184" s="617"/>
      <c r="K184" s="617"/>
      <c r="L184" s="617"/>
    </row>
    <row r="185" spans="1:12" ht="14.25">
      <c r="A185" s="617"/>
      <c r="B185" s="617"/>
      <c r="C185" s="617"/>
      <c r="D185" s="617"/>
      <c r="E185" s="617"/>
      <c r="F185" s="617"/>
      <c r="G185" s="617"/>
      <c r="H185" s="617"/>
      <c r="I185" s="617"/>
      <c r="J185" s="617"/>
      <c r="K185" s="617"/>
      <c r="L185" s="617"/>
    </row>
    <row r="186" spans="1:12" ht="14.25">
      <c r="A186" s="617"/>
      <c r="B186" s="617"/>
      <c r="C186" s="617"/>
      <c r="D186" s="617"/>
      <c r="E186" s="617"/>
      <c r="F186" s="617"/>
      <c r="G186" s="617"/>
      <c r="H186" s="617"/>
      <c r="I186" s="617"/>
      <c r="J186" s="617"/>
      <c r="K186" s="617"/>
      <c r="L186" s="617"/>
    </row>
    <row r="187" spans="1:12" ht="14.25">
      <c r="A187" s="617"/>
      <c r="B187" s="617"/>
      <c r="C187" s="617"/>
      <c r="D187" s="617"/>
      <c r="E187" s="617"/>
      <c r="F187" s="617"/>
      <c r="G187" s="617"/>
      <c r="H187" s="617"/>
      <c r="I187" s="617"/>
      <c r="J187" s="617"/>
      <c r="K187" s="617"/>
      <c r="L187" s="617"/>
    </row>
    <row r="188" spans="1:12" ht="14.25">
      <c r="A188" s="617"/>
      <c r="B188" s="617"/>
      <c r="C188" s="617"/>
      <c r="D188" s="617"/>
      <c r="E188" s="617"/>
      <c r="F188" s="617"/>
      <c r="G188" s="617"/>
      <c r="H188" s="617"/>
      <c r="I188" s="617"/>
      <c r="J188" s="617"/>
      <c r="K188" s="617"/>
      <c r="L188" s="617"/>
    </row>
    <row r="189" spans="1:12" ht="14.25">
      <c r="A189" s="617"/>
      <c r="B189" s="617"/>
      <c r="C189" s="617"/>
      <c r="D189" s="617"/>
      <c r="E189" s="617"/>
      <c r="F189" s="617"/>
      <c r="G189" s="617"/>
      <c r="H189" s="617"/>
      <c r="I189" s="617"/>
      <c r="J189" s="617"/>
      <c r="K189" s="617"/>
      <c r="L189" s="617"/>
    </row>
    <row r="190" spans="1:12" ht="14.25">
      <c r="A190" s="617"/>
      <c r="B190" s="617"/>
      <c r="C190" s="617"/>
      <c r="D190" s="617"/>
      <c r="E190" s="617"/>
      <c r="F190" s="617"/>
      <c r="G190" s="617"/>
      <c r="H190" s="617"/>
      <c r="I190" s="617"/>
      <c r="J190" s="617"/>
      <c r="K190" s="617"/>
      <c r="L190" s="617"/>
    </row>
    <row r="191" spans="1:12" ht="14.25">
      <c r="A191" s="617"/>
      <c r="B191" s="617"/>
      <c r="C191" s="617"/>
      <c r="D191" s="617"/>
      <c r="E191" s="617"/>
      <c r="F191" s="617"/>
      <c r="G191" s="617"/>
      <c r="H191" s="617"/>
      <c r="I191" s="617"/>
      <c r="J191" s="617"/>
      <c r="K191" s="617"/>
      <c r="L191" s="617"/>
    </row>
    <row r="192" spans="1:12" ht="14.25">
      <c r="A192" s="617"/>
      <c r="B192" s="617"/>
      <c r="C192" s="617"/>
      <c r="D192" s="617"/>
      <c r="E192" s="617"/>
      <c r="F192" s="617"/>
      <c r="G192" s="617"/>
      <c r="H192" s="617"/>
      <c r="I192" s="617"/>
      <c r="J192" s="617"/>
      <c r="K192" s="617"/>
      <c r="L192" s="617"/>
    </row>
    <row r="193" spans="1:12" ht="14.25">
      <c r="A193" s="617"/>
      <c r="B193" s="617"/>
      <c r="C193" s="617"/>
      <c r="D193" s="617"/>
      <c r="E193" s="617"/>
      <c r="F193" s="617"/>
      <c r="G193" s="617"/>
      <c r="H193" s="617"/>
      <c r="I193" s="617"/>
      <c r="J193" s="617"/>
      <c r="K193" s="617"/>
      <c r="L193" s="617"/>
    </row>
    <row r="194" spans="1:12" ht="14.25">
      <c r="A194" s="617"/>
      <c r="B194" s="617"/>
      <c r="C194" s="617"/>
      <c r="D194" s="617"/>
      <c r="E194" s="617"/>
      <c r="F194" s="617"/>
      <c r="G194" s="617"/>
      <c r="H194" s="617"/>
      <c r="I194" s="617"/>
      <c r="J194" s="617"/>
      <c r="K194" s="617"/>
      <c r="L194" s="617"/>
    </row>
    <row r="195" spans="1:12" ht="14.25">
      <c r="A195" s="617"/>
      <c r="B195" s="617"/>
      <c r="C195" s="617"/>
      <c r="D195" s="617"/>
      <c r="E195" s="617"/>
      <c r="F195" s="617"/>
      <c r="G195" s="617"/>
      <c r="H195" s="617"/>
      <c r="I195" s="617"/>
      <c r="J195" s="617"/>
      <c r="K195" s="617"/>
      <c r="L195" s="617"/>
    </row>
    <row r="196" spans="1:12" ht="14.25">
      <c r="A196" s="617"/>
      <c r="B196" s="617"/>
      <c r="C196" s="617"/>
      <c r="D196" s="617"/>
      <c r="E196" s="617"/>
      <c r="F196" s="617"/>
      <c r="G196" s="617"/>
      <c r="H196" s="617"/>
      <c r="I196" s="617"/>
      <c r="J196" s="617"/>
      <c r="K196" s="617"/>
      <c r="L196" s="617"/>
    </row>
    <row r="197" spans="1:12" ht="14.25">
      <c r="A197" s="617"/>
      <c r="B197" s="617"/>
      <c r="C197" s="617"/>
      <c r="D197" s="617"/>
      <c r="E197" s="617"/>
      <c r="F197" s="617"/>
      <c r="G197" s="617"/>
      <c r="H197" s="617"/>
      <c r="I197" s="617"/>
      <c r="J197" s="617"/>
      <c r="K197" s="617"/>
      <c r="L197" s="617"/>
    </row>
    <row r="198" spans="1:12" ht="14.25">
      <c r="A198" s="617"/>
      <c r="B198" s="617"/>
      <c r="C198" s="617"/>
      <c r="D198" s="617"/>
      <c r="E198" s="617"/>
      <c r="F198" s="617"/>
      <c r="G198" s="617"/>
      <c r="H198" s="617"/>
      <c r="I198" s="617"/>
      <c r="J198" s="617"/>
      <c r="K198" s="617"/>
      <c r="L198" s="617"/>
    </row>
    <row r="199" spans="1:12" ht="14.25">
      <c r="A199" s="617"/>
      <c r="B199" s="617"/>
      <c r="C199" s="617"/>
      <c r="D199" s="617"/>
      <c r="E199" s="617"/>
      <c r="F199" s="617"/>
      <c r="G199" s="617"/>
      <c r="H199" s="617"/>
      <c r="I199" s="617"/>
      <c r="J199" s="617"/>
      <c r="K199" s="617"/>
      <c r="L199" s="617"/>
    </row>
    <row r="200" spans="1:12" ht="14.25">
      <c r="A200" s="617"/>
      <c r="B200" s="617"/>
      <c r="C200" s="617"/>
      <c r="D200" s="617"/>
      <c r="E200" s="617"/>
      <c r="F200" s="617"/>
      <c r="G200" s="617"/>
      <c r="H200" s="617"/>
      <c r="I200" s="617"/>
      <c r="J200" s="617"/>
      <c r="K200" s="617"/>
      <c r="L200" s="617"/>
    </row>
    <row r="201" spans="1:12" ht="14.25">
      <c r="A201" s="617"/>
      <c r="B201" s="617"/>
      <c r="C201" s="617"/>
      <c r="D201" s="617"/>
      <c r="E201" s="617"/>
      <c r="F201" s="617"/>
      <c r="G201" s="617"/>
      <c r="H201" s="617"/>
      <c r="I201" s="617"/>
      <c r="J201" s="617"/>
      <c r="K201" s="617"/>
      <c r="L201" s="617"/>
    </row>
    <row r="202" spans="1:12" ht="14.25">
      <c r="A202" s="617"/>
      <c r="B202" s="617"/>
      <c r="C202" s="617"/>
      <c r="D202" s="617"/>
      <c r="E202" s="617"/>
      <c r="F202" s="617"/>
      <c r="G202" s="617"/>
      <c r="H202" s="617"/>
      <c r="I202" s="617"/>
      <c r="J202" s="617"/>
      <c r="K202" s="617"/>
      <c r="L202" s="617"/>
    </row>
    <row r="203" spans="1:12" ht="14.25">
      <c r="A203" s="617"/>
      <c r="B203" s="617"/>
      <c r="C203" s="617"/>
      <c r="D203" s="617"/>
      <c r="E203" s="617"/>
      <c r="F203" s="617"/>
      <c r="G203" s="617"/>
      <c r="H203" s="617"/>
      <c r="I203" s="617"/>
      <c r="J203" s="617"/>
      <c r="K203" s="617"/>
      <c r="L203" s="617"/>
    </row>
    <row r="204" spans="1:12" ht="14.25">
      <c r="A204" s="617"/>
      <c r="B204" s="617"/>
      <c r="C204" s="617"/>
      <c r="D204" s="617"/>
      <c r="E204" s="617"/>
      <c r="F204" s="617"/>
      <c r="G204" s="617"/>
      <c r="H204" s="617"/>
      <c r="I204" s="617"/>
      <c r="J204" s="617"/>
      <c r="K204" s="617"/>
      <c r="L204" s="617"/>
    </row>
    <row r="205" spans="1:12" ht="14.25">
      <c r="A205" s="617"/>
      <c r="B205" s="617"/>
      <c r="C205" s="617"/>
      <c r="D205" s="617"/>
      <c r="E205" s="617"/>
      <c r="F205" s="617"/>
      <c r="G205" s="617"/>
      <c r="H205" s="617"/>
      <c r="I205" s="617"/>
      <c r="J205" s="617"/>
      <c r="K205" s="617"/>
      <c r="L205" s="617"/>
    </row>
    <row r="206" spans="1:12" ht="14.25">
      <c r="A206" s="617"/>
      <c r="B206" s="617"/>
      <c r="C206" s="617"/>
      <c r="D206" s="617"/>
      <c r="E206" s="617"/>
      <c r="F206" s="617"/>
      <c r="G206" s="617"/>
      <c r="H206" s="617"/>
      <c r="I206" s="617"/>
      <c r="J206" s="617"/>
      <c r="K206" s="617"/>
      <c r="L206" s="617"/>
    </row>
    <row r="207" spans="1:12" ht="14.25">
      <c r="A207" s="617"/>
      <c r="B207" s="617"/>
      <c r="C207" s="617"/>
      <c r="D207" s="617"/>
      <c r="E207" s="617"/>
      <c r="F207" s="617"/>
      <c r="G207" s="617"/>
      <c r="H207" s="617"/>
      <c r="I207" s="617"/>
      <c r="J207" s="617"/>
      <c r="K207" s="617"/>
      <c r="L207" s="617"/>
    </row>
    <row r="208" spans="1:12" ht="14.25">
      <c r="A208" s="617"/>
      <c r="B208" s="617"/>
      <c r="C208" s="617"/>
      <c r="D208" s="617"/>
      <c r="E208" s="617"/>
      <c r="F208" s="617"/>
      <c r="G208" s="617"/>
      <c r="H208" s="617"/>
      <c r="I208" s="617"/>
      <c r="J208" s="617"/>
      <c r="K208" s="617"/>
      <c r="L208" s="617"/>
    </row>
    <row r="209" spans="1:12" ht="14.25">
      <c r="A209" s="617"/>
      <c r="B209" s="617"/>
      <c r="C209" s="617"/>
      <c r="D209" s="617"/>
      <c r="E209" s="617"/>
      <c r="F209" s="617"/>
      <c r="G209" s="617"/>
      <c r="H209" s="617"/>
      <c r="I209" s="617"/>
      <c r="J209" s="617"/>
      <c r="K209" s="617"/>
      <c r="L209" s="617"/>
    </row>
    <row r="210" spans="1:12" ht="14.25">
      <c r="A210" s="617"/>
      <c r="B210" s="617"/>
      <c r="C210" s="617"/>
      <c r="D210" s="617"/>
      <c r="E210" s="617"/>
      <c r="F210" s="617"/>
      <c r="G210" s="617"/>
      <c r="H210" s="617"/>
      <c r="I210" s="617"/>
      <c r="J210" s="617"/>
      <c r="K210" s="617"/>
      <c r="L210" s="617"/>
    </row>
    <row r="211" spans="1:12" ht="14.25">
      <c r="A211" s="617"/>
      <c r="B211" s="617"/>
      <c r="C211" s="617"/>
      <c r="D211" s="617"/>
      <c r="E211" s="617"/>
      <c r="F211" s="617"/>
      <c r="G211" s="617"/>
      <c r="H211" s="617"/>
      <c r="I211" s="617"/>
      <c r="J211" s="617"/>
      <c r="K211" s="617"/>
      <c r="L211" s="617"/>
    </row>
    <row r="212" spans="1:12" ht="14.25">
      <c r="A212" s="617"/>
      <c r="B212" s="617"/>
      <c r="C212" s="617"/>
      <c r="D212" s="617"/>
      <c r="E212" s="617"/>
      <c r="F212" s="617"/>
      <c r="G212" s="617"/>
      <c r="H212" s="617"/>
      <c r="I212" s="617"/>
      <c r="J212" s="617"/>
      <c r="K212" s="617"/>
      <c r="L212" s="617"/>
    </row>
    <row r="213" spans="1:12" ht="14.25">
      <c r="A213" s="617"/>
      <c r="B213" s="617"/>
      <c r="C213" s="617"/>
      <c r="D213" s="617"/>
      <c r="E213" s="617"/>
      <c r="F213" s="617"/>
      <c r="G213" s="617"/>
      <c r="H213" s="617"/>
      <c r="I213" s="617"/>
      <c r="J213" s="617"/>
      <c r="K213" s="617"/>
      <c r="L213" s="617"/>
    </row>
    <row r="214" spans="1:12" ht="14.25">
      <c r="A214" s="617"/>
      <c r="B214" s="617"/>
      <c r="C214" s="617"/>
      <c r="D214" s="617"/>
      <c r="E214" s="617"/>
      <c r="F214" s="617"/>
      <c r="G214" s="617"/>
      <c r="H214" s="617"/>
      <c r="I214" s="617"/>
      <c r="J214" s="617"/>
      <c r="K214" s="617"/>
      <c r="L214" s="617"/>
    </row>
    <row r="215" spans="1:12" ht="14.25">
      <c r="A215" s="617"/>
      <c r="B215" s="617"/>
      <c r="C215" s="617"/>
      <c r="D215" s="617"/>
      <c r="E215" s="617"/>
      <c r="F215" s="617"/>
      <c r="G215" s="617"/>
      <c r="H215" s="617"/>
      <c r="I215" s="617"/>
      <c r="J215" s="617"/>
      <c r="K215" s="617"/>
      <c r="L215" s="617"/>
    </row>
    <row r="216" spans="1:12" ht="14.25">
      <c r="A216" s="617"/>
      <c r="B216" s="617"/>
      <c r="C216" s="617"/>
      <c r="D216" s="617"/>
      <c r="E216" s="617"/>
      <c r="F216" s="617"/>
      <c r="G216" s="617"/>
      <c r="H216" s="617"/>
      <c r="I216" s="617"/>
      <c r="J216" s="617"/>
      <c r="K216" s="617"/>
      <c r="L216" s="617"/>
    </row>
    <row r="217" spans="1:12" ht="14.25">
      <c r="A217" s="617"/>
      <c r="B217" s="617"/>
      <c r="C217" s="617"/>
      <c r="D217" s="617"/>
      <c r="E217" s="617"/>
      <c r="F217" s="617"/>
      <c r="G217" s="617"/>
      <c r="H217" s="617"/>
      <c r="I217" s="617"/>
      <c r="J217" s="617"/>
      <c r="K217" s="617"/>
      <c r="L217" s="617"/>
    </row>
    <row r="218" spans="1:12" ht="14.25">
      <c r="A218" s="617"/>
      <c r="B218" s="617"/>
      <c r="C218" s="617"/>
      <c r="D218" s="617"/>
      <c r="E218" s="617"/>
      <c r="F218" s="617"/>
      <c r="G218" s="617"/>
      <c r="H218" s="617"/>
      <c r="I218" s="617"/>
      <c r="J218" s="617"/>
      <c r="K218" s="617"/>
      <c r="L218" s="617"/>
    </row>
    <row r="219" spans="1:12" ht="14.25">
      <c r="A219" s="617"/>
      <c r="B219" s="617"/>
      <c r="C219" s="617"/>
      <c r="D219" s="617"/>
      <c r="E219" s="617"/>
      <c r="F219" s="617"/>
      <c r="G219" s="617"/>
      <c r="H219" s="617"/>
      <c r="I219" s="617"/>
      <c r="J219" s="617"/>
      <c r="K219" s="617"/>
      <c r="L219" s="617"/>
    </row>
    <row r="220" spans="1:12" ht="14.25">
      <c r="A220" s="617"/>
      <c r="B220" s="617"/>
      <c r="C220" s="617"/>
      <c r="D220" s="617"/>
      <c r="E220" s="617"/>
      <c r="F220" s="617"/>
      <c r="G220" s="617"/>
      <c r="H220" s="617"/>
      <c r="I220" s="617"/>
      <c r="J220" s="617"/>
      <c r="K220" s="617"/>
      <c r="L220" s="617"/>
    </row>
    <row r="221" spans="1:12" ht="14.25">
      <c r="A221" s="617"/>
      <c r="B221" s="617"/>
      <c r="C221" s="617"/>
      <c r="D221" s="617"/>
      <c r="E221" s="617"/>
      <c r="F221" s="617"/>
      <c r="G221" s="617"/>
      <c r="H221" s="617"/>
      <c r="I221" s="617"/>
      <c r="J221" s="617"/>
      <c r="K221" s="617"/>
      <c r="L221" s="617"/>
    </row>
    <row r="222" spans="1:12" ht="14.25">
      <c r="A222" s="617"/>
      <c r="B222" s="617"/>
      <c r="C222" s="617"/>
      <c r="D222" s="617"/>
      <c r="E222" s="617"/>
      <c r="F222" s="617"/>
      <c r="G222" s="617"/>
      <c r="H222" s="617"/>
      <c r="I222" s="617"/>
      <c r="J222" s="617"/>
      <c r="K222" s="617"/>
      <c r="L222" s="617"/>
    </row>
    <row r="223" spans="1:12" ht="14.25">
      <c r="A223" s="617"/>
      <c r="B223" s="617"/>
      <c r="C223" s="617"/>
      <c r="D223" s="617"/>
      <c r="E223" s="617"/>
      <c r="F223" s="617"/>
      <c r="G223" s="617"/>
      <c r="H223" s="617"/>
      <c r="I223" s="617"/>
      <c r="J223" s="617"/>
      <c r="K223" s="617"/>
      <c r="L223" s="617"/>
    </row>
    <row r="224" spans="1:12" ht="14.25">
      <c r="A224" s="617"/>
      <c r="B224" s="617"/>
      <c r="C224" s="617"/>
      <c r="D224" s="617"/>
      <c r="E224" s="617"/>
      <c r="F224" s="617"/>
      <c r="G224" s="617"/>
      <c r="H224" s="617"/>
      <c r="I224" s="617"/>
      <c r="J224" s="617"/>
      <c r="K224" s="617"/>
      <c r="L224" s="617"/>
    </row>
    <row r="225" spans="1:12" ht="14.25">
      <c r="A225" s="617"/>
      <c r="B225" s="617"/>
      <c r="C225" s="617"/>
      <c r="D225" s="617"/>
      <c r="E225" s="617"/>
      <c r="F225" s="617"/>
      <c r="G225" s="617"/>
      <c r="H225" s="617"/>
      <c r="I225" s="617"/>
      <c r="J225" s="617"/>
      <c r="K225" s="617"/>
      <c r="L225" s="617"/>
    </row>
    <row r="226" spans="1:12" ht="14.25">
      <c r="A226" s="617"/>
      <c r="B226" s="617"/>
      <c r="C226" s="617"/>
      <c r="D226" s="617"/>
      <c r="E226" s="617"/>
      <c r="F226" s="617"/>
      <c r="G226" s="617"/>
      <c r="H226" s="617"/>
      <c r="I226" s="617"/>
      <c r="J226" s="617"/>
      <c r="K226" s="617"/>
      <c r="L226" s="617"/>
    </row>
    <row r="227" spans="1:12" ht="14.25">
      <c r="A227" s="617"/>
      <c r="B227" s="617"/>
      <c r="C227" s="617"/>
      <c r="D227" s="617"/>
      <c r="E227" s="617"/>
      <c r="F227" s="617"/>
      <c r="G227" s="617"/>
      <c r="H227" s="617"/>
      <c r="I227" s="617"/>
      <c r="J227" s="617"/>
      <c r="K227" s="617"/>
      <c r="L227" s="617"/>
    </row>
    <row r="228" spans="1:12" ht="14.25">
      <c r="A228" s="617"/>
      <c r="B228" s="617"/>
      <c r="C228" s="617"/>
      <c r="D228" s="617"/>
      <c r="E228" s="617"/>
      <c r="F228" s="617"/>
      <c r="G228" s="617"/>
      <c r="H228" s="617"/>
      <c r="I228" s="617"/>
      <c r="J228" s="617"/>
      <c r="K228" s="617"/>
      <c r="L228" s="617"/>
    </row>
    <row r="229" spans="1:12" ht="14.25">
      <c r="A229" s="617"/>
      <c r="B229" s="617"/>
      <c r="C229" s="617"/>
      <c r="D229" s="617"/>
      <c r="E229" s="617"/>
      <c r="F229" s="617"/>
      <c r="G229" s="617"/>
      <c r="H229" s="617"/>
      <c r="I229" s="617"/>
      <c r="J229" s="617"/>
      <c r="K229" s="617"/>
      <c r="L229" s="617"/>
    </row>
    <row r="230" spans="1:12" ht="14.25">
      <c r="A230" s="617"/>
      <c r="B230" s="617"/>
      <c r="C230" s="617"/>
      <c r="D230" s="617"/>
      <c r="E230" s="617"/>
      <c r="F230" s="617"/>
      <c r="G230" s="617"/>
      <c r="H230" s="617"/>
      <c r="I230" s="617"/>
      <c r="J230" s="617"/>
      <c r="K230" s="617"/>
      <c r="L230" s="617"/>
    </row>
    <row r="231" spans="1:12" ht="14.25">
      <c r="A231" s="617"/>
      <c r="B231" s="617"/>
      <c r="C231" s="617"/>
      <c r="D231" s="617"/>
      <c r="E231" s="617"/>
      <c r="F231" s="617"/>
      <c r="G231" s="617"/>
      <c r="H231" s="617"/>
      <c r="I231" s="617"/>
      <c r="J231" s="617"/>
      <c r="K231" s="617"/>
      <c r="L231" s="617"/>
    </row>
    <row r="232" spans="1:12" ht="14.25">
      <c r="A232" s="617"/>
      <c r="B232" s="617"/>
      <c r="C232" s="617"/>
      <c r="D232" s="617"/>
      <c r="E232" s="617"/>
      <c r="F232" s="617"/>
      <c r="G232" s="617"/>
      <c r="H232" s="617"/>
      <c r="I232" s="617"/>
      <c r="J232" s="617"/>
      <c r="K232" s="617"/>
      <c r="L232" s="617"/>
    </row>
    <row r="233" spans="1:12" ht="14.25">
      <c r="A233" s="617"/>
      <c r="B233" s="617"/>
      <c r="C233" s="617"/>
      <c r="D233" s="617"/>
      <c r="E233" s="617"/>
      <c r="F233" s="617"/>
      <c r="G233" s="617"/>
      <c r="H233" s="617"/>
      <c r="I233" s="617"/>
      <c r="J233" s="617"/>
      <c r="K233" s="617"/>
      <c r="L233" s="617"/>
    </row>
    <row r="234" spans="1:12" ht="14.25">
      <c r="A234" s="617"/>
      <c r="B234" s="617"/>
      <c r="C234" s="617"/>
      <c r="D234" s="617"/>
      <c r="E234" s="617"/>
      <c r="F234" s="617"/>
      <c r="G234" s="617"/>
      <c r="H234" s="617"/>
      <c r="I234" s="617"/>
      <c r="J234" s="617"/>
      <c r="K234" s="617"/>
      <c r="L234" s="617"/>
    </row>
    <row r="235" spans="1:12" ht="14.25">
      <c r="A235" s="617"/>
      <c r="B235" s="617"/>
      <c r="C235" s="617"/>
      <c r="D235" s="617"/>
      <c r="E235" s="617"/>
      <c r="F235" s="617"/>
      <c r="G235" s="617"/>
      <c r="H235" s="617"/>
      <c r="I235" s="617"/>
      <c r="J235" s="617"/>
      <c r="K235" s="617"/>
      <c r="L235" s="617"/>
    </row>
    <row r="236" spans="1:12" ht="14.25">
      <c r="A236" s="617"/>
      <c r="B236" s="617"/>
      <c r="C236" s="617"/>
      <c r="D236" s="617"/>
      <c r="E236" s="617"/>
      <c r="F236" s="617"/>
      <c r="G236" s="617"/>
      <c r="H236" s="617"/>
      <c r="I236" s="617"/>
      <c r="J236" s="617"/>
      <c r="K236" s="617"/>
      <c r="L236" s="617"/>
    </row>
    <row r="237" spans="1:12" ht="14.25">
      <c r="A237" s="617"/>
      <c r="B237" s="617"/>
      <c r="C237" s="617"/>
      <c r="D237" s="617"/>
      <c r="E237" s="617"/>
      <c r="F237" s="617"/>
      <c r="G237" s="617"/>
      <c r="H237" s="617"/>
      <c r="I237" s="617"/>
      <c r="J237" s="617"/>
      <c r="K237" s="617"/>
      <c r="L237" s="617"/>
    </row>
    <row r="238" spans="1:12" ht="14.25">
      <c r="A238" s="617"/>
      <c r="B238" s="617"/>
      <c r="C238" s="617"/>
      <c r="D238" s="617"/>
      <c r="E238" s="617"/>
      <c r="F238" s="617"/>
      <c r="G238" s="617"/>
      <c r="H238" s="617"/>
      <c r="I238" s="617"/>
      <c r="J238" s="617"/>
      <c r="K238" s="617"/>
      <c r="L238" s="617"/>
    </row>
    <row r="239" spans="1:12" ht="14.25">
      <c r="A239" s="617"/>
      <c r="B239" s="617"/>
      <c r="C239" s="617"/>
      <c r="D239" s="617"/>
      <c r="E239" s="617"/>
      <c r="F239" s="617"/>
      <c r="G239" s="617"/>
      <c r="H239" s="617"/>
      <c r="I239" s="617"/>
      <c r="J239" s="617"/>
      <c r="K239" s="617"/>
      <c r="L239" s="617"/>
    </row>
    <row r="240" spans="1:12" ht="14.25">
      <c r="A240" s="617"/>
      <c r="B240" s="617"/>
      <c r="C240" s="617"/>
      <c r="D240" s="617"/>
      <c r="E240" s="617"/>
      <c r="F240" s="617"/>
      <c r="G240" s="617"/>
      <c r="H240" s="617"/>
      <c r="I240" s="617"/>
      <c r="J240" s="617"/>
      <c r="K240" s="617"/>
      <c r="L240" s="617"/>
    </row>
    <row r="241" spans="1:12" ht="14.25">
      <c r="A241" s="617"/>
      <c r="B241" s="617"/>
      <c r="C241" s="617"/>
      <c r="D241" s="617"/>
      <c r="E241" s="617"/>
      <c r="F241" s="617"/>
      <c r="G241" s="617"/>
      <c r="H241" s="617"/>
      <c r="I241" s="617"/>
      <c r="J241" s="617"/>
      <c r="K241" s="617"/>
      <c r="L241" s="617"/>
    </row>
    <row r="242" spans="1:12" ht="14.25">
      <c r="A242" s="617"/>
      <c r="B242" s="617"/>
      <c r="C242" s="617"/>
      <c r="D242" s="617"/>
      <c r="E242" s="617"/>
      <c r="F242" s="617"/>
      <c r="G242" s="617"/>
      <c r="H242" s="617"/>
      <c r="I242" s="617"/>
      <c r="J242" s="617"/>
      <c r="K242" s="617"/>
      <c r="L242" s="617"/>
    </row>
    <row r="243" spans="1:12" ht="14.25">
      <c r="A243" s="617"/>
      <c r="B243" s="617"/>
      <c r="C243" s="617"/>
      <c r="D243" s="617"/>
      <c r="E243" s="617"/>
      <c r="F243" s="617"/>
      <c r="G243" s="617"/>
      <c r="H243" s="617"/>
      <c r="I243" s="617"/>
      <c r="J243" s="617"/>
      <c r="K243" s="617"/>
      <c r="L243" s="617"/>
    </row>
    <row r="244" spans="1:12" ht="14.25">
      <c r="A244" s="617"/>
      <c r="B244" s="617"/>
      <c r="C244" s="617"/>
      <c r="D244" s="617"/>
      <c r="E244" s="617"/>
      <c r="F244" s="617"/>
      <c r="G244" s="617"/>
      <c r="H244" s="617"/>
      <c r="I244" s="617"/>
      <c r="J244" s="617"/>
      <c r="K244" s="617"/>
      <c r="L244" s="617"/>
    </row>
    <row r="245" spans="1:12" ht="14.25">
      <c r="A245" s="617"/>
      <c r="B245" s="617"/>
      <c r="C245" s="617"/>
      <c r="D245" s="617"/>
      <c r="E245" s="617"/>
      <c r="F245" s="617"/>
      <c r="G245" s="617"/>
      <c r="H245" s="617"/>
      <c r="I245" s="617"/>
      <c r="J245" s="617"/>
      <c r="K245" s="617"/>
      <c r="L245" s="617"/>
    </row>
    <row r="246" spans="1:12" ht="14.25">
      <c r="A246" s="617"/>
      <c r="B246" s="617"/>
      <c r="C246" s="617"/>
      <c r="D246" s="617"/>
      <c r="E246" s="617"/>
      <c r="F246" s="617"/>
      <c r="G246" s="617"/>
      <c r="H246" s="617"/>
      <c r="I246" s="617"/>
      <c r="J246" s="617"/>
      <c r="K246" s="617"/>
      <c r="L246" s="617"/>
    </row>
    <row r="247" spans="1:12" ht="14.25">
      <c r="A247" s="617"/>
      <c r="B247" s="617"/>
      <c r="C247" s="617"/>
      <c r="D247" s="617"/>
      <c r="E247" s="617"/>
      <c r="F247" s="617"/>
      <c r="G247" s="617"/>
      <c r="H247" s="617"/>
      <c r="I247" s="617"/>
      <c r="J247" s="617"/>
      <c r="K247" s="617"/>
      <c r="L247" s="617"/>
    </row>
    <row r="248" spans="1:12" ht="14.25">
      <c r="A248" s="617"/>
      <c r="B248" s="617"/>
      <c r="C248" s="617"/>
      <c r="D248" s="617"/>
      <c r="E248" s="617"/>
      <c r="F248" s="617"/>
      <c r="G248" s="617"/>
      <c r="H248" s="617"/>
      <c r="I248" s="617"/>
      <c r="J248" s="617"/>
      <c r="K248" s="617"/>
      <c r="L248" s="617"/>
    </row>
    <row r="249" spans="1:12" ht="14.25">
      <c r="A249" s="617"/>
      <c r="B249" s="617"/>
      <c r="C249" s="617"/>
      <c r="D249" s="617"/>
      <c r="E249" s="617"/>
      <c r="F249" s="617"/>
      <c r="G249" s="617"/>
      <c r="H249" s="617"/>
      <c r="I249" s="617"/>
      <c r="J249" s="617"/>
      <c r="K249" s="617"/>
      <c r="L249" s="617"/>
    </row>
    <row r="250" spans="1:12" ht="14.25">
      <c r="A250" s="617"/>
      <c r="B250" s="617"/>
      <c r="C250" s="617"/>
      <c r="D250" s="617"/>
      <c r="E250" s="617"/>
      <c r="F250" s="617"/>
      <c r="G250" s="617"/>
      <c r="H250" s="617"/>
      <c r="I250" s="617"/>
      <c r="J250" s="617"/>
      <c r="K250" s="617"/>
      <c r="L250" s="617"/>
    </row>
    <row r="251" spans="1:12" ht="14.25">
      <c r="A251" s="617"/>
      <c r="B251" s="617"/>
      <c r="C251" s="617"/>
      <c r="D251" s="617"/>
      <c r="E251" s="617"/>
      <c r="F251" s="617"/>
      <c r="G251" s="617"/>
      <c r="H251" s="617"/>
      <c r="I251" s="617"/>
      <c r="J251" s="617"/>
      <c r="K251" s="617"/>
      <c r="L251" s="617"/>
    </row>
    <row r="252" spans="1:12" ht="14.25">
      <c r="A252" s="617"/>
      <c r="B252" s="617"/>
      <c r="C252" s="617"/>
      <c r="D252" s="617"/>
      <c r="E252" s="617"/>
      <c r="F252" s="617"/>
      <c r="G252" s="617"/>
      <c r="H252" s="617"/>
      <c r="I252" s="617"/>
      <c r="J252" s="617"/>
      <c r="K252" s="617"/>
      <c r="L252" s="617"/>
    </row>
    <row r="253" spans="1:12" ht="14.25">
      <c r="A253" s="617"/>
      <c r="B253" s="617"/>
      <c r="C253" s="617"/>
      <c r="D253" s="617"/>
      <c r="E253" s="617"/>
      <c r="F253" s="617"/>
      <c r="G253" s="617"/>
      <c r="H253" s="617"/>
      <c r="I253" s="617"/>
      <c r="J253" s="617"/>
      <c r="K253" s="617"/>
      <c r="L253" s="617"/>
    </row>
    <row r="254" spans="1:12" ht="14.25">
      <c r="A254" s="617"/>
      <c r="B254" s="617"/>
      <c r="C254" s="617"/>
      <c r="D254" s="617"/>
      <c r="E254" s="617"/>
      <c r="F254" s="617"/>
      <c r="G254" s="617"/>
      <c r="H254" s="617"/>
      <c r="I254" s="617"/>
      <c r="J254" s="617"/>
      <c r="K254" s="617"/>
      <c r="L254" s="617"/>
    </row>
    <row r="255" spans="1:12" ht="14.25">
      <c r="A255" s="617"/>
      <c r="B255" s="617"/>
      <c r="C255" s="617"/>
      <c r="D255" s="617"/>
      <c r="E255" s="617"/>
      <c r="F255" s="617"/>
      <c r="G255" s="617"/>
      <c r="H255" s="617"/>
      <c r="I255" s="617"/>
      <c r="J255" s="617"/>
      <c r="K255" s="617"/>
      <c r="L255" s="617"/>
    </row>
    <row r="256" spans="1:12" ht="14.25">
      <c r="A256" s="617"/>
      <c r="B256" s="617"/>
      <c r="C256" s="617"/>
      <c r="D256" s="617"/>
      <c r="E256" s="617"/>
      <c r="F256" s="617"/>
      <c r="G256" s="617"/>
      <c r="H256" s="617"/>
      <c r="I256" s="617"/>
      <c r="J256" s="617"/>
      <c r="K256" s="617"/>
      <c r="L256" s="617"/>
    </row>
    <row r="257" spans="1:12" ht="14.25">
      <c r="A257" s="617"/>
      <c r="B257" s="617"/>
      <c r="C257" s="617"/>
      <c r="D257" s="617"/>
      <c r="E257" s="617"/>
      <c r="F257" s="617"/>
      <c r="G257" s="617"/>
      <c r="H257" s="617"/>
      <c r="I257" s="617"/>
      <c r="J257" s="617"/>
      <c r="K257" s="617"/>
      <c r="L257" s="617"/>
    </row>
    <row r="258" spans="1:12" ht="14.25">
      <c r="A258" s="617"/>
      <c r="B258" s="617"/>
      <c r="C258" s="617"/>
      <c r="D258" s="617"/>
      <c r="E258" s="617"/>
      <c r="F258" s="617"/>
      <c r="G258" s="617"/>
      <c r="H258" s="617"/>
      <c r="I258" s="617"/>
      <c r="J258" s="617"/>
      <c r="K258" s="617"/>
      <c r="L258" s="617"/>
    </row>
    <row r="259" spans="1:12" ht="14.25">
      <c r="A259" s="617"/>
      <c r="B259" s="617"/>
      <c r="C259" s="617"/>
      <c r="D259" s="617"/>
      <c r="E259" s="617"/>
      <c r="F259" s="617"/>
      <c r="G259" s="617"/>
      <c r="H259" s="617"/>
      <c r="I259" s="617"/>
      <c r="J259" s="617"/>
      <c r="K259" s="617"/>
      <c r="L259" s="617"/>
    </row>
    <row r="260" spans="1:12" ht="14.25">
      <c r="A260" s="617"/>
      <c r="B260" s="617"/>
      <c r="C260" s="617"/>
      <c r="D260" s="617"/>
      <c r="E260" s="617"/>
      <c r="F260" s="617"/>
      <c r="G260" s="617"/>
      <c r="H260" s="617"/>
      <c r="I260" s="617"/>
      <c r="J260" s="617"/>
      <c r="K260" s="617"/>
      <c r="L260" s="617"/>
    </row>
    <row r="261" spans="1:12" ht="14.25">
      <c r="A261" s="617"/>
      <c r="B261" s="617"/>
      <c r="C261" s="617"/>
      <c r="D261" s="617"/>
      <c r="E261" s="617"/>
      <c r="F261" s="617"/>
      <c r="G261" s="617"/>
      <c r="H261" s="617"/>
      <c r="I261" s="617"/>
      <c r="J261" s="617"/>
      <c r="K261" s="617"/>
      <c r="L261" s="617"/>
    </row>
    <row r="262" spans="1:12" ht="14.25">
      <c r="A262" s="617"/>
      <c r="B262" s="617"/>
      <c r="C262" s="617"/>
      <c r="D262" s="617"/>
      <c r="E262" s="617"/>
      <c r="F262" s="617"/>
      <c r="G262" s="617"/>
      <c r="H262" s="617"/>
      <c r="I262" s="617"/>
      <c r="J262" s="617"/>
      <c r="K262" s="617"/>
      <c r="L262" s="617"/>
    </row>
    <row r="263" spans="1:12" ht="14.25">
      <c r="A263" s="617"/>
      <c r="B263" s="617"/>
      <c r="C263" s="617"/>
      <c r="D263" s="617"/>
      <c r="E263" s="617"/>
      <c r="F263" s="617"/>
      <c r="G263" s="617"/>
      <c r="H263" s="617"/>
      <c r="I263" s="617"/>
      <c r="J263" s="617"/>
      <c r="K263" s="617"/>
      <c r="L263" s="617"/>
    </row>
    <row r="264" spans="1:12" ht="14.25">
      <c r="A264" s="617"/>
      <c r="B264" s="617"/>
      <c r="C264" s="617"/>
      <c r="D264" s="617"/>
      <c r="E264" s="617"/>
      <c r="F264" s="617"/>
      <c r="G264" s="617"/>
      <c r="H264" s="617"/>
      <c r="I264" s="617"/>
      <c r="J264" s="617"/>
      <c r="K264" s="617"/>
      <c r="L264" s="617"/>
    </row>
    <row r="265" spans="1:12" ht="14.25">
      <c r="A265" s="617"/>
      <c r="B265" s="617"/>
      <c r="C265" s="617"/>
      <c r="D265" s="617"/>
      <c r="E265" s="617"/>
      <c r="F265" s="617"/>
      <c r="G265" s="617"/>
      <c r="H265" s="617"/>
      <c r="I265" s="617"/>
      <c r="J265" s="617"/>
      <c r="K265" s="617"/>
      <c r="L265" s="617"/>
    </row>
    <row r="266" spans="1:12" ht="14.25">
      <c r="A266" s="617"/>
      <c r="B266" s="617"/>
      <c r="C266" s="617"/>
      <c r="D266" s="617"/>
      <c r="E266" s="617"/>
      <c r="F266" s="617"/>
      <c r="G266" s="617"/>
      <c r="H266" s="617"/>
      <c r="I266" s="617"/>
      <c r="J266" s="617"/>
      <c r="K266" s="617"/>
      <c r="L266" s="617"/>
    </row>
    <row r="267" spans="1:12" ht="14.25">
      <c r="A267" s="617"/>
      <c r="B267" s="617"/>
      <c r="C267" s="617"/>
      <c r="D267" s="617"/>
      <c r="E267" s="617"/>
      <c r="F267" s="617"/>
      <c r="G267" s="617"/>
      <c r="H267" s="617"/>
      <c r="I267" s="617"/>
      <c r="J267" s="617"/>
      <c r="K267" s="617"/>
      <c r="L267" s="617"/>
    </row>
    <row r="268" spans="1:12" ht="14.25">
      <c r="A268" s="617"/>
      <c r="B268" s="617"/>
      <c r="C268" s="617"/>
      <c r="D268" s="617"/>
      <c r="E268" s="617"/>
      <c r="F268" s="617"/>
      <c r="G268" s="617"/>
      <c r="H268" s="617"/>
      <c r="I268" s="617"/>
      <c r="J268" s="617"/>
      <c r="K268" s="617"/>
      <c r="L268" s="617"/>
    </row>
    <row r="269" spans="1:12" ht="14.25">
      <c r="A269" s="617"/>
      <c r="B269" s="617"/>
      <c r="C269" s="617"/>
      <c r="D269" s="617"/>
      <c r="E269" s="617"/>
      <c r="F269" s="617"/>
      <c r="G269" s="617"/>
      <c r="H269" s="617"/>
      <c r="I269" s="617"/>
      <c r="J269" s="617"/>
      <c r="K269" s="617"/>
      <c r="L269" s="617"/>
    </row>
    <row r="270" spans="1:12" ht="14.25">
      <c r="A270" s="617"/>
      <c r="B270" s="617"/>
      <c r="C270" s="617"/>
      <c r="D270" s="617"/>
      <c r="E270" s="617"/>
      <c r="F270" s="617"/>
      <c r="G270" s="617"/>
      <c r="H270" s="617"/>
      <c r="I270" s="617"/>
      <c r="J270" s="617"/>
      <c r="K270" s="617"/>
      <c r="L270" s="617"/>
    </row>
    <row r="271" spans="1:12" ht="14.25">
      <c r="A271" s="617"/>
      <c r="B271" s="617"/>
      <c r="C271" s="617"/>
      <c r="D271" s="617"/>
      <c r="E271" s="617"/>
      <c r="F271" s="617"/>
      <c r="G271" s="617"/>
      <c r="H271" s="617"/>
      <c r="I271" s="617"/>
      <c r="J271" s="617"/>
      <c r="K271" s="617"/>
      <c r="L271" s="617"/>
    </row>
    <row r="272" spans="1:12" ht="14.25">
      <c r="A272" s="617"/>
      <c r="B272" s="617"/>
      <c r="C272" s="617"/>
      <c r="D272" s="617"/>
      <c r="E272" s="617"/>
      <c r="F272" s="617"/>
      <c r="G272" s="617"/>
      <c r="H272" s="617"/>
      <c r="I272" s="617"/>
      <c r="J272" s="617"/>
      <c r="K272" s="617"/>
      <c r="L272" s="617"/>
    </row>
    <row r="273" spans="1:12" ht="14.25">
      <c r="A273" s="617"/>
      <c r="B273" s="617"/>
      <c r="C273" s="617"/>
      <c r="D273" s="617"/>
      <c r="E273" s="617"/>
      <c r="F273" s="617"/>
      <c r="G273" s="617"/>
      <c r="H273" s="617"/>
      <c r="I273" s="617"/>
      <c r="J273" s="617"/>
      <c r="K273" s="617"/>
      <c r="L273" s="617"/>
    </row>
    <row r="274" spans="1:12" ht="14.25">
      <c r="A274" s="617"/>
      <c r="B274" s="617"/>
      <c r="C274" s="617"/>
      <c r="D274" s="617"/>
      <c r="E274" s="617"/>
      <c r="F274" s="617"/>
      <c r="G274" s="617"/>
      <c r="H274" s="617"/>
      <c r="I274" s="617"/>
      <c r="J274" s="617"/>
      <c r="K274" s="617"/>
      <c r="L274" s="617"/>
    </row>
    <row r="275" spans="1:12" ht="14.25">
      <c r="A275" s="617"/>
      <c r="B275" s="617"/>
      <c r="C275" s="617"/>
      <c r="D275" s="617"/>
      <c r="E275" s="617"/>
      <c r="F275" s="617"/>
      <c r="G275" s="617"/>
      <c r="H275" s="617"/>
      <c r="I275" s="617"/>
      <c r="J275" s="617"/>
      <c r="K275" s="617"/>
      <c r="L275" s="617"/>
    </row>
    <row r="276" spans="1:12" ht="14.25">
      <c r="A276" s="617"/>
      <c r="B276" s="617"/>
      <c r="C276" s="617"/>
      <c r="D276" s="617"/>
      <c r="E276" s="617"/>
      <c r="F276" s="617"/>
      <c r="G276" s="617"/>
      <c r="H276" s="617"/>
      <c r="I276" s="617"/>
      <c r="J276" s="617"/>
      <c r="K276" s="617"/>
      <c r="L276" s="617"/>
    </row>
    <row r="277" spans="1:12" ht="14.25">
      <c r="A277" s="617"/>
      <c r="B277" s="617"/>
      <c r="C277" s="617"/>
      <c r="D277" s="617"/>
      <c r="E277" s="617"/>
      <c r="F277" s="617"/>
      <c r="G277" s="617"/>
      <c r="H277" s="617"/>
      <c r="I277" s="617"/>
      <c r="J277" s="617"/>
      <c r="K277" s="617"/>
      <c r="L277" s="617"/>
    </row>
    <row r="278" spans="1:12" ht="14.25">
      <c r="A278" s="617"/>
      <c r="B278" s="617"/>
      <c r="C278" s="617"/>
      <c r="D278" s="617"/>
      <c r="E278" s="617"/>
      <c r="F278" s="617"/>
      <c r="G278" s="617"/>
      <c r="H278" s="617"/>
      <c r="I278" s="617"/>
      <c r="J278" s="617"/>
      <c r="K278" s="617"/>
      <c r="L278" s="617"/>
    </row>
    <row r="279" spans="1:12" ht="14.25">
      <c r="A279" s="617"/>
      <c r="B279" s="617"/>
      <c r="C279" s="617"/>
      <c r="D279" s="617"/>
      <c r="E279" s="617"/>
      <c r="F279" s="617"/>
      <c r="G279" s="617"/>
      <c r="H279" s="617"/>
      <c r="I279" s="617"/>
      <c r="J279" s="617"/>
      <c r="K279" s="617"/>
      <c r="L279" s="617"/>
    </row>
    <row r="280" spans="1:12" ht="14.25">
      <c r="A280" s="617"/>
      <c r="B280" s="617"/>
      <c r="C280" s="617"/>
      <c r="D280" s="617"/>
      <c r="E280" s="617"/>
      <c r="F280" s="617"/>
      <c r="G280" s="617"/>
      <c r="H280" s="617"/>
      <c r="I280" s="617"/>
      <c r="J280" s="617"/>
      <c r="K280" s="617"/>
      <c r="L280" s="617"/>
    </row>
    <row r="281" spans="1:12" ht="14.25">
      <c r="A281" s="617"/>
      <c r="B281" s="617"/>
      <c r="C281" s="617"/>
      <c r="D281" s="617"/>
      <c r="E281" s="617"/>
      <c r="F281" s="617"/>
      <c r="G281" s="617"/>
      <c r="H281" s="617"/>
      <c r="I281" s="617"/>
      <c r="J281" s="617"/>
      <c r="K281" s="617"/>
      <c r="L281" s="617"/>
    </row>
    <row r="282" spans="1:12" ht="14.25">
      <c r="A282" s="617"/>
      <c r="B282" s="617"/>
      <c r="C282" s="617"/>
      <c r="D282" s="617"/>
      <c r="E282" s="617"/>
      <c r="F282" s="617"/>
      <c r="G282" s="617"/>
      <c r="H282" s="617"/>
      <c r="I282" s="617"/>
      <c r="J282" s="617"/>
      <c r="K282" s="617"/>
      <c r="L282" s="617"/>
    </row>
    <row r="283" spans="1:12" ht="14.25">
      <c r="A283" s="617"/>
      <c r="B283" s="617"/>
      <c r="C283" s="617"/>
      <c r="D283" s="617"/>
      <c r="E283" s="617"/>
      <c r="F283" s="617"/>
      <c r="G283" s="617"/>
      <c r="H283" s="617"/>
      <c r="I283" s="617"/>
      <c r="J283" s="617"/>
      <c r="K283" s="617"/>
      <c r="L283" s="617"/>
    </row>
    <row r="284" spans="1:12" ht="14.25">
      <c r="A284" s="617"/>
      <c r="B284" s="617"/>
      <c r="C284" s="617"/>
      <c r="D284" s="617"/>
      <c r="E284" s="617"/>
      <c r="F284" s="617"/>
      <c r="G284" s="617"/>
      <c r="H284" s="617"/>
      <c r="I284" s="617"/>
      <c r="J284" s="617"/>
      <c r="K284" s="617"/>
      <c r="L284" s="617"/>
    </row>
    <row r="285" spans="1:12" ht="14.25">
      <c r="A285" s="617"/>
      <c r="B285" s="617"/>
      <c r="C285" s="617"/>
      <c r="D285" s="617"/>
      <c r="E285" s="617"/>
      <c r="F285" s="617"/>
      <c r="G285" s="617"/>
      <c r="H285" s="617"/>
      <c r="I285" s="617"/>
      <c r="J285" s="617"/>
      <c r="K285" s="617"/>
      <c r="L285" s="617"/>
    </row>
    <row r="286" spans="1:12" ht="14.25">
      <c r="A286" s="617"/>
      <c r="B286" s="617"/>
      <c r="C286" s="617"/>
      <c r="D286" s="617"/>
      <c r="E286" s="617"/>
      <c r="F286" s="617"/>
      <c r="G286" s="617"/>
      <c r="H286" s="617"/>
      <c r="I286" s="617"/>
      <c r="J286" s="617"/>
      <c r="K286" s="617"/>
      <c r="L286" s="617"/>
    </row>
    <row r="287" spans="1:12" ht="14.25">
      <c r="A287" s="617"/>
      <c r="B287" s="617"/>
      <c r="C287" s="617"/>
      <c r="D287" s="617"/>
      <c r="E287" s="617"/>
      <c r="F287" s="617"/>
      <c r="G287" s="617"/>
      <c r="H287" s="617"/>
      <c r="I287" s="617"/>
      <c r="J287" s="617"/>
      <c r="K287" s="617"/>
      <c r="L287" s="617"/>
    </row>
    <row r="288" spans="1:12" ht="14.25">
      <c r="A288" s="617"/>
      <c r="B288" s="617"/>
      <c r="C288" s="617"/>
      <c r="D288" s="617"/>
      <c r="E288" s="617"/>
      <c r="F288" s="617"/>
      <c r="G288" s="617"/>
      <c r="H288" s="617"/>
      <c r="I288" s="617"/>
      <c r="J288" s="617"/>
      <c r="K288" s="617"/>
      <c r="L288" s="617"/>
    </row>
    <row r="289" spans="1:12" ht="14.25">
      <c r="A289" s="617"/>
      <c r="B289" s="617"/>
      <c r="C289" s="617"/>
      <c r="D289" s="617"/>
      <c r="E289" s="617"/>
      <c r="F289" s="617"/>
      <c r="G289" s="617"/>
      <c r="H289" s="617"/>
      <c r="I289" s="617"/>
      <c r="J289" s="617"/>
      <c r="K289" s="617"/>
      <c r="L289" s="617"/>
    </row>
    <row r="290" spans="1:12" ht="14.25">
      <c r="A290" s="617"/>
      <c r="B290" s="617"/>
      <c r="C290" s="617"/>
      <c r="D290" s="617"/>
      <c r="E290" s="617"/>
      <c r="F290" s="617"/>
      <c r="G290" s="617"/>
      <c r="H290" s="617"/>
      <c r="I290" s="617"/>
      <c r="J290" s="617"/>
      <c r="K290" s="617"/>
      <c r="L290" s="617"/>
    </row>
    <row r="291" spans="1:12" ht="14.25">
      <c r="A291" s="617"/>
      <c r="B291" s="617"/>
      <c r="C291" s="617"/>
      <c r="D291" s="617"/>
      <c r="E291" s="617"/>
      <c r="F291" s="617"/>
      <c r="G291" s="617"/>
      <c r="H291" s="617"/>
      <c r="I291" s="617"/>
      <c r="J291" s="617"/>
      <c r="K291" s="617"/>
      <c r="L291" s="617"/>
    </row>
    <row r="292" spans="1:12" ht="14.25">
      <c r="A292" s="617"/>
      <c r="B292" s="617"/>
      <c r="C292" s="617"/>
      <c r="D292" s="617"/>
      <c r="E292" s="617"/>
      <c r="F292" s="617"/>
      <c r="G292" s="617"/>
      <c r="H292" s="617"/>
      <c r="I292" s="617"/>
      <c r="J292" s="617"/>
      <c r="K292" s="617"/>
      <c r="L292" s="617"/>
    </row>
    <row r="293" spans="1:12" ht="14.25">
      <c r="A293" s="617"/>
      <c r="B293" s="617"/>
      <c r="C293" s="617"/>
      <c r="D293" s="617"/>
      <c r="E293" s="617"/>
      <c r="F293" s="617"/>
      <c r="G293" s="617"/>
      <c r="H293" s="617"/>
      <c r="I293" s="617"/>
      <c r="J293" s="617"/>
      <c r="K293" s="617"/>
      <c r="L293" s="617"/>
    </row>
    <row r="294" spans="1:12" ht="14.25">
      <c r="A294" s="617"/>
      <c r="B294" s="617"/>
      <c r="C294" s="617"/>
      <c r="D294" s="617"/>
      <c r="E294" s="617"/>
      <c r="F294" s="617"/>
      <c r="G294" s="617"/>
      <c r="H294" s="617"/>
      <c r="I294" s="617"/>
      <c r="J294" s="617"/>
      <c r="K294" s="617"/>
      <c r="L294" s="617"/>
    </row>
    <row r="295" spans="1:12" ht="14.25">
      <c r="A295" s="617"/>
      <c r="B295" s="617"/>
      <c r="C295" s="617"/>
      <c r="D295" s="617"/>
      <c r="E295" s="617"/>
      <c r="F295" s="617"/>
      <c r="G295" s="617"/>
      <c r="H295" s="617"/>
      <c r="I295" s="617"/>
      <c r="J295" s="617"/>
      <c r="K295" s="617"/>
      <c r="L295" s="617"/>
    </row>
    <row r="296" spans="1:12" ht="14.25">
      <c r="A296" s="617"/>
      <c r="B296" s="617"/>
      <c r="C296" s="617"/>
      <c r="D296" s="617"/>
      <c r="E296" s="617"/>
      <c r="F296" s="617"/>
      <c r="G296" s="617"/>
      <c r="H296" s="617"/>
      <c r="I296" s="617"/>
      <c r="J296" s="617"/>
      <c r="K296" s="617"/>
      <c r="L296" s="617"/>
    </row>
    <row r="297" spans="1:12" ht="14.25">
      <c r="A297" s="617"/>
      <c r="B297" s="617"/>
      <c r="C297" s="617"/>
      <c r="D297" s="617"/>
      <c r="E297" s="617"/>
      <c r="F297" s="617"/>
      <c r="G297" s="617"/>
      <c r="H297" s="617"/>
      <c r="I297" s="617"/>
      <c r="J297" s="617"/>
      <c r="K297" s="617"/>
      <c r="L297" s="617"/>
    </row>
    <row r="298" spans="1:12" ht="14.25">
      <c r="A298" s="617"/>
      <c r="B298" s="617"/>
      <c r="C298" s="617"/>
      <c r="D298" s="617"/>
      <c r="E298" s="617"/>
      <c r="F298" s="617"/>
      <c r="G298" s="617"/>
      <c r="H298" s="617"/>
      <c r="I298" s="617"/>
      <c r="J298" s="617"/>
      <c r="K298" s="617"/>
      <c r="L298" s="617"/>
    </row>
    <row r="299" spans="1:12" ht="14.25">
      <c r="A299" s="617"/>
      <c r="B299" s="617"/>
      <c r="C299" s="617"/>
      <c r="D299" s="617"/>
      <c r="E299" s="617"/>
      <c r="F299" s="617"/>
      <c r="G299" s="617"/>
      <c r="H299" s="617"/>
      <c r="I299" s="617"/>
      <c r="J299" s="617"/>
      <c r="K299" s="617"/>
      <c r="L299" s="617"/>
    </row>
    <row r="300" spans="1:12" ht="14.25">
      <c r="A300" s="617"/>
      <c r="B300" s="617"/>
      <c r="C300" s="617"/>
      <c r="D300" s="617"/>
      <c r="E300" s="617"/>
      <c r="F300" s="617"/>
      <c r="G300" s="617"/>
      <c r="H300" s="617"/>
      <c r="I300" s="617"/>
      <c r="J300" s="617"/>
      <c r="K300" s="617"/>
      <c r="L300" s="617"/>
    </row>
    <row r="301" spans="1:12" ht="14.25">
      <c r="A301" s="617"/>
      <c r="B301" s="617"/>
      <c r="C301" s="617"/>
      <c r="D301" s="617"/>
      <c r="E301" s="617"/>
      <c r="F301" s="617"/>
      <c r="G301" s="617"/>
      <c r="H301" s="617"/>
      <c r="I301" s="617"/>
      <c r="J301" s="617"/>
      <c r="K301" s="617"/>
      <c r="L301" s="617"/>
    </row>
    <row r="302" spans="1:12" ht="14.25">
      <c r="A302" s="617"/>
      <c r="B302" s="617"/>
      <c r="C302" s="617"/>
      <c r="D302" s="617"/>
      <c r="E302" s="617"/>
      <c r="F302" s="617"/>
      <c r="G302" s="617"/>
      <c r="H302" s="617"/>
      <c r="I302" s="617"/>
      <c r="J302" s="617"/>
      <c r="K302" s="617"/>
      <c r="L302" s="617"/>
    </row>
    <row r="303" spans="1:12" ht="14.25">
      <c r="A303" s="617"/>
      <c r="B303" s="617"/>
      <c r="C303" s="617"/>
      <c r="D303" s="617"/>
      <c r="E303" s="617"/>
      <c r="F303" s="617"/>
      <c r="G303" s="617"/>
      <c r="H303" s="617"/>
      <c r="I303" s="617"/>
      <c r="J303" s="617"/>
      <c r="K303" s="617"/>
      <c r="L303" s="617"/>
    </row>
    <row r="304" spans="1:12" ht="14.25">
      <c r="A304" s="617"/>
      <c r="B304" s="617"/>
      <c r="C304" s="617"/>
      <c r="D304" s="617"/>
      <c r="E304" s="617"/>
      <c r="F304" s="617"/>
      <c r="G304" s="617"/>
      <c r="H304" s="617"/>
      <c r="I304" s="617"/>
      <c r="J304" s="617"/>
      <c r="K304" s="617"/>
      <c r="L304" s="617"/>
    </row>
    <row r="305" spans="1:12" ht="14.25">
      <c r="A305" s="617"/>
      <c r="B305" s="617"/>
      <c r="C305" s="617"/>
      <c r="D305" s="617"/>
      <c r="E305" s="617"/>
      <c r="F305" s="617"/>
      <c r="G305" s="617"/>
      <c r="H305" s="617"/>
      <c r="I305" s="617"/>
      <c r="J305" s="617"/>
      <c r="K305" s="617"/>
      <c r="L305" s="617"/>
    </row>
    <row r="306" spans="1:12" ht="14.25">
      <c r="A306" s="617"/>
      <c r="B306" s="617"/>
      <c r="C306" s="617"/>
      <c r="D306" s="617"/>
      <c r="E306" s="617"/>
      <c r="F306" s="617"/>
      <c r="G306" s="617"/>
      <c r="H306" s="617"/>
      <c r="I306" s="617"/>
      <c r="J306" s="617"/>
      <c r="K306" s="617"/>
      <c r="L306" s="617"/>
    </row>
    <row r="307" spans="1:12" ht="14.25">
      <c r="A307" s="617"/>
      <c r="B307" s="617"/>
      <c r="C307" s="617"/>
      <c r="D307" s="617"/>
      <c r="E307" s="617"/>
      <c r="F307" s="617"/>
      <c r="G307" s="617"/>
      <c r="H307" s="617"/>
      <c r="I307" s="617"/>
      <c r="J307" s="617"/>
      <c r="K307" s="617"/>
      <c r="L307" s="617"/>
    </row>
    <row r="308" spans="1:12" ht="14.25">
      <c r="A308" s="617"/>
      <c r="B308" s="617"/>
      <c r="C308" s="617"/>
      <c r="D308" s="617"/>
      <c r="E308" s="617"/>
      <c r="F308" s="617"/>
      <c r="G308" s="617"/>
      <c r="H308" s="617"/>
      <c r="I308" s="617"/>
      <c r="J308" s="617"/>
      <c r="K308" s="617"/>
      <c r="L308" s="617"/>
    </row>
    <row r="309" spans="1:12" ht="14.25">
      <c r="A309" s="617"/>
      <c r="B309" s="617"/>
      <c r="C309" s="617"/>
      <c r="D309" s="617"/>
      <c r="E309" s="617"/>
      <c r="F309" s="617"/>
      <c r="G309" s="617"/>
      <c r="H309" s="617"/>
      <c r="I309" s="617"/>
      <c r="J309" s="617"/>
      <c r="K309" s="617"/>
      <c r="L309" s="617"/>
    </row>
    <row r="310" spans="1:12" ht="14.25">
      <c r="A310" s="617"/>
      <c r="B310" s="617"/>
      <c r="C310" s="617"/>
      <c r="D310" s="617"/>
      <c r="E310" s="617"/>
      <c r="F310" s="617"/>
      <c r="G310" s="617"/>
      <c r="H310" s="617"/>
      <c r="I310" s="617"/>
      <c r="J310" s="617"/>
      <c r="K310" s="617"/>
      <c r="L310" s="617"/>
    </row>
    <row r="311" spans="1:12" ht="14.25">
      <c r="A311" s="617"/>
      <c r="B311" s="617"/>
      <c r="C311" s="617"/>
      <c r="D311" s="617"/>
      <c r="E311" s="617"/>
      <c r="F311" s="617"/>
      <c r="G311" s="617"/>
      <c r="H311" s="617"/>
      <c r="I311" s="617"/>
      <c r="J311" s="617"/>
      <c r="K311" s="617"/>
      <c r="L311" s="617"/>
    </row>
    <row r="312" spans="1:12" ht="14.25">
      <c r="A312" s="617"/>
      <c r="B312" s="617"/>
      <c r="C312" s="617"/>
      <c r="D312" s="617"/>
      <c r="E312" s="617"/>
      <c r="F312" s="617"/>
      <c r="G312" s="617"/>
      <c r="H312" s="617"/>
      <c r="I312" s="617"/>
      <c r="J312" s="617"/>
      <c r="K312" s="617"/>
      <c r="L312" s="617"/>
    </row>
    <row r="313" spans="1:12" ht="14.25">
      <c r="A313" s="617"/>
      <c r="B313" s="617"/>
      <c r="C313" s="617"/>
      <c r="D313" s="617"/>
      <c r="E313" s="617"/>
      <c r="F313" s="617"/>
      <c r="G313" s="617"/>
      <c r="H313" s="617"/>
      <c r="I313" s="617"/>
      <c r="J313" s="617"/>
      <c r="K313" s="617"/>
      <c r="L313" s="617"/>
    </row>
    <row r="314" spans="1:12" ht="14.25">
      <c r="A314" s="617"/>
      <c r="B314" s="617"/>
      <c r="C314" s="617"/>
      <c r="D314" s="617"/>
      <c r="E314" s="617"/>
      <c r="F314" s="617"/>
      <c r="G314" s="617"/>
      <c r="H314" s="617"/>
      <c r="I314" s="617"/>
      <c r="J314" s="617"/>
      <c r="K314" s="617"/>
      <c r="L314" s="617"/>
    </row>
    <row r="315" spans="1:12" ht="14.25">
      <c r="A315" s="617"/>
      <c r="B315" s="617"/>
      <c r="C315" s="617"/>
      <c r="D315" s="617"/>
      <c r="E315" s="617"/>
      <c r="F315" s="617"/>
      <c r="G315" s="617"/>
      <c r="H315" s="617"/>
      <c r="I315" s="617"/>
      <c r="J315" s="617"/>
      <c r="K315" s="617"/>
      <c r="L315" s="617"/>
    </row>
    <row r="316" spans="1:12" ht="14.25">
      <c r="A316" s="617"/>
      <c r="B316" s="617"/>
      <c r="C316" s="617"/>
      <c r="D316" s="617"/>
      <c r="E316" s="617"/>
      <c r="F316" s="617"/>
      <c r="G316" s="617"/>
      <c r="H316" s="617"/>
      <c r="I316" s="617"/>
      <c r="J316" s="617"/>
      <c r="K316" s="617"/>
      <c r="L316" s="617"/>
    </row>
    <row r="317" spans="1:12" ht="14.25">
      <c r="A317" s="617"/>
      <c r="B317" s="617"/>
      <c r="C317" s="617"/>
      <c r="D317" s="617"/>
      <c r="E317" s="617"/>
      <c r="F317" s="617"/>
      <c r="G317" s="617"/>
      <c r="H317" s="617"/>
      <c r="I317" s="617"/>
      <c r="J317" s="617"/>
      <c r="K317" s="617"/>
      <c r="L317" s="617"/>
    </row>
    <row r="318" spans="1:12" ht="14.25">
      <c r="A318" s="617"/>
      <c r="B318" s="617"/>
      <c r="C318" s="617"/>
      <c r="D318" s="617"/>
      <c r="E318" s="617"/>
      <c r="F318" s="617"/>
      <c r="G318" s="617"/>
      <c r="H318" s="617"/>
      <c r="I318" s="617"/>
      <c r="J318" s="617"/>
      <c r="K318" s="617"/>
      <c r="L318" s="617"/>
    </row>
    <row r="319" spans="1:12" ht="14.25">
      <c r="A319" s="617"/>
      <c r="B319" s="617"/>
      <c r="C319" s="617"/>
      <c r="D319" s="617"/>
      <c r="E319" s="617"/>
      <c r="F319" s="617"/>
      <c r="G319" s="617"/>
      <c r="H319" s="617"/>
      <c r="I319" s="617"/>
      <c r="J319" s="617"/>
      <c r="K319" s="617"/>
      <c r="L319" s="617"/>
    </row>
    <row r="320" spans="1:12" ht="14.25">
      <c r="A320" s="617"/>
      <c r="B320" s="617"/>
      <c r="C320" s="617"/>
      <c r="D320" s="617"/>
      <c r="E320" s="617"/>
      <c r="F320" s="617"/>
      <c r="G320" s="617"/>
      <c r="H320" s="617"/>
      <c r="I320" s="617"/>
      <c r="J320" s="617"/>
      <c r="K320" s="617"/>
      <c r="L320" s="617"/>
    </row>
    <row r="321" spans="1:12" ht="14.25">
      <c r="A321" s="617"/>
      <c r="B321" s="617"/>
      <c r="C321" s="617"/>
      <c r="D321" s="617"/>
      <c r="E321" s="617"/>
      <c r="F321" s="617"/>
      <c r="G321" s="617"/>
      <c r="H321" s="617"/>
      <c r="I321" s="617"/>
      <c r="J321" s="617"/>
      <c r="K321" s="617"/>
      <c r="L321" s="617"/>
    </row>
    <row r="322" spans="1:12" ht="14.25">
      <c r="A322" s="617"/>
      <c r="B322" s="617"/>
      <c r="C322" s="617"/>
      <c r="D322" s="617"/>
      <c r="E322" s="617"/>
      <c r="F322" s="617"/>
      <c r="G322" s="617"/>
      <c r="H322" s="617"/>
      <c r="I322" s="617"/>
      <c r="J322" s="617"/>
      <c r="K322" s="617"/>
      <c r="L322" s="617"/>
    </row>
    <row r="323" spans="1:12" ht="14.25">
      <c r="A323" s="617"/>
      <c r="B323" s="617"/>
      <c r="C323" s="617"/>
      <c r="D323" s="617"/>
      <c r="E323" s="617"/>
      <c r="F323" s="617"/>
      <c r="G323" s="617"/>
      <c r="H323" s="617"/>
      <c r="I323" s="617"/>
      <c r="J323" s="617"/>
      <c r="K323" s="617"/>
      <c r="L323" s="617"/>
    </row>
    <row r="324" spans="1:12" ht="14.25">
      <c r="A324" s="617"/>
      <c r="B324" s="617"/>
      <c r="C324" s="617"/>
      <c r="D324" s="617"/>
      <c r="E324" s="617"/>
      <c r="F324" s="617"/>
      <c r="G324" s="617"/>
      <c r="H324" s="617"/>
      <c r="I324" s="617"/>
      <c r="J324" s="617"/>
      <c r="K324" s="617"/>
      <c r="L324" s="617"/>
    </row>
    <row r="325" spans="1:12" ht="14.25">
      <c r="A325" s="617"/>
      <c r="B325" s="617"/>
      <c r="C325" s="617"/>
      <c r="D325" s="617"/>
      <c r="E325" s="617"/>
      <c r="F325" s="617"/>
      <c r="G325" s="617"/>
      <c r="H325" s="617"/>
      <c r="I325" s="617"/>
      <c r="J325" s="617"/>
      <c r="K325" s="617"/>
      <c r="L325" s="617"/>
    </row>
    <row r="326" spans="1:12" ht="14.25">
      <c r="A326" s="617"/>
      <c r="B326" s="617"/>
      <c r="C326" s="617"/>
      <c r="D326" s="617"/>
      <c r="E326" s="617"/>
      <c r="F326" s="617"/>
      <c r="G326" s="617"/>
      <c r="H326" s="617"/>
      <c r="I326" s="617"/>
      <c r="J326" s="617"/>
      <c r="K326" s="617"/>
      <c r="L326" s="617"/>
    </row>
    <row r="327" spans="1:12" ht="14.25">
      <c r="A327" s="617"/>
      <c r="B327" s="617"/>
      <c r="C327" s="617"/>
      <c r="D327" s="617"/>
      <c r="E327" s="617"/>
      <c r="F327" s="617"/>
      <c r="G327" s="617"/>
      <c r="H327" s="617"/>
      <c r="I327" s="617"/>
      <c r="J327" s="617"/>
      <c r="K327" s="617"/>
      <c r="L327" s="617"/>
    </row>
    <row r="328" spans="1:12" ht="14.25">
      <c r="A328" s="617"/>
      <c r="B328" s="617"/>
      <c r="C328" s="617"/>
      <c r="D328" s="617"/>
      <c r="E328" s="617"/>
      <c r="F328" s="617"/>
      <c r="G328" s="617"/>
      <c r="H328" s="617"/>
      <c r="I328" s="617"/>
      <c r="J328" s="617"/>
      <c r="K328" s="617"/>
      <c r="L328" s="617"/>
    </row>
    <row r="329" spans="1:12" ht="14.25">
      <c r="A329" s="617"/>
      <c r="B329" s="617"/>
      <c r="C329" s="617"/>
      <c r="D329" s="617"/>
      <c r="E329" s="617"/>
      <c r="F329" s="617"/>
      <c r="G329" s="617"/>
      <c r="H329" s="617"/>
      <c r="I329" s="617"/>
      <c r="J329" s="617"/>
      <c r="K329" s="617"/>
      <c r="L329" s="617"/>
    </row>
    <row r="330" spans="1:12" ht="14.25">
      <c r="A330" s="617"/>
      <c r="B330" s="617"/>
      <c r="C330" s="617"/>
      <c r="D330" s="617"/>
      <c r="E330" s="617"/>
      <c r="F330" s="617"/>
      <c r="G330" s="617"/>
      <c r="H330" s="617"/>
      <c r="I330" s="617"/>
      <c r="J330" s="617"/>
      <c r="K330" s="617"/>
      <c r="L330" s="617"/>
    </row>
    <row r="331" spans="1:12" ht="14.25">
      <c r="A331" s="617"/>
      <c r="B331" s="617"/>
      <c r="C331" s="617"/>
      <c r="D331" s="617"/>
      <c r="E331" s="617"/>
      <c r="F331" s="617"/>
      <c r="G331" s="617"/>
      <c r="H331" s="617"/>
      <c r="I331" s="617"/>
      <c r="J331" s="617"/>
      <c r="K331" s="617"/>
      <c r="L331" s="617"/>
    </row>
    <row r="332" spans="1:12" ht="14.25">
      <c r="A332" s="617"/>
      <c r="B332" s="617"/>
      <c r="C332" s="617"/>
      <c r="D332" s="617"/>
      <c r="E332" s="617"/>
      <c r="F332" s="617"/>
      <c r="G332" s="617"/>
      <c r="H332" s="617"/>
      <c r="I332" s="617"/>
      <c r="J332" s="617"/>
      <c r="K332" s="617"/>
      <c r="L332" s="617"/>
    </row>
    <row r="333" spans="1:12" ht="14.25">
      <c r="A333" s="617"/>
      <c r="B333" s="617"/>
      <c r="C333" s="617"/>
      <c r="D333" s="617"/>
      <c r="E333" s="617"/>
      <c r="F333" s="617"/>
      <c r="G333" s="617"/>
      <c r="H333" s="617"/>
      <c r="I333" s="617"/>
      <c r="J333" s="617"/>
      <c r="K333" s="617"/>
      <c r="L333" s="617"/>
    </row>
    <row r="334" spans="1:12" ht="14.25">
      <c r="A334" s="617"/>
      <c r="B334" s="617"/>
      <c r="C334" s="617"/>
      <c r="D334" s="617"/>
      <c r="E334" s="617"/>
      <c r="F334" s="617"/>
      <c r="G334" s="617"/>
      <c r="H334" s="617"/>
      <c r="I334" s="617"/>
      <c r="J334" s="617"/>
      <c r="K334" s="617"/>
      <c r="L334" s="617"/>
    </row>
    <row r="335" spans="1:12" ht="14.25">
      <c r="A335" s="617"/>
      <c r="B335" s="617"/>
      <c r="C335" s="617"/>
      <c r="D335" s="617"/>
      <c r="E335" s="617"/>
      <c r="F335" s="617"/>
      <c r="G335" s="617"/>
      <c r="H335" s="617"/>
      <c r="I335" s="617"/>
      <c r="J335" s="617"/>
      <c r="K335" s="617"/>
      <c r="L335" s="617"/>
    </row>
    <row r="336" spans="1:12" ht="14.25">
      <c r="A336" s="617"/>
      <c r="B336" s="617"/>
      <c r="C336" s="617"/>
      <c r="D336" s="617"/>
      <c r="E336" s="617"/>
      <c r="F336" s="617"/>
      <c r="G336" s="617"/>
      <c r="H336" s="617"/>
      <c r="I336" s="617"/>
      <c r="J336" s="617"/>
      <c r="K336" s="617"/>
      <c r="L336" s="617"/>
    </row>
    <row r="337" spans="1:12" ht="14.25">
      <c r="A337" s="617"/>
      <c r="B337" s="617"/>
      <c r="C337" s="617"/>
      <c r="D337" s="617"/>
      <c r="E337" s="617"/>
      <c r="F337" s="617"/>
      <c r="G337" s="617"/>
      <c r="H337" s="617"/>
      <c r="I337" s="617"/>
      <c r="J337" s="617"/>
      <c r="K337" s="617"/>
      <c r="L337" s="617"/>
    </row>
    <row r="338" spans="1:12" ht="14.25">
      <c r="A338" s="617"/>
      <c r="B338" s="617"/>
      <c r="C338" s="617"/>
      <c r="D338" s="617"/>
      <c r="E338" s="617"/>
      <c r="F338" s="617"/>
      <c r="G338" s="617"/>
      <c r="H338" s="617"/>
      <c r="I338" s="617"/>
      <c r="J338" s="617"/>
      <c r="K338" s="617"/>
      <c r="L338" s="617"/>
    </row>
    <row r="339" spans="1:12" ht="14.25">
      <c r="A339" s="617"/>
      <c r="B339" s="617"/>
      <c r="C339" s="617"/>
      <c r="D339" s="617"/>
      <c r="E339" s="617"/>
      <c r="F339" s="617"/>
      <c r="G339" s="617"/>
      <c r="H339" s="617"/>
      <c r="I339" s="617"/>
      <c r="J339" s="617"/>
      <c r="K339" s="617"/>
      <c r="L339" s="617"/>
    </row>
    <row r="340" spans="1:12" ht="14.25">
      <c r="A340" s="617"/>
      <c r="B340" s="617"/>
      <c r="C340" s="617"/>
      <c r="D340" s="617"/>
      <c r="E340" s="617"/>
      <c r="F340" s="617"/>
      <c r="G340" s="617"/>
      <c r="H340" s="617"/>
      <c r="I340" s="617"/>
      <c r="J340" s="617"/>
      <c r="K340" s="617"/>
      <c r="L340" s="617"/>
    </row>
    <row r="341" spans="1:12" ht="14.25">
      <c r="A341" s="617"/>
      <c r="B341" s="617"/>
      <c r="C341" s="617"/>
      <c r="D341" s="617"/>
      <c r="E341" s="617"/>
      <c r="F341" s="617"/>
      <c r="G341" s="617"/>
      <c r="H341" s="617"/>
      <c r="I341" s="617"/>
      <c r="J341" s="617"/>
      <c r="K341" s="617"/>
      <c r="L341" s="617"/>
    </row>
    <row r="342" spans="1:12" ht="14.25">
      <c r="A342" s="617"/>
      <c r="B342" s="617"/>
      <c r="C342" s="617"/>
      <c r="D342" s="617"/>
      <c r="E342" s="617"/>
      <c r="F342" s="617"/>
      <c r="G342" s="617"/>
      <c r="H342" s="617"/>
      <c r="I342" s="617"/>
      <c r="J342" s="617"/>
      <c r="K342" s="617"/>
      <c r="L342" s="617"/>
    </row>
    <row r="343" spans="1:12" ht="14.25">
      <c r="A343" s="617"/>
      <c r="B343" s="617"/>
      <c r="C343" s="617"/>
      <c r="D343" s="617"/>
      <c r="E343" s="617"/>
      <c r="F343" s="617"/>
      <c r="G343" s="617"/>
      <c r="H343" s="617"/>
      <c r="I343" s="617"/>
      <c r="J343" s="617"/>
      <c r="K343" s="617"/>
      <c r="L343" s="617"/>
    </row>
    <row r="344" spans="1:12" ht="14.25">
      <c r="A344" s="617"/>
      <c r="B344" s="617"/>
      <c r="C344" s="617"/>
      <c r="D344" s="617"/>
      <c r="E344" s="617"/>
      <c r="F344" s="617"/>
      <c r="G344" s="617"/>
      <c r="H344" s="617"/>
      <c r="I344" s="617"/>
      <c r="J344" s="617"/>
      <c r="K344" s="617"/>
      <c r="L344" s="617"/>
    </row>
    <row r="345" spans="1:12" ht="14.25">
      <c r="A345" s="617"/>
      <c r="B345" s="617"/>
      <c r="C345" s="617"/>
      <c r="D345" s="617"/>
      <c r="E345" s="617"/>
      <c r="F345" s="617"/>
      <c r="G345" s="617"/>
      <c r="H345" s="617"/>
      <c r="I345" s="617"/>
      <c r="J345" s="617"/>
      <c r="K345" s="617"/>
      <c r="L345" s="617"/>
    </row>
    <row r="346" spans="1:12" ht="14.25">
      <c r="A346" s="617"/>
      <c r="B346" s="617"/>
      <c r="C346" s="617"/>
      <c r="D346" s="617"/>
      <c r="E346" s="617"/>
      <c r="F346" s="617"/>
      <c r="G346" s="617"/>
      <c r="H346" s="617"/>
      <c r="I346" s="617"/>
      <c r="J346" s="617"/>
      <c r="K346" s="617"/>
      <c r="L346" s="617"/>
    </row>
    <row r="347" spans="1:12" ht="14.25">
      <c r="A347" s="617"/>
      <c r="B347" s="617"/>
      <c r="C347" s="617"/>
      <c r="D347" s="617"/>
      <c r="E347" s="617"/>
      <c r="F347" s="617"/>
      <c r="G347" s="617"/>
      <c r="H347" s="617"/>
      <c r="I347" s="617"/>
      <c r="J347" s="617"/>
      <c r="K347" s="617"/>
      <c r="L347" s="617"/>
    </row>
    <row r="348" spans="1:12" ht="14.25">
      <c r="A348" s="617"/>
      <c r="B348" s="617"/>
      <c r="C348" s="617"/>
      <c r="D348" s="617"/>
      <c r="E348" s="617"/>
      <c r="F348" s="617"/>
      <c r="G348" s="617"/>
      <c r="H348" s="617"/>
      <c r="I348" s="617"/>
      <c r="J348" s="617"/>
      <c r="K348" s="617"/>
      <c r="L348" s="617"/>
    </row>
    <row r="349" spans="1:12" ht="14.25">
      <c r="A349" s="617"/>
      <c r="B349" s="617"/>
      <c r="C349" s="617"/>
      <c r="D349" s="617"/>
      <c r="E349" s="617"/>
      <c r="F349" s="617"/>
      <c r="G349" s="617"/>
      <c r="H349" s="617"/>
      <c r="I349" s="617"/>
      <c r="J349" s="617"/>
      <c r="K349" s="617"/>
      <c r="L349" s="617"/>
    </row>
    <row r="350" spans="1:12" ht="14.25">
      <c r="A350" s="617"/>
      <c r="B350" s="617"/>
      <c r="C350" s="617"/>
      <c r="D350" s="617"/>
      <c r="E350" s="617"/>
      <c r="F350" s="617"/>
      <c r="G350" s="617"/>
      <c r="H350" s="617"/>
      <c r="I350" s="617"/>
      <c r="J350" s="617"/>
      <c r="K350" s="617"/>
      <c r="L350" s="617"/>
    </row>
    <row r="351" spans="1:12" ht="14.25">
      <c r="A351" s="617"/>
      <c r="B351" s="617"/>
      <c r="C351" s="617"/>
      <c r="D351" s="617"/>
      <c r="E351" s="617"/>
      <c r="F351" s="617"/>
      <c r="G351" s="617"/>
      <c r="H351" s="617"/>
      <c r="I351" s="617"/>
      <c r="J351" s="617"/>
      <c r="K351" s="617"/>
      <c r="L351" s="617"/>
    </row>
    <row r="352" spans="1:12" ht="14.25">
      <c r="A352" s="617"/>
      <c r="B352" s="617"/>
      <c r="C352" s="617"/>
      <c r="D352" s="617"/>
      <c r="E352" s="617"/>
      <c r="F352" s="617"/>
      <c r="G352" s="617"/>
      <c r="H352" s="617"/>
      <c r="I352" s="617"/>
      <c r="J352" s="617"/>
      <c r="K352" s="617"/>
      <c r="L352" s="617"/>
    </row>
    <row r="353" spans="1:12" ht="14.25">
      <c r="A353" s="617"/>
      <c r="B353" s="617"/>
      <c r="C353" s="617"/>
      <c r="D353" s="617"/>
      <c r="E353" s="617"/>
      <c r="F353" s="617"/>
      <c r="G353" s="617"/>
      <c r="H353" s="617"/>
      <c r="I353" s="617"/>
      <c r="J353" s="617"/>
      <c r="K353" s="617"/>
      <c r="L353" s="617"/>
    </row>
    <row r="354" spans="1:12" ht="14.25">
      <c r="A354" s="617"/>
      <c r="B354" s="617"/>
      <c r="C354" s="617"/>
      <c r="D354" s="617"/>
      <c r="E354" s="617"/>
      <c r="F354" s="617"/>
      <c r="G354" s="617"/>
      <c r="H354" s="617"/>
      <c r="I354" s="617"/>
      <c r="J354" s="617"/>
      <c r="K354" s="617"/>
      <c r="L354" s="617"/>
    </row>
  </sheetData>
  <sheetProtection sheet="1" objects="1" scenarios="1"/>
  <mergeCells count="55">
    <mergeCell ref="C83:D83"/>
    <mergeCell ref="B85:K85"/>
    <mergeCell ref="C134:D134"/>
    <mergeCell ref="B110:K110"/>
    <mergeCell ref="C120:D120"/>
    <mergeCell ref="C123:D123"/>
    <mergeCell ref="B130:K130"/>
    <mergeCell ref="C133:D133"/>
    <mergeCell ref="H133:I133"/>
    <mergeCell ref="C114:D114"/>
    <mergeCell ref="B6:K6"/>
    <mergeCell ref="B7:K7"/>
    <mergeCell ref="B8:K8"/>
    <mergeCell ref="B10:K10"/>
    <mergeCell ref="B12:K12"/>
    <mergeCell ref="C25:D25"/>
    <mergeCell ref="F23:G23"/>
    <mergeCell ref="B86:K86"/>
    <mergeCell ref="B88:K88"/>
    <mergeCell ref="B30:K30"/>
    <mergeCell ref="B31:K31"/>
    <mergeCell ref="B33:K33"/>
    <mergeCell ref="B35:K35"/>
    <mergeCell ref="C41:D41"/>
    <mergeCell ref="B48:C48"/>
    <mergeCell ref="G50:H50"/>
    <mergeCell ref="I51:K51"/>
    <mergeCell ref="B52:K52"/>
    <mergeCell ref="B53:K53"/>
    <mergeCell ref="B58:K58"/>
    <mergeCell ref="C74:D74"/>
    <mergeCell ref="C77:D77"/>
    <mergeCell ref="C80:D80"/>
    <mergeCell ref="B55:K55"/>
    <mergeCell ref="B57:K57"/>
    <mergeCell ref="B126:K126"/>
    <mergeCell ref="B128:K128"/>
    <mergeCell ref="B90:K90"/>
    <mergeCell ref="C94:D94"/>
    <mergeCell ref="C97:D97"/>
    <mergeCell ref="C100:D100"/>
    <mergeCell ref="B105:K105"/>
    <mergeCell ref="B106:K106"/>
    <mergeCell ref="C117:D117"/>
    <mergeCell ref="B125:K125"/>
    <mergeCell ref="C148:D148"/>
    <mergeCell ref="J148:K148"/>
    <mergeCell ref="C103:D103"/>
    <mergeCell ref="H134:I134"/>
    <mergeCell ref="C136:D136"/>
    <mergeCell ref="C137:D137"/>
    <mergeCell ref="B144:K144"/>
    <mergeCell ref="C147:D147"/>
    <mergeCell ref="J147:K147"/>
    <mergeCell ref="B108:K108"/>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A40"/>
  <sheetViews>
    <sheetView zoomScalePageLayoutView="0" workbookViewId="0" topLeftCell="A1">
      <selection activeCell="A5" sqref="A5"/>
    </sheetView>
  </sheetViews>
  <sheetFormatPr defaultColWidth="8.796875" defaultRowHeight="15"/>
  <cols>
    <col min="1" max="1" width="71.19921875" style="0" customWidth="1"/>
  </cols>
  <sheetData>
    <row r="1" ht="16.5">
      <c r="A1" s="545" t="s">
        <v>718</v>
      </c>
    </row>
    <row r="3" ht="31.5">
      <c r="A3" s="546" t="s">
        <v>719</v>
      </c>
    </row>
    <row r="4" ht="15.75">
      <c r="A4" s="547" t="s">
        <v>720</v>
      </c>
    </row>
    <row r="7" ht="31.5">
      <c r="A7" s="546" t="s">
        <v>721</v>
      </c>
    </row>
    <row r="8" ht="15.75">
      <c r="A8" s="547" t="s">
        <v>722</v>
      </c>
    </row>
    <row r="11" ht="15.75">
      <c r="A11" s="544" t="s">
        <v>723</v>
      </c>
    </row>
    <row r="12" ht="15.75">
      <c r="A12" s="547" t="s">
        <v>724</v>
      </c>
    </row>
    <row r="15" ht="15.75">
      <c r="A15" s="544" t="s">
        <v>725</v>
      </c>
    </row>
    <row r="16" ht="15.75">
      <c r="A16" s="547" t="s">
        <v>726</v>
      </c>
    </row>
    <row r="19" ht="15.75">
      <c r="A19" s="544" t="s">
        <v>727</v>
      </c>
    </row>
    <row r="20" ht="15.75">
      <c r="A20" s="547" t="s">
        <v>728</v>
      </c>
    </row>
    <row r="23" ht="15.75">
      <c r="A23" s="544" t="s">
        <v>729</v>
      </c>
    </row>
    <row r="24" ht="15.75">
      <c r="A24" s="547" t="s">
        <v>730</v>
      </c>
    </row>
    <row r="27" ht="15.75">
      <c r="A27" s="544" t="s">
        <v>731</v>
      </c>
    </row>
    <row r="28" ht="15.75">
      <c r="A28" s="547" t="s">
        <v>732</v>
      </c>
    </row>
    <row r="31" ht="15.75">
      <c r="A31" s="544" t="s">
        <v>733</v>
      </c>
    </row>
    <row r="32" ht="15.75">
      <c r="A32" s="547" t="s">
        <v>734</v>
      </c>
    </row>
    <row r="35" ht="15.75">
      <c r="A35" s="544" t="s">
        <v>735</v>
      </c>
    </row>
    <row r="36" ht="15.75">
      <c r="A36" s="547" t="s">
        <v>736</v>
      </c>
    </row>
    <row r="39" ht="15.75">
      <c r="A39" s="544" t="s">
        <v>737</v>
      </c>
    </row>
    <row r="40" ht="15.75">
      <c r="A40" s="547" t="s">
        <v>738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A165"/>
  <sheetViews>
    <sheetView zoomScalePageLayoutView="0" workbookViewId="0" topLeftCell="A1">
      <selection activeCell="C16" sqref="C16"/>
    </sheetView>
  </sheetViews>
  <sheetFormatPr defaultColWidth="8.796875" defaultRowHeight="15"/>
  <cols>
    <col min="1" max="1" width="80.09765625" style="72" customWidth="1"/>
    <col min="2" max="16384" width="8.8984375" style="72" customWidth="1"/>
  </cols>
  <sheetData>
    <row r="1" ht="15.75">
      <c r="A1" s="431" t="s">
        <v>868</v>
      </c>
    </row>
    <row r="2" ht="15.75">
      <c r="A2" s="720" t="s">
        <v>864</v>
      </c>
    </row>
    <row r="3" ht="15.75">
      <c r="A3" s="72" t="s">
        <v>865</v>
      </c>
    </row>
    <row r="4" ht="15.75">
      <c r="A4" s="72" t="s">
        <v>866</v>
      </c>
    </row>
    <row r="5" ht="15.75">
      <c r="A5" s="72" t="s">
        <v>867</v>
      </c>
    </row>
    <row r="6" ht="15.75">
      <c r="A6" s="72" t="s">
        <v>869</v>
      </c>
    </row>
    <row r="7" ht="15.75">
      <c r="A7" s="72" t="s">
        <v>870</v>
      </c>
    </row>
    <row r="8" ht="15.75">
      <c r="A8" s="72" t="s">
        <v>871</v>
      </c>
    </row>
    <row r="9" ht="15.75">
      <c r="A9" s="72" t="s">
        <v>872</v>
      </c>
    </row>
    <row r="10" ht="15.75">
      <c r="A10" s="72" t="s">
        <v>873</v>
      </c>
    </row>
    <row r="11" ht="15.75">
      <c r="A11" s="72" t="s">
        <v>874</v>
      </c>
    </row>
    <row r="12" ht="15.75">
      <c r="A12" s="72" t="s">
        <v>875</v>
      </c>
    </row>
    <row r="13" ht="15.75">
      <c r="A13" s="72" t="s">
        <v>876</v>
      </c>
    </row>
    <row r="14" ht="47.25">
      <c r="A14" s="75" t="s">
        <v>877</v>
      </c>
    </row>
    <row r="15" ht="31.5">
      <c r="A15" s="75" t="s">
        <v>878</v>
      </c>
    </row>
    <row r="16" ht="15.75">
      <c r="A16" s="72" t="s">
        <v>879</v>
      </c>
    </row>
    <row r="17" ht="15.75">
      <c r="A17" s="72" t="s">
        <v>880</v>
      </c>
    </row>
    <row r="18" ht="15.75">
      <c r="A18" s="72" t="s">
        <v>881</v>
      </c>
    </row>
    <row r="19" ht="15.75">
      <c r="A19" s="72" t="s">
        <v>882</v>
      </c>
    </row>
    <row r="20" ht="15.75">
      <c r="A20" s="72" t="s">
        <v>883</v>
      </c>
    </row>
    <row r="21" ht="15.75">
      <c r="A21" s="72" t="s">
        <v>884</v>
      </c>
    </row>
    <row r="22" ht="15.75">
      <c r="A22" s="72" t="s">
        <v>885</v>
      </c>
    </row>
    <row r="23" ht="15.75">
      <c r="A23" s="72" t="s">
        <v>886</v>
      </c>
    </row>
    <row r="24" ht="15.75">
      <c r="A24" s="72" t="s">
        <v>887</v>
      </c>
    </row>
    <row r="25" ht="15.75">
      <c r="A25" s="72" t="s">
        <v>888</v>
      </c>
    </row>
    <row r="26" ht="15.75">
      <c r="A26" s="72" t="s">
        <v>889</v>
      </c>
    </row>
    <row r="27" ht="15.75">
      <c r="A27" s="72" t="s">
        <v>890</v>
      </c>
    </row>
    <row r="32" ht="15.75">
      <c r="A32" s="431" t="s">
        <v>810</v>
      </c>
    </row>
    <row r="33" ht="15.75">
      <c r="A33" s="543" t="s">
        <v>811</v>
      </c>
    </row>
    <row r="35" ht="15.75">
      <c r="A35" s="431" t="s">
        <v>695</v>
      </c>
    </row>
    <row r="36" ht="15.75">
      <c r="A36" s="543" t="s">
        <v>696</v>
      </c>
    </row>
    <row r="37" ht="15.75">
      <c r="A37" s="543" t="s">
        <v>697</v>
      </c>
    </row>
    <row r="38" ht="15.75">
      <c r="A38" s="542" t="s">
        <v>698</v>
      </c>
    </row>
    <row r="39" ht="15.75">
      <c r="A39" s="543" t="s">
        <v>699</v>
      </c>
    </row>
    <row r="40" ht="15.75">
      <c r="A40" s="543" t="s">
        <v>700</v>
      </c>
    </row>
    <row r="41" ht="15.75">
      <c r="A41" s="543" t="s">
        <v>701</v>
      </c>
    </row>
    <row r="42" ht="15.75">
      <c r="A42" s="543" t="s">
        <v>702</v>
      </c>
    </row>
    <row r="43" ht="15.75">
      <c r="A43" s="543" t="s">
        <v>703</v>
      </c>
    </row>
    <row r="44" ht="15.75">
      <c r="A44" s="543" t="s">
        <v>704</v>
      </c>
    </row>
    <row r="45" ht="15.75">
      <c r="A45" s="543" t="s">
        <v>705</v>
      </c>
    </row>
    <row r="46" ht="15.75">
      <c r="A46" s="543" t="s">
        <v>706</v>
      </c>
    </row>
    <row r="47" ht="15.75">
      <c r="A47" s="543" t="s">
        <v>707</v>
      </c>
    </row>
    <row r="48" ht="15.75">
      <c r="A48" s="543" t="s">
        <v>708</v>
      </c>
    </row>
    <row r="49" ht="15.75">
      <c r="A49" s="543" t="s">
        <v>709</v>
      </c>
    </row>
    <row r="50" ht="15.75">
      <c r="A50" s="543" t="s">
        <v>710</v>
      </c>
    </row>
    <row r="51" ht="15.75">
      <c r="A51" s="543" t="s">
        <v>711</v>
      </c>
    </row>
    <row r="52" ht="15.75">
      <c r="A52" s="543" t="s">
        <v>712</v>
      </c>
    </row>
    <row r="53" ht="15.75">
      <c r="A53" s="543" t="s">
        <v>713</v>
      </c>
    </row>
    <row r="54" ht="15.75">
      <c r="A54" s="543" t="s">
        <v>714</v>
      </c>
    </row>
    <row r="55" ht="15.75">
      <c r="A55" s="543" t="s">
        <v>715</v>
      </c>
    </row>
    <row r="56" ht="15.75">
      <c r="A56" s="542" t="s">
        <v>716</v>
      </c>
    </row>
    <row r="57" ht="15.75">
      <c r="A57" s="72" t="s">
        <v>717</v>
      </c>
    </row>
    <row r="63" ht="15.75">
      <c r="A63" s="431" t="s">
        <v>675</v>
      </c>
    </row>
    <row r="64" ht="15.75">
      <c r="A64" s="72" t="s">
        <v>676</v>
      </c>
    </row>
    <row r="66" ht="15.75">
      <c r="A66" s="431" t="s">
        <v>669</v>
      </c>
    </row>
    <row r="67" ht="15.75">
      <c r="A67" s="72" t="s">
        <v>670</v>
      </c>
    </row>
    <row r="68" ht="15.75">
      <c r="A68" s="72" t="s">
        <v>671</v>
      </c>
    </row>
    <row r="69" ht="15.75">
      <c r="A69" s="72" t="s">
        <v>672</v>
      </c>
    </row>
    <row r="71" ht="15.75">
      <c r="A71" s="444" t="s">
        <v>658</v>
      </c>
    </row>
    <row r="72" ht="15.75">
      <c r="A72" s="72" t="s">
        <v>668</v>
      </c>
    </row>
    <row r="74" ht="15.75">
      <c r="A74" s="431" t="s">
        <v>424</v>
      </c>
    </row>
    <row r="75" ht="15.75">
      <c r="A75" s="432" t="s">
        <v>425</v>
      </c>
    </row>
    <row r="76" ht="15.75">
      <c r="A76" s="432" t="s">
        <v>426</v>
      </c>
    </row>
    <row r="77" ht="15.75">
      <c r="A77" s="432" t="s">
        <v>427</v>
      </c>
    </row>
    <row r="78" ht="15.75">
      <c r="A78" s="72" t="s">
        <v>428</v>
      </c>
    </row>
    <row r="80" ht="15.75">
      <c r="A80" s="410" t="s">
        <v>358</v>
      </c>
    </row>
    <row r="81" ht="15.75">
      <c r="A81" s="72" t="s">
        <v>359</v>
      </c>
    </row>
    <row r="82" ht="15.75">
      <c r="A82" s="72" t="s">
        <v>360</v>
      </c>
    </row>
    <row r="83" ht="15.75">
      <c r="A83" s="72" t="s">
        <v>361</v>
      </c>
    </row>
    <row r="84" ht="15.75">
      <c r="A84" s="72" t="s">
        <v>393</v>
      </c>
    </row>
    <row r="85" ht="15.75">
      <c r="A85" s="72" t="s">
        <v>392</v>
      </c>
    </row>
    <row r="86" ht="15.75">
      <c r="A86" s="72" t="s">
        <v>394</v>
      </c>
    </row>
    <row r="87" ht="15.75">
      <c r="A87" s="72" t="s">
        <v>396</v>
      </c>
    </row>
    <row r="88" ht="22.5" customHeight="1">
      <c r="A88" s="75" t="s">
        <v>395</v>
      </c>
    </row>
    <row r="89" ht="22.5" customHeight="1">
      <c r="A89" s="75" t="s">
        <v>410</v>
      </c>
    </row>
    <row r="90" ht="22.5" customHeight="1">
      <c r="A90" s="420" t="s">
        <v>414</v>
      </c>
    </row>
    <row r="92" ht="15.75">
      <c r="A92" s="410" t="s">
        <v>351</v>
      </c>
    </row>
    <row r="93" ht="15.75">
      <c r="A93" s="72" t="s">
        <v>352</v>
      </c>
    </row>
    <row r="94" ht="15.75">
      <c r="A94" s="72" t="s">
        <v>353</v>
      </c>
    </row>
    <row r="96" ht="15.75">
      <c r="A96" s="410" t="s">
        <v>121</v>
      </c>
    </row>
    <row r="97" ht="15.75">
      <c r="A97" s="72" t="s">
        <v>101</v>
      </c>
    </row>
    <row r="98" ht="15.75">
      <c r="A98" s="72" t="s">
        <v>102</v>
      </c>
    </row>
    <row r="99" ht="15.75">
      <c r="A99" s="72" t="s">
        <v>103</v>
      </c>
    </row>
    <row r="100" ht="15.75">
      <c r="A100" s="72" t="s">
        <v>104</v>
      </c>
    </row>
    <row r="101" ht="15.75">
      <c r="A101" s="72" t="s">
        <v>105</v>
      </c>
    </row>
    <row r="102" ht="15.75">
      <c r="A102" s="72" t="s">
        <v>106</v>
      </c>
    </row>
    <row r="103" ht="31.5">
      <c r="A103" s="75" t="s">
        <v>107</v>
      </c>
    </row>
    <row r="104" ht="31.5">
      <c r="A104" s="75" t="s">
        <v>108</v>
      </c>
    </row>
    <row r="105" ht="15.75">
      <c r="A105" s="75" t="s">
        <v>109</v>
      </c>
    </row>
    <row r="106" ht="15.75">
      <c r="A106" s="75" t="s">
        <v>110</v>
      </c>
    </row>
    <row r="107" ht="31.5">
      <c r="A107" s="75" t="s">
        <v>111</v>
      </c>
    </row>
    <row r="108" ht="15.75">
      <c r="A108" s="72" t="s">
        <v>112</v>
      </c>
    </row>
    <row r="109" ht="31.5">
      <c r="A109" s="75" t="s">
        <v>113</v>
      </c>
    </row>
    <row r="110" ht="15.75">
      <c r="A110" s="72" t="s">
        <v>114</v>
      </c>
    </row>
    <row r="111" ht="15.75">
      <c r="A111" s="72" t="s">
        <v>115</v>
      </c>
    </row>
    <row r="112" ht="15.75">
      <c r="A112" s="72" t="s">
        <v>116</v>
      </c>
    </row>
    <row r="113" ht="15.75">
      <c r="A113" s="72" t="s">
        <v>117</v>
      </c>
    </row>
    <row r="114" ht="31.5">
      <c r="A114" s="75" t="s">
        <v>118</v>
      </c>
    </row>
    <row r="115" ht="15.75">
      <c r="A115" s="72" t="s">
        <v>119</v>
      </c>
    </row>
    <row r="118" ht="15.75">
      <c r="A118" s="410" t="s">
        <v>95</v>
      </c>
    </row>
    <row r="119" ht="15.75">
      <c r="A119" s="72" t="s">
        <v>98</v>
      </c>
    </row>
    <row r="120" ht="15.75">
      <c r="A120" s="72" t="s">
        <v>96</v>
      </c>
    </row>
    <row r="121" ht="15.75">
      <c r="A121" s="72" t="s">
        <v>97</v>
      </c>
    </row>
    <row r="122" ht="15.75">
      <c r="A122" s="72" t="s">
        <v>362</v>
      </c>
    </row>
    <row r="124" ht="15.75">
      <c r="A124" s="410" t="s">
        <v>91</v>
      </c>
    </row>
    <row r="125" ht="31.5">
      <c r="A125" s="75" t="s">
        <v>92</v>
      </c>
    </row>
    <row r="126" ht="15.75">
      <c r="A126" s="72" t="s">
        <v>93</v>
      </c>
    </row>
    <row r="127" ht="15.75">
      <c r="A127" s="72" t="s">
        <v>94</v>
      </c>
    </row>
    <row r="130" ht="15.75">
      <c r="A130" s="410" t="s">
        <v>35</v>
      </c>
    </row>
    <row r="131" ht="47.25">
      <c r="A131" s="75" t="s">
        <v>363</v>
      </c>
    </row>
    <row r="132" ht="15.75">
      <c r="A132" s="72" t="s">
        <v>36</v>
      </c>
    </row>
    <row r="133" ht="15.75">
      <c r="A133" s="72" t="s">
        <v>42</v>
      </c>
    </row>
    <row r="134" ht="15.75">
      <c r="A134" s="72" t="s">
        <v>364</v>
      </c>
    </row>
    <row r="135" ht="15.75">
      <c r="A135" s="72" t="s">
        <v>37</v>
      </c>
    </row>
    <row r="136" ht="15.75">
      <c r="A136" s="72" t="s">
        <v>38</v>
      </c>
    </row>
    <row r="137" ht="15.75">
      <c r="A137" s="72" t="s">
        <v>43</v>
      </c>
    </row>
    <row r="138" ht="15.75">
      <c r="A138" s="75" t="s">
        <v>59</v>
      </c>
    </row>
    <row r="139" ht="31.5">
      <c r="A139" s="75" t="s">
        <v>126</v>
      </c>
    </row>
    <row r="140" ht="15.75">
      <c r="A140" s="72" t="s">
        <v>44</v>
      </c>
    </row>
    <row r="141" ht="15.75">
      <c r="A141" s="72" t="s">
        <v>45</v>
      </c>
    </row>
    <row r="142" ht="15.75">
      <c r="A142" s="72" t="s">
        <v>365</v>
      </c>
    </row>
    <row r="143" ht="15.75">
      <c r="A143" s="72" t="s">
        <v>58</v>
      </c>
    </row>
    <row r="144" ht="15.75">
      <c r="A144" s="72" t="s">
        <v>366</v>
      </c>
    </row>
    <row r="145" ht="31.5">
      <c r="A145" s="75" t="s">
        <v>367</v>
      </c>
    </row>
    <row r="146" ht="15.75">
      <c r="A146" s="72" t="s">
        <v>46</v>
      </c>
    </row>
    <row r="147" ht="15.75">
      <c r="A147" s="72" t="s">
        <v>47</v>
      </c>
    </row>
    <row r="148" ht="31.5">
      <c r="A148" s="75" t="s">
        <v>48</v>
      </c>
    </row>
    <row r="149" ht="15.75">
      <c r="A149" s="72" t="s">
        <v>368</v>
      </c>
    </row>
    <row r="150" ht="15.75">
      <c r="A150" s="72" t="s">
        <v>50</v>
      </c>
    </row>
    <row r="151" ht="15.75">
      <c r="A151" s="72" t="s">
        <v>49</v>
      </c>
    </row>
    <row r="152" ht="15.75">
      <c r="A152" s="72" t="s">
        <v>55</v>
      </c>
    </row>
    <row r="153" ht="15.75">
      <c r="A153" s="72" t="s">
        <v>61</v>
      </c>
    </row>
    <row r="154" ht="15.75">
      <c r="A154" s="72" t="s">
        <v>62</v>
      </c>
    </row>
    <row r="155" ht="15.75">
      <c r="A155" s="72" t="s">
        <v>65</v>
      </c>
    </row>
    <row r="156" ht="15.75">
      <c r="A156" s="72" t="s">
        <v>369</v>
      </c>
    </row>
    <row r="157" ht="15.75">
      <c r="A157" s="72" t="s">
        <v>123</v>
      </c>
    </row>
    <row r="158" ht="15.75">
      <c r="A158" s="72" t="s">
        <v>370</v>
      </c>
    </row>
    <row r="159" ht="15.75">
      <c r="A159" s="72" t="s">
        <v>67</v>
      </c>
    </row>
    <row r="160" ht="15.75">
      <c r="A160" s="72" t="s">
        <v>69</v>
      </c>
    </row>
    <row r="161" ht="15.75">
      <c r="A161" s="72" t="s">
        <v>70</v>
      </c>
    </row>
    <row r="162" ht="15.75">
      <c r="A162" s="72" t="s">
        <v>124</v>
      </c>
    </row>
    <row r="163" ht="15.75">
      <c r="A163" s="72" t="s">
        <v>125</v>
      </c>
    </row>
    <row r="164" ht="15.75">
      <c r="A164" s="72" t="s">
        <v>90</v>
      </c>
    </row>
    <row r="165" ht="15.75">
      <c r="A165" s="72" t="s">
        <v>88</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G10" sqref="G10"/>
    </sheetView>
  </sheetViews>
  <sheetFormatPr defaultColWidth="8.796875" defaultRowHeight="15"/>
  <cols>
    <col min="1" max="1" width="20.796875" style="72" customWidth="1"/>
    <col min="2" max="2" width="9.796875" style="72" customWidth="1"/>
    <col min="3" max="3" width="5.796875" style="72" customWidth="1"/>
    <col min="4" max="7" width="12.796875" style="72" customWidth="1"/>
    <col min="8" max="16384" width="8.8984375" style="72" customWidth="1"/>
  </cols>
  <sheetData>
    <row r="1" spans="1:7" ht="15.75">
      <c r="A1" s="125"/>
      <c r="B1" s="125"/>
      <c r="C1" s="125"/>
      <c r="D1" s="125"/>
      <c r="E1" s="125"/>
      <c r="F1" s="125"/>
      <c r="G1" s="125"/>
    </row>
    <row r="2" spans="1:7" ht="15.75">
      <c r="A2" s="125"/>
      <c r="B2" s="125"/>
      <c r="C2" s="125"/>
      <c r="D2" s="125"/>
      <c r="E2" s="125"/>
      <c r="F2" s="125"/>
      <c r="G2" s="125"/>
    </row>
    <row r="3" spans="1:7" ht="15.75">
      <c r="A3" s="144" t="str">
        <f>inputPrYr!C2</f>
        <v>Rice County</v>
      </c>
      <c r="B3" s="125"/>
      <c r="C3" s="125"/>
      <c r="D3" s="125"/>
      <c r="E3" s="125"/>
      <c r="F3" s="125"/>
      <c r="G3" s="125">
        <f>inputPrYr!C4</f>
        <v>2013</v>
      </c>
    </row>
    <row r="4" spans="1:7" ht="15.75">
      <c r="A4" s="732" t="s">
        <v>13</v>
      </c>
      <c r="B4" s="752"/>
      <c r="C4" s="752"/>
      <c r="D4" s="752"/>
      <c r="E4" s="752"/>
      <c r="F4" s="752"/>
      <c r="G4" s="752"/>
    </row>
    <row r="5" spans="1:7" ht="15.75">
      <c r="A5" s="211"/>
      <c r="B5" s="93"/>
      <c r="C5" s="93"/>
      <c r="D5" s="211"/>
      <c r="E5" s="211"/>
      <c r="F5" s="211"/>
      <c r="G5" s="211"/>
    </row>
    <row r="6" spans="1:7" ht="15.75">
      <c r="A6" s="85"/>
      <c r="B6" s="85"/>
      <c r="C6" s="85"/>
      <c r="D6" s="212" t="str">
        <f>CONCATENATE("",G3," Proposed Budget")</f>
        <v>2013 Proposed Budget</v>
      </c>
      <c r="E6" s="213"/>
      <c r="F6" s="213"/>
      <c r="G6" s="214"/>
    </row>
    <row r="7" spans="1:7" ht="21" customHeight="1">
      <c r="A7" s="85"/>
      <c r="B7" s="85"/>
      <c r="C7" s="215" t="s">
        <v>137</v>
      </c>
      <c r="D7" s="493" t="s">
        <v>677</v>
      </c>
      <c r="E7" s="759" t="str">
        <f>CONCATENATE("Amount of ",G3-1,"      Ad Valorem Tax")</f>
        <v>Amount of 2012      Ad Valorem Tax</v>
      </c>
      <c r="F7" s="759" t="s">
        <v>323</v>
      </c>
      <c r="G7" s="215" t="s">
        <v>138</v>
      </c>
    </row>
    <row r="8" spans="1:7" ht="15.75">
      <c r="A8" s="216" t="s">
        <v>12</v>
      </c>
      <c r="B8" s="114"/>
      <c r="C8" s="217" t="s">
        <v>140</v>
      </c>
      <c r="D8" s="494" t="s">
        <v>678</v>
      </c>
      <c r="E8" s="739"/>
      <c r="F8" s="739"/>
      <c r="G8" s="217" t="s">
        <v>142</v>
      </c>
    </row>
    <row r="9" spans="1:7" ht="15.75">
      <c r="A9" s="218" t="s">
        <v>11</v>
      </c>
      <c r="B9" s="219" t="s">
        <v>146</v>
      </c>
      <c r="C9" s="108"/>
      <c r="D9" s="108"/>
      <c r="E9" s="108"/>
      <c r="F9" s="108"/>
      <c r="G9" s="108"/>
    </row>
    <row r="10" spans="1:7" ht="15.75">
      <c r="A10" s="220"/>
      <c r="B10" s="147"/>
      <c r="C10" s="147"/>
      <c r="D10" s="147"/>
      <c r="E10" s="147"/>
      <c r="F10" s="147"/>
      <c r="G10" s="192" t="str">
        <f>IF(AND(D10=0,F10&gt;=0)," ",IF(AND(E10&gt;0,F10=0)," ",IF(AND(E10&gt;0,F10&gt;0),ROUND(E10/F10*1000,3))))</f>
        <v> </v>
      </c>
    </row>
    <row r="11" spans="1:7" ht="15.75">
      <c r="A11" s="147"/>
      <c r="B11" s="147"/>
      <c r="C11" s="147"/>
      <c r="D11" s="147"/>
      <c r="E11" s="147"/>
      <c r="F11" s="147"/>
      <c r="G11" s="192" t="str">
        <f aca="true" t="shared" si="0" ref="G11:G38">IF(AND(D11=0,F11&gt;=0)," ",IF(AND(E11&gt;0,F11=0)," ",IF(AND(E11&gt;0,F11&gt;0),ROUND(E11/F11*1000,3))))</f>
        <v> </v>
      </c>
    </row>
    <row r="12" spans="1:7" ht="15.75">
      <c r="A12" s="147"/>
      <c r="B12" s="147"/>
      <c r="C12" s="147"/>
      <c r="D12" s="147"/>
      <c r="E12" s="147"/>
      <c r="F12" s="147"/>
      <c r="G12" s="192" t="str">
        <f t="shared" si="0"/>
        <v> </v>
      </c>
    </row>
    <row r="13" spans="1:7" ht="15.75">
      <c r="A13" s="147"/>
      <c r="B13" s="147"/>
      <c r="C13" s="147"/>
      <c r="D13" s="147"/>
      <c r="E13" s="147"/>
      <c r="F13" s="147"/>
      <c r="G13" s="192" t="str">
        <f t="shared" si="0"/>
        <v> </v>
      </c>
    </row>
    <row r="14" spans="1:7" ht="15.75">
      <c r="A14" s="147"/>
      <c r="B14" s="147"/>
      <c r="C14" s="147"/>
      <c r="D14" s="147"/>
      <c r="E14" s="147"/>
      <c r="F14" s="147"/>
      <c r="G14" s="192" t="str">
        <f t="shared" si="0"/>
        <v> </v>
      </c>
    </row>
    <row r="15" spans="1:7" ht="15.75">
      <c r="A15" s="147"/>
      <c r="B15" s="147"/>
      <c r="C15" s="147"/>
      <c r="D15" s="147"/>
      <c r="E15" s="147"/>
      <c r="F15" s="147"/>
      <c r="G15" s="192" t="str">
        <f t="shared" si="0"/>
        <v> </v>
      </c>
    </row>
    <row r="16" spans="1:7" ht="15.75">
      <c r="A16" s="147"/>
      <c r="B16" s="147"/>
      <c r="C16" s="147"/>
      <c r="D16" s="147"/>
      <c r="E16" s="147"/>
      <c r="F16" s="147"/>
      <c r="G16" s="192" t="str">
        <f t="shared" si="0"/>
        <v> </v>
      </c>
    </row>
    <row r="17" spans="1:7" ht="15.75">
      <c r="A17" s="147"/>
      <c r="B17" s="147"/>
      <c r="C17" s="147"/>
      <c r="D17" s="147"/>
      <c r="E17" s="147"/>
      <c r="F17" s="147"/>
      <c r="G17" s="192" t="str">
        <f t="shared" si="0"/>
        <v> </v>
      </c>
    </row>
    <row r="18" spans="1:7" ht="15.75">
      <c r="A18" s="147"/>
      <c r="B18" s="147"/>
      <c r="C18" s="147"/>
      <c r="D18" s="147"/>
      <c r="E18" s="147"/>
      <c r="F18" s="147"/>
      <c r="G18" s="192" t="str">
        <f t="shared" si="0"/>
        <v> </v>
      </c>
    </row>
    <row r="19" spans="1:7" ht="15.75">
      <c r="A19" s="147"/>
      <c r="B19" s="147"/>
      <c r="C19" s="147"/>
      <c r="D19" s="147"/>
      <c r="E19" s="147"/>
      <c r="F19" s="147"/>
      <c r="G19" s="192" t="str">
        <f t="shared" si="0"/>
        <v> </v>
      </c>
    </row>
    <row r="20" spans="1:7" ht="15.75">
      <c r="A20" s="147"/>
      <c r="B20" s="147"/>
      <c r="C20" s="147"/>
      <c r="D20" s="147"/>
      <c r="E20" s="147"/>
      <c r="F20" s="147"/>
      <c r="G20" s="192" t="str">
        <f t="shared" si="0"/>
        <v> </v>
      </c>
    </row>
    <row r="21" spans="1:7" ht="15.75">
      <c r="A21" s="147"/>
      <c r="B21" s="147"/>
      <c r="C21" s="147"/>
      <c r="D21" s="147"/>
      <c r="E21" s="147"/>
      <c r="F21" s="147"/>
      <c r="G21" s="192" t="str">
        <f t="shared" si="0"/>
        <v> </v>
      </c>
    </row>
    <row r="22" spans="1:7" ht="15.75">
      <c r="A22" s="147"/>
      <c r="B22" s="147"/>
      <c r="C22" s="147"/>
      <c r="D22" s="147"/>
      <c r="E22" s="147"/>
      <c r="F22" s="147"/>
      <c r="G22" s="192" t="str">
        <f t="shared" si="0"/>
        <v> </v>
      </c>
    </row>
    <row r="23" spans="1:7" ht="15.75">
      <c r="A23" s="147"/>
      <c r="B23" s="147"/>
      <c r="C23" s="147"/>
      <c r="D23" s="147"/>
      <c r="E23" s="147"/>
      <c r="F23" s="147"/>
      <c r="G23" s="192" t="str">
        <f t="shared" si="0"/>
        <v> </v>
      </c>
    </row>
    <row r="24" spans="1:7" ht="15.75">
      <c r="A24" s="147"/>
      <c r="B24" s="147"/>
      <c r="C24" s="147"/>
      <c r="D24" s="147"/>
      <c r="E24" s="147"/>
      <c r="F24" s="147"/>
      <c r="G24" s="192" t="str">
        <f t="shared" si="0"/>
        <v> </v>
      </c>
    </row>
    <row r="25" spans="1:7" ht="15.75">
      <c r="A25" s="147"/>
      <c r="B25" s="147"/>
      <c r="C25" s="147"/>
      <c r="D25" s="147"/>
      <c r="E25" s="147"/>
      <c r="F25" s="147"/>
      <c r="G25" s="192" t="str">
        <f t="shared" si="0"/>
        <v> </v>
      </c>
    </row>
    <row r="26" spans="1:7" ht="15.75">
      <c r="A26" s="147"/>
      <c r="B26" s="147"/>
      <c r="C26" s="147"/>
      <c r="D26" s="147"/>
      <c r="E26" s="147"/>
      <c r="F26" s="147"/>
      <c r="G26" s="192" t="str">
        <f t="shared" si="0"/>
        <v> </v>
      </c>
    </row>
    <row r="27" spans="1:7" ht="15.75">
      <c r="A27" s="147"/>
      <c r="B27" s="147"/>
      <c r="C27" s="147"/>
      <c r="D27" s="147"/>
      <c r="E27" s="147"/>
      <c r="F27" s="147"/>
      <c r="G27" s="192" t="str">
        <f t="shared" si="0"/>
        <v> </v>
      </c>
    </row>
    <row r="28" spans="1:7" ht="15.75">
      <c r="A28" s="147"/>
      <c r="B28" s="147"/>
      <c r="C28" s="147"/>
      <c r="D28" s="147"/>
      <c r="E28" s="147"/>
      <c r="F28" s="147"/>
      <c r="G28" s="192" t="str">
        <f t="shared" si="0"/>
        <v> </v>
      </c>
    </row>
    <row r="29" spans="1:7" ht="15.75">
      <c r="A29" s="147"/>
      <c r="B29" s="111"/>
      <c r="C29" s="147"/>
      <c r="D29" s="147"/>
      <c r="E29" s="111"/>
      <c r="F29" s="111"/>
      <c r="G29" s="192" t="str">
        <f t="shared" si="0"/>
        <v> </v>
      </c>
    </row>
    <row r="30" spans="1:7" ht="15.75">
      <c r="A30" s="147"/>
      <c r="B30" s="111"/>
      <c r="C30" s="147"/>
      <c r="D30" s="147"/>
      <c r="E30" s="111"/>
      <c r="F30" s="111"/>
      <c r="G30" s="192" t="str">
        <f t="shared" si="0"/>
        <v> </v>
      </c>
    </row>
    <row r="31" spans="1:7" ht="15.75">
      <c r="A31" s="147"/>
      <c r="B31" s="111"/>
      <c r="C31" s="147"/>
      <c r="D31" s="147"/>
      <c r="E31" s="111"/>
      <c r="F31" s="111"/>
      <c r="G31" s="192" t="str">
        <f t="shared" si="0"/>
        <v> </v>
      </c>
    </row>
    <row r="32" spans="1:7" ht="15.75">
      <c r="A32" s="147"/>
      <c r="B32" s="111"/>
      <c r="C32" s="147"/>
      <c r="D32" s="147"/>
      <c r="E32" s="111"/>
      <c r="F32" s="111"/>
      <c r="G32" s="192" t="str">
        <f t="shared" si="0"/>
        <v> </v>
      </c>
    </row>
    <row r="33" spans="1:7" ht="15.75">
      <c r="A33" s="147"/>
      <c r="B33" s="111"/>
      <c r="C33" s="147"/>
      <c r="D33" s="147"/>
      <c r="E33" s="111"/>
      <c r="F33" s="111"/>
      <c r="G33" s="192" t="str">
        <f t="shared" si="0"/>
        <v> </v>
      </c>
    </row>
    <row r="34" spans="1:7" ht="15.75">
      <c r="A34" s="147"/>
      <c r="B34" s="111"/>
      <c r="C34" s="147"/>
      <c r="D34" s="147"/>
      <c r="E34" s="111"/>
      <c r="F34" s="111"/>
      <c r="G34" s="192" t="str">
        <f t="shared" si="0"/>
        <v> </v>
      </c>
    </row>
    <row r="35" spans="1:7" ht="15.75">
      <c r="A35" s="147"/>
      <c r="B35" s="111"/>
      <c r="C35" s="147"/>
      <c r="D35" s="147"/>
      <c r="E35" s="111"/>
      <c r="F35" s="111"/>
      <c r="G35" s="192" t="str">
        <f t="shared" si="0"/>
        <v> </v>
      </c>
    </row>
    <row r="36" spans="1:7" ht="15.75">
      <c r="A36" s="147"/>
      <c r="B36" s="111"/>
      <c r="C36" s="147"/>
      <c r="D36" s="147"/>
      <c r="E36" s="111"/>
      <c r="F36" s="111"/>
      <c r="G36" s="192" t="str">
        <f t="shared" si="0"/>
        <v> </v>
      </c>
    </row>
    <row r="37" spans="1:7" ht="15.75">
      <c r="A37" s="147"/>
      <c r="B37" s="111"/>
      <c r="C37" s="147"/>
      <c r="D37" s="147"/>
      <c r="E37" s="111"/>
      <c r="F37" s="111"/>
      <c r="G37" s="192" t="str">
        <f t="shared" si="0"/>
        <v> </v>
      </c>
    </row>
    <row r="38" spans="1:7" ht="15.75">
      <c r="A38" s="147"/>
      <c r="B38" s="111"/>
      <c r="C38" s="147"/>
      <c r="D38" s="147"/>
      <c r="E38" s="111"/>
      <c r="F38" s="111"/>
      <c r="G38" s="192" t="str">
        <f t="shared" si="0"/>
        <v> </v>
      </c>
    </row>
    <row r="39" spans="1:7" ht="16.5" thickBot="1">
      <c r="A39" s="148" t="s">
        <v>147</v>
      </c>
      <c r="B39" s="115"/>
      <c r="C39" s="221" t="s">
        <v>148</v>
      </c>
      <c r="D39" s="222">
        <f>SUM(D10:D38)</f>
        <v>0</v>
      </c>
      <c r="E39" s="222">
        <f>SUM(E10:E38)</f>
        <v>0</v>
      </c>
      <c r="F39" s="222"/>
      <c r="G39" s="223">
        <f>SUM(G10:G38)</f>
        <v>0</v>
      </c>
    </row>
    <row r="40" spans="1:7" ht="16.5" thickTop="1">
      <c r="A40" s="121"/>
      <c r="B40" s="88"/>
      <c r="C40" s="224"/>
      <c r="D40" s="85"/>
      <c r="E40" s="85"/>
      <c r="F40" s="85"/>
      <c r="G40" s="85"/>
    </row>
    <row r="41" spans="1:7" ht="15.75">
      <c r="A41" s="121"/>
      <c r="B41" s="85"/>
      <c r="C41" s="85"/>
      <c r="D41" s="85"/>
      <c r="E41" s="85"/>
      <c r="F41" s="85"/>
      <c r="G41" s="85"/>
    </row>
    <row r="42" spans="1:7" ht="15.75">
      <c r="A42" s="225"/>
      <c r="B42" s="143"/>
      <c r="C42" s="143"/>
      <c r="D42" s="143"/>
      <c r="E42" s="143"/>
      <c r="F42" s="143"/>
      <c r="G42" s="143"/>
    </row>
    <row r="43" spans="1:7" ht="15.75">
      <c r="A43" s="226"/>
      <c r="B43" s="226"/>
      <c r="C43" s="226"/>
      <c r="D43" s="226"/>
      <c r="E43" s="226"/>
      <c r="F43" s="226"/>
      <c r="G43" s="226"/>
    </row>
    <row r="44" spans="1:7" ht="15.75">
      <c r="A44" s="143"/>
      <c r="B44" s="143"/>
      <c r="C44" s="143"/>
      <c r="D44" s="143"/>
      <c r="E44" s="143"/>
      <c r="F44" s="143"/>
      <c r="G44" s="227"/>
    </row>
    <row r="54" spans="1:7" ht="15.75">
      <c r="A54" s="143"/>
      <c r="B54" s="143"/>
      <c r="C54" s="143"/>
      <c r="D54" s="143"/>
      <c r="E54" s="143"/>
      <c r="F54" s="143"/>
      <c r="G54" s="143"/>
    </row>
    <row r="58" spans="1:7" ht="15.75">
      <c r="A58" s="143"/>
      <c r="B58" s="143"/>
      <c r="C58" s="143"/>
      <c r="D58" s="225"/>
      <c r="E58" s="143"/>
      <c r="F58" s="143"/>
      <c r="G58" s="143"/>
    </row>
  </sheetData>
  <sheetProtection sheet="1"/>
  <mergeCells count="3">
    <mergeCell ref="E7:E8"/>
    <mergeCell ref="F7:F8"/>
    <mergeCell ref="A4:G4"/>
  </mergeCells>
  <printOptions/>
  <pageMargins left="0.5" right="0.5" top="0" bottom="0.23" header="0" footer="0"/>
  <pageSetup blackAndWhite="1" fitToHeight="1" fitToWidth="1" horizontalDpi="120" verticalDpi="120" orientation="portrait" scale="85" r:id="rId1"/>
  <headerFooter alignWithMargins="0">
    <oddHeader>&amp;RState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zoomScale="85" zoomScaleNormal="85" zoomScalePageLayoutView="0" workbookViewId="0" topLeftCell="A1">
      <selection activeCell="J2" sqref="J2"/>
    </sheetView>
  </sheetViews>
  <sheetFormatPr defaultColWidth="8.796875" defaultRowHeight="15.75" customHeight="1"/>
  <cols>
    <col min="1" max="2" width="3.296875" style="72" customWidth="1"/>
    <col min="3" max="3" width="31.296875" style="72" customWidth="1"/>
    <col min="4" max="4" width="2.296875" style="72" customWidth="1"/>
    <col min="5" max="5" width="15.796875" style="72" customWidth="1"/>
    <col min="6" max="6" width="2" style="72" customWidth="1"/>
    <col min="7" max="7" width="15.796875" style="72" customWidth="1"/>
    <col min="8" max="8" width="1.8984375" style="72" customWidth="1"/>
    <col min="9" max="9" width="1.796875" style="72" customWidth="1"/>
    <col min="10" max="10" width="15.796875" style="72" customWidth="1"/>
    <col min="11" max="16384" width="8.8984375" style="72" customWidth="1"/>
  </cols>
  <sheetData>
    <row r="1" spans="1:10" ht="15.75" customHeight="1">
      <c r="A1" s="85"/>
      <c r="B1" s="85"/>
      <c r="C1" s="228" t="str">
        <f>inputPrYr!C2</f>
        <v>Rice County</v>
      </c>
      <c r="D1" s="85"/>
      <c r="E1" s="85"/>
      <c r="F1" s="85"/>
      <c r="G1" s="85"/>
      <c r="H1" s="85"/>
      <c r="I1" s="85"/>
      <c r="J1" s="85">
        <f>inputPrYr!C4</f>
        <v>2013</v>
      </c>
    </row>
    <row r="2" spans="1:10" ht="15.75" customHeight="1">
      <c r="A2" s="85"/>
      <c r="B2" s="85"/>
      <c r="C2" s="85"/>
      <c r="D2" s="85"/>
      <c r="E2" s="85"/>
      <c r="F2" s="85"/>
      <c r="G2" s="85"/>
      <c r="H2" s="85"/>
      <c r="I2" s="85"/>
      <c r="J2" s="85"/>
    </row>
    <row r="3" spans="1:10" ht="15.75">
      <c r="A3" s="732" t="str">
        <f>CONCATENATE("Computation to Determine Limit for ",J1,"")</f>
        <v>Computation to Determine Limit for 2013</v>
      </c>
      <c r="B3" s="761"/>
      <c r="C3" s="761"/>
      <c r="D3" s="761"/>
      <c r="E3" s="761"/>
      <c r="F3" s="761"/>
      <c r="G3" s="761"/>
      <c r="H3" s="761"/>
      <c r="I3" s="761"/>
      <c r="J3" s="761"/>
    </row>
    <row r="4" spans="1:10" ht="15.75">
      <c r="A4" s="85"/>
      <c r="B4" s="85"/>
      <c r="C4" s="85"/>
      <c r="D4" s="85"/>
      <c r="E4" s="761"/>
      <c r="F4" s="761"/>
      <c r="G4" s="761"/>
      <c r="H4" s="229"/>
      <c r="I4" s="85"/>
      <c r="J4" s="230" t="s">
        <v>248</v>
      </c>
    </row>
    <row r="5" spans="1:10" ht="15.75">
      <c r="A5" s="231" t="s">
        <v>249</v>
      </c>
      <c r="B5" s="85" t="str">
        <f>CONCATENATE("Total Tax Levy Amount in ",J1-1," Budget")</f>
        <v>Total Tax Levy Amount in 2012 Budget</v>
      </c>
      <c r="C5" s="85"/>
      <c r="D5" s="85"/>
      <c r="E5" s="145"/>
      <c r="F5" s="145"/>
      <c r="G5" s="145"/>
      <c r="H5" s="232" t="s">
        <v>250</v>
      </c>
      <c r="I5" s="145" t="s">
        <v>251</v>
      </c>
      <c r="J5" s="233">
        <f>inputPrYr!E41</f>
        <v>5262580</v>
      </c>
    </row>
    <row r="6" spans="1:10" ht="15.75">
      <c r="A6" s="231" t="s">
        <v>252</v>
      </c>
      <c r="B6" s="85" t="str">
        <f>CONCATENATE("Debt Service Levy in ",J1-1," Budget")</f>
        <v>Debt Service Levy in 2012 Budget</v>
      </c>
      <c r="C6" s="85"/>
      <c r="D6" s="85"/>
      <c r="E6" s="145"/>
      <c r="F6" s="145"/>
      <c r="G6" s="145"/>
      <c r="H6" s="232" t="s">
        <v>253</v>
      </c>
      <c r="I6" s="145" t="s">
        <v>251</v>
      </c>
      <c r="J6" s="151">
        <f>inputPrYr!E17</f>
        <v>0</v>
      </c>
    </row>
    <row r="7" spans="1:10" ht="15.75">
      <c r="A7" s="231" t="s">
        <v>254</v>
      </c>
      <c r="B7" s="152" t="s">
        <v>273</v>
      </c>
      <c r="C7" s="85"/>
      <c r="D7" s="85"/>
      <c r="E7" s="145"/>
      <c r="F7" s="145"/>
      <c r="G7" s="145"/>
      <c r="H7" s="145"/>
      <c r="I7" s="145" t="s">
        <v>251</v>
      </c>
      <c r="J7" s="151">
        <f>J5-J6</f>
        <v>5262580</v>
      </c>
    </row>
    <row r="8" spans="1:10" ht="15.75">
      <c r="A8" s="85"/>
      <c r="B8" s="85"/>
      <c r="C8" s="85"/>
      <c r="D8" s="85"/>
      <c r="E8" s="145"/>
      <c r="F8" s="145"/>
      <c r="G8" s="145"/>
      <c r="H8" s="145"/>
      <c r="I8" s="145"/>
      <c r="J8" s="145"/>
    </row>
    <row r="9" spans="1:10" ht="15.75">
      <c r="A9" s="85"/>
      <c r="B9" s="152" t="str">
        <f>CONCATENATE("",J1-1," Valuation Information for Valuation Adjustments:")</f>
        <v>2012 Valuation Information for Valuation Adjustments:</v>
      </c>
      <c r="C9" s="85"/>
      <c r="D9" s="85"/>
      <c r="E9" s="145"/>
      <c r="F9" s="145"/>
      <c r="G9" s="145"/>
      <c r="H9" s="145"/>
      <c r="I9" s="145"/>
      <c r="J9" s="145"/>
    </row>
    <row r="10" spans="1:10" ht="15.75">
      <c r="A10" s="85"/>
      <c r="B10" s="85"/>
      <c r="C10" s="152"/>
      <c r="D10" s="85"/>
      <c r="E10" s="145"/>
      <c r="F10" s="145"/>
      <c r="G10" s="145"/>
      <c r="H10" s="145"/>
      <c r="I10" s="145"/>
      <c r="J10" s="145"/>
    </row>
    <row r="11" spans="1:10" ht="15.75">
      <c r="A11" s="231" t="s">
        <v>255</v>
      </c>
      <c r="B11" s="152" t="str">
        <f>CONCATENATE("New Improvements for ",J1-1,":")</f>
        <v>New Improvements for 2012:</v>
      </c>
      <c r="C11" s="85"/>
      <c r="D11" s="85"/>
      <c r="E11" s="232"/>
      <c r="F11" s="232" t="s">
        <v>250</v>
      </c>
      <c r="G11" s="233">
        <f>inputOth!E7</f>
        <v>892712</v>
      </c>
      <c r="H11" s="123"/>
      <c r="I11" s="145"/>
      <c r="J11" s="145"/>
    </row>
    <row r="12" spans="1:10" ht="15.75">
      <c r="A12" s="231"/>
      <c r="B12" s="231"/>
      <c r="C12" s="85"/>
      <c r="D12" s="85"/>
      <c r="E12" s="232"/>
      <c r="F12" s="232"/>
      <c r="G12" s="123"/>
      <c r="H12" s="123"/>
      <c r="I12" s="145"/>
      <c r="J12" s="145"/>
    </row>
    <row r="13" spans="1:10" ht="15.75">
      <c r="A13" s="231" t="s">
        <v>256</v>
      </c>
      <c r="B13" s="152" t="str">
        <f>CONCATENATE("Increase in Personal Property for ",J1-1,":")</f>
        <v>Increase in Personal Property for 2012:</v>
      </c>
      <c r="C13" s="85"/>
      <c r="D13" s="85"/>
      <c r="E13" s="232"/>
      <c r="F13" s="232"/>
      <c r="G13" s="123"/>
      <c r="H13" s="123"/>
      <c r="I13" s="145"/>
      <c r="J13" s="145"/>
    </row>
    <row r="14" spans="1:10" ht="15.75">
      <c r="A14" s="85"/>
      <c r="B14" s="85" t="s">
        <v>257</v>
      </c>
      <c r="C14" s="85" t="str">
        <f>CONCATENATE("Personal Property ",J1-1,"")</f>
        <v>Personal Property 2012</v>
      </c>
      <c r="D14" s="231" t="s">
        <v>250</v>
      </c>
      <c r="E14" s="233">
        <f>inputOth!E8</f>
        <v>3963206</v>
      </c>
      <c r="F14" s="232"/>
      <c r="G14" s="145"/>
      <c r="H14" s="145"/>
      <c r="I14" s="123"/>
      <c r="J14" s="145"/>
    </row>
    <row r="15" spans="1:10" ht="15.75">
      <c r="A15" s="231"/>
      <c r="B15" s="85" t="s">
        <v>258</v>
      </c>
      <c r="C15" s="85" t="str">
        <f>CONCATENATE("Personal Property ",J1-2,"")</f>
        <v>Personal Property 2011</v>
      </c>
      <c r="D15" s="231" t="s">
        <v>253</v>
      </c>
      <c r="E15" s="151">
        <f>inputOth!E10</f>
        <v>3973775</v>
      </c>
      <c r="F15" s="232"/>
      <c r="G15" s="123"/>
      <c r="H15" s="123"/>
      <c r="I15" s="145"/>
      <c r="J15" s="145"/>
    </row>
    <row r="16" spans="1:10" ht="15.75">
      <c r="A16" s="231"/>
      <c r="B16" s="85" t="s">
        <v>259</v>
      </c>
      <c r="C16" s="85" t="s">
        <v>275</v>
      </c>
      <c r="D16" s="85"/>
      <c r="E16" s="145"/>
      <c r="F16" s="145" t="s">
        <v>250</v>
      </c>
      <c r="G16" s="233">
        <f>IF(E14&gt;E15,E14-E15,0)</f>
        <v>0</v>
      </c>
      <c r="H16" s="123"/>
      <c r="I16" s="145"/>
      <c r="J16" s="145"/>
    </row>
    <row r="17" spans="1:10" ht="15.75">
      <c r="A17" s="231"/>
      <c r="B17" s="231"/>
      <c r="C17" s="85"/>
      <c r="D17" s="85"/>
      <c r="E17" s="145"/>
      <c r="F17" s="145"/>
      <c r="G17" s="123" t="s">
        <v>265</v>
      </c>
      <c r="H17" s="123"/>
      <c r="I17" s="145"/>
      <c r="J17" s="145"/>
    </row>
    <row r="18" spans="1:10" ht="15.75">
      <c r="A18" s="231"/>
      <c r="B18" s="231"/>
      <c r="C18" s="85"/>
      <c r="D18" s="231"/>
      <c r="E18" s="123"/>
      <c r="F18" s="145"/>
      <c r="G18" s="123"/>
      <c r="H18" s="123"/>
      <c r="I18" s="145"/>
      <c r="J18" s="145"/>
    </row>
    <row r="19" spans="1:10" ht="15.75">
      <c r="A19" s="231" t="s">
        <v>260</v>
      </c>
      <c r="B19" s="152" t="str">
        <f>CONCATENATE("Valuation of Property that has Changed in Use during ",J1-1,":")</f>
        <v>Valuation of Property that has Changed in Use during 2012:</v>
      </c>
      <c r="C19" s="85"/>
      <c r="D19" s="85"/>
      <c r="E19" s="145"/>
      <c r="F19" s="145"/>
      <c r="G19" s="145">
        <f>inputOth!E9</f>
        <v>212133</v>
      </c>
      <c r="H19" s="145"/>
      <c r="I19" s="145"/>
      <c r="J19" s="145"/>
    </row>
    <row r="20" spans="1:10" ht="15.75">
      <c r="A20" s="231"/>
      <c r="B20" s="85"/>
      <c r="C20" s="85"/>
      <c r="D20" s="231"/>
      <c r="E20" s="123"/>
      <c r="F20" s="145"/>
      <c r="G20" s="234"/>
      <c r="H20" s="123"/>
      <c r="I20" s="145"/>
      <c r="J20" s="145"/>
    </row>
    <row r="21" spans="1:10" ht="15.75">
      <c r="A21" s="231" t="s">
        <v>269</v>
      </c>
      <c r="B21" s="152" t="s">
        <v>274</v>
      </c>
      <c r="C21" s="85"/>
      <c r="D21" s="85"/>
      <c r="E21" s="145"/>
      <c r="F21" s="145"/>
      <c r="G21" s="233">
        <f>G11+G16+G19</f>
        <v>1104845</v>
      </c>
      <c r="H21" s="123"/>
      <c r="I21" s="145"/>
      <c r="J21" s="145"/>
    </row>
    <row r="22" spans="1:10" ht="15.75">
      <c r="A22" s="231"/>
      <c r="B22" s="231"/>
      <c r="C22" s="152"/>
      <c r="D22" s="85"/>
      <c r="E22" s="145"/>
      <c r="F22" s="145"/>
      <c r="G22" s="123"/>
      <c r="H22" s="123"/>
      <c r="I22" s="145"/>
      <c r="J22" s="145"/>
    </row>
    <row r="23" spans="1:10" ht="15.75">
      <c r="A23" s="231" t="s">
        <v>270</v>
      </c>
      <c r="B23" s="85" t="str">
        <f>CONCATENATE("Total Estimated Valuation July 1,",J1-1,"")</f>
        <v>Total Estimated Valuation July 1,2012</v>
      </c>
      <c r="C23" s="85"/>
      <c r="D23" s="85"/>
      <c r="E23" s="233">
        <f>inputOth!E6</f>
        <v>124855372</v>
      </c>
      <c r="F23" s="145"/>
      <c r="G23" s="145"/>
      <c r="H23" s="145"/>
      <c r="I23" s="232"/>
      <c r="J23" s="145"/>
    </row>
    <row r="24" spans="1:10" ht="15.75">
      <c r="A24" s="231"/>
      <c r="B24" s="231"/>
      <c r="C24" s="85"/>
      <c r="D24" s="85"/>
      <c r="E24" s="123"/>
      <c r="F24" s="145"/>
      <c r="G24" s="145"/>
      <c r="H24" s="145"/>
      <c r="I24" s="232"/>
      <c r="J24" s="145"/>
    </row>
    <row r="25" spans="1:10" ht="15.75">
      <c r="A25" s="231" t="s">
        <v>261</v>
      </c>
      <c r="B25" s="152" t="s">
        <v>278</v>
      </c>
      <c r="C25" s="85"/>
      <c r="D25" s="85"/>
      <c r="E25" s="145"/>
      <c r="F25" s="145"/>
      <c r="G25" s="233">
        <f>E23-G21</f>
        <v>123750527</v>
      </c>
      <c r="H25" s="123"/>
      <c r="I25" s="232"/>
      <c r="J25" s="145"/>
    </row>
    <row r="26" spans="1:10" ht="15.75">
      <c r="A26" s="231"/>
      <c r="B26" s="231"/>
      <c r="C26" s="152"/>
      <c r="D26" s="85"/>
      <c r="E26" s="85"/>
      <c r="F26" s="85"/>
      <c r="G26" s="235"/>
      <c r="H26" s="88"/>
      <c r="I26" s="231"/>
      <c r="J26" s="85"/>
    </row>
    <row r="27" spans="1:10" ht="15.75">
      <c r="A27" s="231" t="s">
        <v>262</v>
      </c>
      <c r="B27" s="85" t="s">
        <v>277</v>
      </c>
      <c r="C27" s="85"/>
      <c r="D27" s="85"/>
      <c r="E27" s="85"/>
      <c r="F27" s="85"/>
      <c r="G27" s="236">
        <f>IF(G21&gt;0,G21/G25,0)</f>
        <v>0.008928002383375709</v>
      </c>
      <c r="H27" s="88"/>
      <c r="I27" s="85"/>
      <c r="J27" s="85"/>
    </row>
    <row r="28" spans="1:10" ht="15.75">
      <c r="A28" s="231"/>
      <c r="B28" s="231"/>
      <c r="C28" s="85"/>
      <c r="D28" s="85"/>
      <c r="E28" s="85"/>
      <c r="F28" s="85"/>
      <c r="G28" s="88"/>
      <c r="H28" s="88"/>
      <c r="I28" s="85"/>
      <c r="J28" s="85"/>
    </row>
    <row r="29" spans="1:10" ht="15.75">
      <c r="A29" s="231" t="s">
        <v>263</v>
      </c>
      <c r="B29" s="85" t="s">
        <v>276</v>
      </c>
      <c r="C29" s="85"/>
      <c r="D29" s="85"/>
      <c r="E29" s="85"/>
      <c r="F29" s="85"/>
      <c r="G29" s="88"/>
      <c r="H29" s="237" t="s">
        <v>250</v>
      </c>
      <c r="I29" s="85" t="s">
        <v>251</v>
      </c>
      <c r="J29" s="233">
        <f>ROUND(G27*J7,0)</f>
        <v>46984</v>
      </c>
    </row>
    <row r="30" spans="1:10" ht="15.75">
      <c r="A30" s="231"/>
      <c r="B30" s="231"/>
      <c r="C30" s="85"/>
      <c r="D30" s="85"/>
      <c r="E30" s="85"/>
      <c r="F30" s="85"/>
      <c r="G30" s="88"/>
      <c r="H30" s="237"/>
      <c r="I30" s="85"/>
      <c r="J30" s="123"/>
    </row>
    <row r="31" spans="1:10" ht="16.5" thickBot="1">
      <c r="A31" s="231" t="s">
        <v>264</v>
      </c>
      <c r="B31" s="152" t="s">
        <v>282</v>
      </c>
      <c r="C31" s="85"/>
      <c r="D31" s="85"/>
      <c r="E31" s="85"/>
      <c r="F31" s="85"/>
      <c r="G31" s="85"/>
      <c r="H31" s="85"/>
      <c r="I31" s="85" t="s">
        <v>251</v>
      </c>
      <c r="J31" s="238">
        <f>J7+J29</f>
        <v>5309564</v>
      </c>
    </row>
    <row r="32" spans="1:10" ht="16.5" thickTop="1">
      <c r="A32" s="85"/>
      <c r="B32" s="85"/>
      <c r="C32" s="85"/>
      <c r="D32" s="85"/>
      <c r="E32" s="85"/>
      <c r="F32" s="85"/>
      <c r="G32" s="85"/>
      <c r="H32" s="85"/>
      <c r="I32" s="85"/>
      <c r="J32" s="85"/>
    </row>
    <row r="33" spans="1:10" ht="15.75">
      <c r="A33" s="231" t="s">
        <v>280</v>
      </c>
      <c r="B33" s="152" t="str">
        <f>CONCATENATE("Debt Service Levy in this ",J1," Budget")</f>
        <v>Debt Service Levy in this 2013 Budget</v>
      </c>
      <c r="C33" s="85"/>
      <c r="D33" s="85"/>
      <c r="E33" s="85"/>
      <c r="F33" s="85"/>
      <c r="G33" s="85"/>
      <c r="H33" s="85"/>
      <c r="I33" s="85"/>
      <c r="J33" s="233">
        <f>DebtService!E57</f>
        <v>0</v>
      </c>
    </row>
    <row r="34" spans="1:10" ht="15.75">
      <c r="A34" s="231"/>
      <c r="B34" s="152"/>
      <c r="C34" s="85"/>
      <c r="D34" s="85"/>
      <c r="E34" s="85"/>
      <c r="F34" s="85"/>
      <c r="G34" s="85"/>
      <c r="H34" s="85"/>
      <c r="I34" s="85"/>
      <c r="J34" s="88"/>
    </row>
    <row r="35" spans="1:10" ht="16.5" thickBot="1">
      <c r="A35" s="231" t="s">
        <v>281</v>
      </c>
      <c r="B35" s="152" t="s">
        <v>283</v>
      </c>
      <c r="C35" s="85"/>
      <c r="D35" s="85"/>
      <c r="E35" s="85"/>
      <c r="F35" s="85"/>
      <c r="G35" s="85"/>
      <c r="H35" s="85"/>
      <c r="I35" s="85"/>
      <c r="J35" s="238">
        <f>J31+J33</f>
        <v>5309564</v>
      </c>
    </row>
    <row r="36" spans="1:10" ht="16.5" thickTop="1">
      <c r="A36" s="85"/>
      <c r="B36" s="85"/>
      <c r="C36" s="85"/>
      <c r="D36" s="85"/>
      <c r="E36" s="85"/>
      <c r="F36" s="85"/>
      <c r="G36" s="85"/>
      <c r="H36" s="85"/>
      <c r="I36" s="85"/>
      <c r="J36" s="85"/>
    </row>
    <row r="37" spans="1:10" s="239" customFormat="1" ht="18.75">
      <c r="A37" s="760" t="str">
        <f>CONCATENATE("If the ",J1," budget includes tax levies exceeding the total on line 14, you must")</f>
        <v>If the 2013 budget includes tax levies exceeding the total on line 14, you must</v>
      </c>
      <c r="B37" s="760"/>
      <c r="C37" s="760"/>
      <c r="D37" s="760"/>
      <c r="E37" s="760"/>
      <c r="F37" s="760"/>
      <c r="G37" s="760"/>
      <c r="H37" s="760"/>
      <c r="I37" s="760"/>
      <c r="J37" s="760"/>
    </row>
    <row r="38" spans="1:10" s="239" customFormat="1" ht="18.75">
      <c r="A38" s="760" t="s">
        <v>279</v>
      </c>
      <c r="B38" s="760"/>
      <c r="C38" s="760"/>
      <c r="D38" s="760"/>
      <c r="E38" s="760"/>
      <c r="F38" s="760"/>
      <c r="G38" s="760"/>
      <c r="H38" s="760"/>
      <c r="I38" s="760"/>
      <c r="J38" s="760"/>
    </row>
  </sheetData>
  <sheetProtection sheet="1"/>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H7" sqref="H7"/>
    </sheetView>
  </sheetViews>
  <sheetFormatPr defaultColWidth="8.796875" defaultRowHeight="15"/>
  <cols>
    <col min="1" max="1" width="6.8984375" style="2" customWidth="1"/>
    <col min="2" max="2" width="18.796875" style="2" customWidth="1"/>
    <col min="3" max="3" width="12.796875" style="2" customWidth="1"/>
    <col min="4" max="4" width="0.203125" style="2" customWidth="1"/>
    <col min="5" max="9" width="11.796875" style="2" customWidth="1"/>
    <col min="10" max="16384" width="8.8984375" style="2" customWidth="1"/>
  </cols>
  <sheetData>
    <row r="1" spans="1:9" ht="15.75">
      <c r="A1" s="69"/>
      <c r="B1" s="27" t="str">
        <f>inputPrYr!C2</f>
        <v>Rice County</v>
      </c>
      <c r="C1" s="14"/>
      <c r="D1" s="14"/>
      <c r="E1" s="14"/>
      <c r="F1" s="14"/>
      <c r="G1" s="13"/>
      <c r="H1" s="13"/>
      <c r="I1" s="66">
        <f>inputPrYr!C4</f>
        <v>2013</v>
      </c>
    </row>
    <row r="2" spans="1:9" ht="15.75">
      <c r="A2" s="69"/>
      <c r="B2" s="14"/>
      <c r="C2" s="14"/>
      <c r="D2" s="14"/>
      <c r="E2" s="14"/>
      <c r="F2" s="14"/>
      <c r="G2" s="13"/>
      <c r="H2" s="13"/>
      <c r="I2" s="28"/>
    </row>
    <row r="3" spans="1:9" ht="15.75">
      <c r="A3" s="69"/>
      <c r="B3" s="767" t="s">
        <v>840</v>
      </c>
      <c r="C3" s="767"/>
      <c r="D3" s="767"/>
      <c r="E3" s="767"/>
      <c r="F3" s="767"/>
      <c r="G3" s="767"/>
      <c r="H3" s="67"/>
      <c r="I3" s="68"/>
    </row>
    <row r="4" spans="1:9" ht="15.75">
      <c r="A4" s="69"/>
      <c r="B4" s="16"/>
      <c r="C4" s="17"/>
      <c r="D4" s="17"/>
      <c r="E4" s="17"/>
      <c r="F4" s="17"/>
      <c r="G4" s="14"/>
      <c r="H4" s="14"/>
      <c r="I4" s="28"/>
    </row>
    <row r="5" spans="1:9" ht="21.75" customHeight="1">
      <c r="A5" s="69"/>
      <c r="B5" s="645" t="s">
        <v>841</v>
      </c>
      <c r="C5" s="759" t="str">
        <f>CONCATENATE("Budget Tax Levy Amount for ",I1-2,"")</f>
        <v>Budget Tax Levy Amount for 2011</v>
      </c>
      <c r="D5" s="762" t="str">
        <f>CONCATENATE("Budget Tax Levy Rate for ",I1-1,"")</f>
        <v>Budget Tax Levy Rate for 2012</v>
      </c>
      <c r="E5" s="764" t="str">
        <f>CONCATENATE("Allocation for Year ",I1,"")</f>
        <v>Allocation for Year 2013</v>
      </c>
      <c r="F5" s="765"/>
      <c r="G5" s="766"/>
      <c r="H5" s="68"/>
      <c r="I5" s="68"/>
    </row>
    <row r="6" spans="1:9" ht="15.75">
      <c r="A6" s="69"/>
      <c r="B6" s="12" t="str">
        <f>CONCATENATE("for ",I1-1,"")</f>
        <v>for 2012</v>
      </c>
      <c r="C6" s="739"/>
      <c r="D6" s="763"/>
      <c r="E6" s="217" t="s">
        <v>157</v>
      </c>
      <c r="F6" s="217" t="s">
        <v>245</v>
      </c>
      <c r="G6" s="193" t="s">
        <v>272</v>
      </c>
      <c r="H6" s="63"/>
      <c r="I6" s="68"/>
    </row>
    <row r="7" spans="1:9" ht="15.75">
      <c r="A7" s="69"/>
      <c r="B7" s="25" t="str">
        <f>(inputPrYr!B16)</f>
        <v>General</v>
      </c>
      <c r="C7" s="193">
        <f>(inputPrYr!E16)</f>
        <v>3232697</v>
      </c>
      <c r="D7" s="648">
        <f>IF(inputPrYr!F16&gt;0,(inputPrYr!F16),"  ")</f>
        <v>26.986</v>
      </c>
      <c r="E7" s="193">
        <f>IF(inputPrYr!E16&gt;0,E34-SUM(E8:E31),0)</f>
        <v>248934</v>
      </c>
      <c r="F7" s="193">
        <f>IF(inputPrYr!E16=0,0,F36-SUM(F8:F31))</f>
        <v>5036</v>
      </c>
      <c r="G7" s="193">
        <f>IF(inputPrYr!E16=0,0,G38-SUM(G8:G31))</f>
        <v>15752</v>
      </c>
      <c r="H7" s="63"/>
      <c r="I7" s="68"/>
    </row>
    <row r="8" spans="1:9" ht="15.75">
      <c r="A8" s="69"/>
      <c r="B8" s="25" t="str">
        <f>(inputPrYr!B17)</f>
        <v>Debt Service</v>
      </c>
      <c r="C8" s="193" t="str">
        <f>IF(inputPrYr!E17&gt;0,inputPrYr!E17," ")</f>
        <v> </v>
      </c>
      <c r="D8" s="648" t="str">
        <f>IF(inputPrYr!F17&gt;0,(inputPrYr!F17),"  ")</f>
        <v>  </v>
      </c>
      <c r="E8" s="193" t="str">
        <f>IF(inputPrYr!$E$17&gt;0,ROUND(+C8*E$41,0)," ")</f>
        <v> </v>
      </c>
      <c r="F8" s="193" t="str">
        <f>IF(inputPrYr!$E$17&gt;0,ROUND(+C8*F$43,0)," ")</f>
        <v> </v>
      </c>
      <c r="G8" s="193" t="str">
        <f>IF(inputPrYr!$E$17&gt;0,ROUND(+C8*G$45,0)," ")</f>
        <v> </v>
      </c>
      <c r="H8" s="63"/>
      <c r="I8" s="68"/>
    </row>
    <row r="9" spans="1:9" ht="15.75">
      <c r="A9" s="69"/>
      <c r="B9" s="25" t="str">
        <f>(inputPrYr!B18)</f>
        <v>Road &amp; Bridge</v>
      </c>
      <c r="C9" s="193">
        <f>IF(inputPrYr!E18&gt;0,inputPrYr!E18," ")</f>
        <v>238078</v>
      </c>
      <c r="D9" s="648">
        <f>IF(inputPrYr!F18&gt;0,(inputPrYr!F18),"  ")</f>
        <v>1.988</v>
      </c>
      <c r="E9" s="193">
        <f>IF(inputPrYr!$E$18&gt;0,ROUND(+C9*E$41,0)," ")</f>
        <v>18333</v>
      </c>
      <c r="F9" s="193">
        <f>IF(inputPrYr!$E$18&gt;0,ROUND(+C9*F$43,0)," ")</f>
        <v>371</v>
      </c>
      <c r="G9" s="193">
        <f>IF(inputPrYr!$E$18&gt;0,ROUND(+C9*G$45,0)," ")</f>
        <v>1160</v>
      </c>
      <c r="H9" s="63"/>
      <c r="I9" s="68"/>
    </row>
    <row r="10" spans="1:9" ht="15.75">
      <c r="A10" s="69"/>
      <c r="B10" s="25" t="str">
        <f>IF((inputPrYr!$B19&gt;" "),(inputPrYr!$B19),"  ")</f>
        <v>Employee Benefits</v>
      </c>
      <c r="C10" s="193">
        <f>IF(inputPrYr!E19&gt;0,inputPrYr!E19,"  ")</f>
        <v>1070867</v>
      </c>
      <c r="D10" s="648">
        <f>IF(inputPrYr!F19&gt;0,(inputPrYr!F19),"  ")</f>
        <v>8.94</v>
      </c>
      <c r="E10" s="193">
        <f>IF(inputPrYr!$E$19&gt;0,ROUND(+C10*E$41,0)," ")</f>
        <v>82462</v>
      </c>
      <c r="F10" s="193">
        <f>IF(inputPrYr!$E$19&gt;0,ROUND(+C10*F$43,0)," ")</f>
        <v>1668</v>
      </c>
      <c r="G10" s="193">
        <f>IF(inputPrYr!$E$19&gt;0,ROUND(+C10*G$45,0)," ")</f>
        <v>5218</v>
      </c>
      <c r="H10" s="63"/>
      <c r="I10" s="68"/>
    </row>
    <row r="11" spans="1:9" ht="15.75">
      <c r="A11" s="69"/>
      <c r="B11" s="25" t="str">
        <f>IF((inputPrYr!$B20&gt;" "),(inputPrYr!$B20),"  ")</f>
        <v>Emergency Medical Services</v>
      </c>
      <c r="C11" s="193">
        <f>IF(inputPrYr!E20&gt;0,inputPrYr!E20,"  ")</f>
        <v>181783</v>
      </c>
      <c r="D11" s="648">
        <f>IF(inputPrYr!F20&gt;0,(inputPrYr!F20),"  ")</f>
        <v>1.518</v>
      </c>
      <c r="E11" s="193">
        <f>IF(inputPrYr!E20&gt;0,ROUND(+C11*E$41,0),"  ")</f>
        <v>13998</v>
      </c>
      <c r="F11" s="193">
        <f>IF(inputPrYr!E20&gt;0,ROUND(+C11*F$43,0),"  ")</f>
        <v>283</v>
      </c>
      <c r="G11" s="193">
        <f>IF(inputPrYr!E20&gt;0,ROUND(+C11*G$45,0),"  ")</f>
        <v>886</v>
      </c>
      <c r="H11" s="63"/>
      <c r="I11" s="68"/>
    </row>
    <row r="12" spans="1:9" ht="15.75">
      <c r="A12" s="69"/>
      <c r="B12" s="25" t="str">
        <f>IF((inputPrYr!$B21&gt;" "),(inputPrYr!$B21),"  ")</f>
        <v>Noxious Weed</v>
      </c>
      <c r="C12" s="193">
        <f>IF(inputPrYr!E21&gt;0,inputPrYr!E21,"  ")</f>
        <v>163013</v>
      </c>
      <c r="D12" s="648">
        <f>IF(inputPrYr!F21&gt;0,(inputPrYr!F21),"  ")</f>
        <v>1.361</v>
      </c>
      <c r="E12" s="193">
        <f>IF(inputPrYr!E21&gt;0,ROUND(+C12*E$41,0),"  ")</f>
        <v>12553</v>
      </c>
      <c r="F12" s="193">
        <f>IF(inputPrYr!E21&gt;0,ROUND(+C12*F$43,0),"  ")</f>
        <v>254</v>
      </c>
      <c r="G12" s="193">
        <f>IF(inputPrYr!E21&gt;0,ROUND(+C12*G$45,0),"  ")</f>
        <v>794</v>
      </c>
      <c r="H12" s="63"/>
      <c r="I12" s="68"/>
    </row>
    <row r="13" spans="1:9" ht="15.75">
      <c r="A13" s="69"/>
      <c r="B13" s="25" t="str">
        <f>IF((inputPrYr!$B22&gt;" "),(inputPrYr!$B22),"  ")</f>
        <v>Health</v>
      </c>
      <c r="C13" s="193">
        <f>IF(inputPrYr!E22&gt;0,inputPrYr!E22,"  ")</f>
        <v>36968</v>
      </c>
      <c r="D13" s="648">
        <f>IF(inputPrYr!F22&gt;0,(inputPrYr!F22),"  ")</f>
        <v>0.309</v>
      </c>
      <c r="E13" s="193">
        <f>IF(inputPrYr!E22&gt;0,ROUND(+C13*E$41,0),"  ")</f>
        <v>2847</v>
      </c>
      <c r="F13" s="193">
        <f>IF(inputPrYr!E22&gt;0,ROUND(+C13*F$43,0),"  ")</f>
        <v>58</v>
      </c>
      <c r="G13" s="193">
        <f>IF(inputPrYr!E22&gt;0,ROUND(+C13*G$45,0),"  ")</f>
        <v>180</v>
      </c>
      <c r="H13" s="63"/>
      <c r="I13" s="68"/>
    </row>
    <row r="14" spans="1:9" ht="15.75">
      <c r="A14" s="69"/>
      <c r="B14" s="25" t="str">
        <f>IF((inputPrYr!$B23&gt;" "),(inputPrYr!$B23),"  ")</f>
        <v>Historical Society</v>
      </c>
      <c r="C14" s="193">
        <f>IF(inputPrYr!E23&gt;0,inputPrYr!E23,"  ")</f>
        <v>109263</v>
      </c>
      <c r="D14" s="648">
        <f>IF(inputPrYr!F23&gt;0,(inputPrYr!F23),"  ")</f>
        <v>0.913</v>
      </c>
      <c r="E14" s="193">
        <f>IF(inputPrYr!E23&gt;0,ROUND(+C14*E$41,0),"  ")</f>
        <v>8414</v>
      </c>
      <c r="F14" s="193">
        <f>IF(inputPrYr!E23&gt;0,ROUND(+C14*F$43,0),"  ")</f>
        <v>170</v>
      </c>
      <c r="G14" s="193">
        <f>IF(inputPrYr!E23&gt;0,ROUND(+C14*G$45,0),"  ")</f>
        <v>532</v>
      </c>
      <c r="H14" s="63"/>
      <c r="I14" s="68"/>
    </row>
    <row r="15" spans="1:9" ht="15.75">
      <c r="A15" s="69"/>
      <c r="B15" s="25" t="str">
        <f>IF((inputPrYr!$B24&gt;" "),(inputPrYr!$B24),"  ")</f>
        <v>Senior Citizens</v>
      </c>
      <c r="C15" s="193">
        <f>IF(inputPrYr!E24&gt;0,inputPrYr!E24,"  ")</f>
        <v>229911</v>
      </c>
      <c r="D15" s="648">
        <f>IF(inputPrYr!F24&gt;0,(inputPrYr!F24),"  ")</f>
        <v>1.92</v>
      </c>
      <c r="E15" s="193">
        <f>IF(inputPrYr!E24&gt;0,ROUND(+C15*E$41,0),"  ")</f>
        <v>17704</v>
      </c>
      <c r="F15" s="193">
        <f>IF(inputPrYr!E24&gt;0,ROUND(+C15*F$43,0),"  ")</f>
        <v>358</v>
      </c>
      <c r="G15" s="193">
        <f>IF(inputPrYr!E24&gt;0,ROUND(+C15*G$45,0),"  ")</f>
        <v>1120</v>
      </c>
      <c r="H15" s="63"/>
      <c r="I15" s="68"/>
    </row>
    <row r="16" spans="1:9" ht="15.75">
      <c r="A16" s="69"/>
      <c r="B16" s="25" t="str">
        <f>IF((inputPrYr!$B25&gt;" "),(inputPrYr!$B25),"  ")</f>
        <v>  </v>
      </c>
      <c r="C16" s="193" t="str">
        <f>IF(inputPrYr!E25&gt;0,inputPrYr!E25,"  ")</f>
        <v>  </v>
      </c>
      <c r="D16" s="648" t="str">
        <f>IF(inputPrYr!F25&gt;0,(inputPrYr!F25),"  ")</f>
        <v>  </v>
      </c>
      <c r="E16" s="193" t="str">
        <f>IF(inputPrYr!E25&gt;0,ROUND(+C16*E$41,0),"  ")</f>
        <v>  </v>
      </c>
      <c r="F16" s="193" t="str">
        <f>IF(inputPrYr!E25&gt;0,ROUND(+C16*F$43,0),"  ")</f>
        <v>  </v>
      </c>
      <c r="G16" s="193" t="str">
        <f>IF(inputPrYr!E25&gt;0,ROUND(+C16*G$45,0),"  ")</f>
        <v>  </v>
      </c>
      <c r="H16" s="63"/>
      <c r="I16" s="68"/>
    </row>
    <row r="17" spans="1:9" ht="15.75">
      <c r="A17" s="69"/>
      <c r="B17" s="25" t="str">
        <f>IF((inputPrYr!$B26&gt;" "),(inputPrYr!$B26),"  ")</f>
        <v>  </v>
      </c>
      <c r="C17" s="193" t="str">
        <f>IF(inputPrYr!E26&gt;0,inputPrYr!E26,"  ")</f>
        <v>  </v>
      </c>
      <c r="D17" s="648" t="str">
        <f>IF(inputPrYr!F26&gt;0,(inputPrYr!F26),"  ")</f>
        <v>  </v>
      </c>
      <c r="E17" s="193" t="str">
        <f>IF(inputPrYr!E26&gt;0,ROUND(+C17*E$41,0),"  ")</f>
        <v>  </v>
      </c>
      <c r="F17" s="193" t="str">
        <f>IF(inputPrYr!E26&gt;0,ROUND(+C17*F$43,0),"  ")</f>
        <v>  </v>
      </c>
      <c r="G17" s="193" t="str">
        <f>IF(inputPrYr!E26&gt;0,ROUND(+C17*G$45,0),"  ")</f>
        <v>  </v>
      </c>
      <c r="H17" s="63"/>
      <c r="I17" s="68"/>
    </row>
    <row r="18" spans="1:9" ht="15.75">
      <c r="A18" s="69"/>
      <c r="B18" s="25" t="str">
        <f>IF((inputPrYr!$B27&gt;" "),(inputPrYr!$B27),"  ")</f>
        <v>  </v>
      </c>
      <c r="C18" s="193" t="str">
        <f>IF(inputPrYr!E27&gt;0,inputPrYr!E27,"  ")</f>
        <v>  </v>
      </c>
      <c r="D18" s="648" t="str">
        <f>IF(inputPrYr!F27&gt;0,(inputPrYr!F27),"  ")</f>
        <v>  </v>
      </c>
      <c r="E18" s="193" t="str">
        <f>IF(inputPrYr!E27&gt;0,ROUND(+C18*E$41,0),"  ")</f>
        <v>  </v>
      </c>
      <c r="F18" s="193" t="str">
        <f>IF(inputPrYr!E27&gt;0,ROUND(+C18*F$43,0),"  ")</f>
        <v>  </v>
      </c>
      <c r="G18" s="193" t="str">
        <f>IF(inputPrYr!E27&gt;0,ROUND(+C18*G$45,0),"  ")</f>
        <v>  </v>
      </c>
      <c r="H18" s="63"/>
      <c r="I18" s="68"/>
    </row>
    <row r="19" spans="1:9" ht="15.75">
      <c r="A19" s="69"/>
      <c r="B19" s="25" t="str">
        <f>IF((inputPrYr!$B28&gt;" "),(inputPrYr!$B28),"  ")</f>
        <v>  </v>
      </c>
      <c r="C19" s="193" t="str">
        <f>IF(inputPrYr!E28&gt;0,inputPrYr!E28,"  ")</f>
        <v>  </v>
      </c>
      <c r="D19" s="648" t="str">
        <f>IF(inputPrYr!F28&gt;0,(inputPrYr!F28),"  ")</f>
        <v>  </v>
      </c>
      <c r="E19" s="193" t="str">
        <f>IF(inputPrYr!E28&gt;0,ROUND(+C19*E$41,0),"  ")</f>
        <v>  </v>
      </c>
      <c r="F19" s="193" t="str">
        <f>IF(inputPrYr!E28&gt;0,ROUND(+C19*F$43,0),"  ")</f>
        <v>  </v>
      </c>
      <c r="G19" s="193" t="str">
        <f>IF(inputPrYr!E28&gt;0,ROUND(+C19*G$45,0),"  ")</f>
        <v>  </v>
      </c>
      <c r="H19" s="63"/>
      <c r="I19" s="68"/>
    </row>
    <row r="20" spans="1:9" ht="15.75">
      <c r="A20" s="69"/>
      <c r="B20" s="25" t="str">
        <f>IF((inputPrYr!$B29&gt;" "),(inputPrYr!$B29),"  ")</f>
        <v>  </v>
      </c>
      <c r="C20" s="193" t="str">
        <f>IF(inputPrYr!E29&gt;0,inputPrYr!E29,"  ")</f>
        <v>  </v>
      </c>
      <c r="D20" s="648" t="str">
        <f>IF(inputPrYr!F29&gt;0,(inputPrYr!F29),"  ")</f>
        <v>  </v>
      </c>
      <c r="E20" s="193" t="str">
        <f>IF(inputPrYr!E29&gt;0,ROUND(+C20*E$41,0),"  ")</f>
        <v>  </v>
      </c>
      <c r="F20" s="193" t="str">
        <f>IF(inputPrYr!E29&gt;0,ROUND(+C20*F$43,0),"  ")</f>
        <v>  </v>
      </c>
      <c r="G20" s="193" t="str">
        <f>IF(inputPrYr!E29&gt;0,ROUND(+C20*G$45,0),"  ")</f>
        <v>  </v>
      </c>
      <c r="H20" s="63"/>
      <c r="I20" s="68"/>
    </row>
    <row r="21" spans="1:9" ht="15.75">
      <c r="A21" s="69"/>
      <c r="B21" s="25" t="str">
        <f>IF((inputPrYr!$B30&gt;" "),(inputPrYr!$B30),"  ")</f>
        <v>  </v>
      </c>
      <c r="C21" s="193" t="str">
        <f>IF(inputPrYr!E30&gt;0,inputPrYr!E30,"  ")</f>
        <v>  </v>
      </c>
      <c r="D21" s="648" t="str">
        <f>IF(inputPrYr!F30&gt;0,(inputPrYr!F30),"  ")</f>
        <v>  </v>
      </c>
      <c r="E21" s="193" t="str">
        <f>IF(inputPrYr!E30&gt;0,ROUND(+C21*E$41,0),"  ")</f>
        <v>  </v>
      </c>
      <c r="F21" s="193" t="str">
        <f>IF(inputPrYr!E30&gt;0,ROUND(+C21*F$43,0),"  ")</f>
        <v>  </v>
      </c>
      <c r="G21" s="193" t="str">
        <f>IF(inputPrYr!E30&gt;0,ROUND(+C21*G$45,0),"  ")</f>
        <v>  </v>
      </c>
      <c r="H21" s="63"/>
      <c r="I21" s="68"/>
    </row>
    <row r="22" spans="1:9" ht="15.75">
      <c r="A22" s="69"/>
      <c r="B22" s="25" t="str">
        <f>IF((inputPrYr!$B31&gt;" "),(inputPrYr!$B31),"  ")</f>
        <v>  </v>
      </c>
      <c r="C22" s="193" t="str">
        <f>IF(inputPrYr!E31&gt;0,inputPrYr!E31,"  ")</f>
        <v>  </v>
      </c>
      <c r="D22" s="648" t="str">
        <f>IF(inputPrYr!F31&gt;0,(inputPrYr!F31),"  ")</f>
        <v>  </v>
      </c>
      <c r="E22" s="193" t="str">
        <f>IF(inputPrYr!E31&gt;0,ROUND(+C22*E$41,0),"  ")</f>
        <v>  </v>
      </c>
      <c r="F22" s="193" t="str">
        <f>IF(inputPrYr!E31&gt;0,ROUND(+C22*F$43,0),"  ")</f>
        <v>  </v>
      </c>
      <c r="G22" s="193" t="str">
        <f>IF(inputPrYr!E31&gt;0,ROUND(+C22*G$45,0),"  ")</f>
        <v>  </v>
      </c>
      <c r="H22" s="63"/>
      <c r="I22" s="68"/>
    </row>
    <row r="23" spans="1:9" ht="15.75">
      <c r="A23" s="69"/>
      <c r="B23" s="25" t="str">
        <f>IF((inputPrYr!$B32&gt;" "),(inputPrYr!$B32),"  ")</f>
        <v>  </v>
      </c>
      <c r="C23" s="193" t="str">
        <f>IF(inputPrYr!E32&gt;0,inputPrYr!E32,"  ")</f>
        <v>  </v>
      </c>
      <c r="D23" s="648" t="str">
        <f>IF(inputPrYr!F32&gt;0,(inputPrYr!F32),"  ")</f>
        <v>  </v>
      </c>
      <c r="E23" s="193" t="str">
        <f>IF(inputPrYr!E32&gt;0,ROUND(+C23*E$41,0),"  ")</f>
        <v>  </v>
      </c>
      <c r="F23" s="193" t="str">
        <f>IF(inputPrYr!E32&gt;0,ROUND(+C23*F$43,0),"  ")</f>
        <v>  </v>
      </c>
      <c r="G23" s="193" t="str">
        <f>IF(inputPrYr!E32&gt;0,ROUND(+C23*G$45,0),"  ")</f>
        <v>  </v>
      </c>
      <c r="H23" s="63"/>
      <c r="I23" s="68"/>
    </row>
    <row r="24" spans="1:9" ht="15.75">
      <c r="A24" s="69"/>
      <c r="B24" s="25" t="str">
        <f>IF((inputPrYr!$B33&gt;" "),(inputPrYr!$B33),"  ")</f>
        <v>  </v>
      </c>
      <c r="C24" s="193" t="str">
        <f>IF(inputPrYr!E33&gt;0,inputPrYr!E33,"  ")</f>
        <v>  </v>
      </c>
      <c r="D24" s="648" t="str">
        <f>IF(inputPrYr!F33&gt;0,(inputPrYr!F33),"  ")</f>
        <v>  </v>
      </c>
      <c r="E24" s="193" t="str">
        <f>IF(inputPrYr!E33&gt;0,ROUND(+C24*E$41,0),"  ")</f>
        <v>  </v>
      </c>
      <c r="F24" s="193" t="str">
        <f>IF(inputPrYr!E33&gt;0,ROUND(+C24*F$43,0),"  ")</f>
        <v>  </v>
      </c>
      <c r="G24" s="193" t="str">
        <f>IF(inputPrYr!E33&gt;0,ROUND(+C24*G$45,0),"  ")</f>
        <v>  </v>
      </c>
      <c r="H24" s="63"/>
      <c r="I24" s="68"/>
    </row>
    <row r="25" spans="1:9" ht="15.75">
      <c r="A25" s="69"/>
      <c r="B25" s="25" t="str">
        <f>IF((inputPrYr!$B34&gt;" "),(inputPrYr!$B34),"  ")</f>
        <v>  </v>
      </c>
      <c r="C25" s="193" t="str">
        <f>IF(inputPrYr!E34&gt;0,inputPrYr!E34,"  ")</f>
        <v>  </v>
      </c>
      <c r="D25" s="648" t="str">
        <f>IF(inputPrYr!F34&gt;0,(inputPrYr!F34),"  ")</f>
        <v>  </v>
      </c>
      <c r="E25" s="193" t="str">
        <f>IF(inputPrYr!E34&gt;0,ROUND(+C25*E$41,0),"  ")</f>
        <v>  </v>
      </c>
      <c r="F25" s="193" t="str">
        <f>IF(inputPrYr!E34&gt;0,ROUND(+C25*F$43,0),"  ")</f>
        <v>  </v>
      </c>
      <c r="G25" s="193" t="str">
        <f>IF(inputPrYr!E34&gt;0,ROUND(+C25*G$45,0),"  ")</f>
        <v>  </v>
      </c>
      <c r="H25" s="63"/>
      <c r="I25" s="68"/>
    </row>
    <row r="26" spans="1:9" ht="15.75">
      <c r="A26" s="69"/>
      <c r="B26" s="25" t="str">
        <f>IF((inputPrYr!$B35&gt;" "),(inputPrYr!$B35),"  ")</f>
        <v>  </v>
      </c>
      <c r="C26" s="193" t="str">
        <f>IF(inputPrYr!E35&gt;0,inputPrYr!E35,"  ")</f>
        <v>  </v>
      </c>
      <c r="D26" s="648" t="str">
        <f>IF(inputPrYr!F35&gt;0,(inputPrYr!F35),"  ")</f>
        <v>  </v>
      </c>
      <c r="E26" s="193" t="str">
        <f>IF(inputPrYr!E35&gt;0,ROUND(+C26*E$41,0),"  ")</f>
        <v>  </v>
      </c>
      <c r="F26" s="193" t="str">
        <f>IF(inputPrYr!E35&gt;0,ROUND(+C26*F$43,0),"  ")</f>
        <v>  </v>
      </c>
      <c r="G26" s="193" t="str">
        <f>IF(inputPrYr!E35&gt;0,ROUND(+C26*G$45,0),"  ")</f>
        <v>  </v>
      </c>
      <c r="H26" s="63"/>
      <c r="I26" s="68"/>
    </row>
    <row r="27" spans="1:9" ht="15.75">
      <c r="A27" s="69"/>
      <c r="B27" s="25" t="str">
        <f>IF((inputPrYr!$B36&gt;" "),(inputPrYr!$B36),"  ")</f>
        <v>  </v>
      </c>
      <c r="C27" s="193" t="str">
        <f>IF(inputPrYr!E36&gt;0,inputPrYr!E36,"  ")</f>
        <v>  </v>
      </c>
      <c r="D27" s="648" t="str">
        <f>IF(inputPrYr!F36&gt;0,(inputPrYr!F36),"  ")</f>
        <v>  </v>
      </c>
      <c r="E27" s="193" t="str">
        <f>IF(inputPrYr!E36&gt;0,ROUND(+C27*E$41,0),"  ")</f>
        <v>  </v>
      </c>
      <c r="F27" s="193" t="str">
        <f>IF(inputPrYr!E36&gt;0,ROUND(+C27*F$43,0),"  ")</f>
        <v>  </v>
      </c>
      <c r="G27" s="193" t="str">
        <f>IF(inputPrYr!E36&gt;0,ROUND(+C27*G$45,0),"  ")</f>
        <v>  </v>
      </c>
      <c r="H27" s="63"/>
      <c r="I27" s="68"/>
    </row>
    <row r="28" spans="1:9" ht="15.75">
      <c r="A28" s="69"/>
      <c r="B28" s="25" t="str">
        <f>IF((inputPrYr!$B37&gt;" "),(inputPrYr!$B37),"  ")</f>
        <v>  </v>
      </c>
      <c r="C28" s="193" t="str">
        <f>IF(inputPrYr!E37&gt;0,inputPrYr!E37,"  ")</f>
        <v>  </v>
      </c>
      <c r="D28" s="648" t="str">
        <f>IF(inputPrYr!F37&gt;0,(inputPrYr!F37),"  ")</f>
        <v>  </v>
      </c>
      <c r="E28" s="193" t="str">
        <f>IF(inputPrYr!E37&gt;0,ROUND(+C28*E$41,0),"  ")</f>
        <v>  </v>
      </c>
      <c r="F28" s="193" t="str">
        <f>IF(inputPrYr!E37&gt;0,ROUND(+C28*F$43,0),"  ")</f>
        <v>  </v>
      </c>
      <c r="G28" s="193" t="str">
        <f>IF(inputPrYr!E37&gt;0,ROUND(+C28*G$45,0),"  ")</f>
        <v>  </v>
      </c>
      <c r="H28" s="63"/>
      <c r="I28" s="68"/>
    </row>
    <row r="29" spans="1:9" ht="15.75">
      <c r="A29" s="69"/>
      <c r="B29" s="25" t="str">
        <f>IF((inputPrYr!$B38&gt;" "),(inputPrYr!$B38),"  ")</f>
        <v>  </v>
      </c>
      <c r="C29" s="193" t="str">
        <f>IF(inputPrYr!E38&gt;0,inputPrYr!E38,"  ")</f>
        <v>  </v>
      </c>
      <c r="D29" s="648" t="str">
        <f>IF(inputPrYr!F38&gt;0,(inputPrYr!F38),"  ")</f>
        <v>  </v>
      </c>
      <c r="E29" s="193" t="str">
        <f>IF(inputPrYr!E38&gt;0,ROUND(+C29*E$41,0),"  ")</f>
        <v>  </v>
      </c>
      <c r="F29" s="193" t="str">
        <f>IF(inputPrYr!E38&gt;0,ROUND(+C29*F$43,0),"  ")</f>
        <v>  </v>
      </c>
      <c r="G29" s="193" t="str">
        <f>IF(inputPrYr!E38&gt;0,ROUND(+C29*G$45,0),"  ")</f>
        <v>  </v>
      </c>
      <c r="H29" s="63"/>
      <c r="I29" s="68"/>
    </row>
    <row r="30" spans="1:9" ht="15.75">
      <c r="A30" s="69"/>
      <c r="B30" s="25" t="str">
        <f>IF((inputPrYr!$B39&gt;" "),(inputPrYr!$B39),"  ")</f>
        <v>  </v>
      </c>
      <c r="C30" s="193" t="str">
        <f>IF(inputPrYr!E39&gt;0,inputPrYr!E39,"  ")</f>
        <v>  </v>
      </c>
      <c r="D30" s="648" t="str">
        <f>IF(inputPrYr!F39&gt;0,(inputPrYr!F39),"  ")</f>
        <v>  </v>
      </c>
      <c r="E30" s="193" t="str">
        <f>IF(inputPrYr!E39&gt;0,ROUND(+C30*E$41,0),"  ")</f>
        <v>  </v>
      </c>
      <c r="F30" s="193" t="str">
        <f>IF(inputPrYr!E39&gt;0,ROUND(+C30*F$43,0),"  ")</f>
        <v>  </v>
      </c>
      <c r="G30" s="193" t="str">
        <f>IF(inputPrYr!E39&gt;0,ROUND(+C30*G$45,0),"  ")</f>
        <v>  </v>
      </c>
      <c r="H30" s="63"/>
      <c r="I30" s="68"/>
    </row>
    <row r="31" spans="1:9" ht="15.75">
      <c r="A31" s="69"/>
      <c r="B31" s="25" t="str">
        <f>IF((inputPrYr!$B40&gt;" "),(inputPrYr!$B40),"  ")</f>
        <v>  </v>
      </c>
      <c r="C31" s="193" t="str">
        <f>IF(inputPrYr!E40&gt;0,inputPrYr!E40,"  ")</f>
        <v>  </v>
      </c>
      <c r="D31" s="648" t="str">
        <f>IF(inputPrYr!F40&gt;0,(inputPrYr!F40),"  ")</f>
        <v>  </v>
      </c>
      <c r="E31" s="193" t="str">
        <f>IF(inputPrYr!E40&gt;0,ROUND(+C31*E$41,0),"  ")</f>
        <v>  </v>
      </c>
      <c r="F31" s="193" t="str">
        <f>IF(inputPrYr!E40&gt;0,ROUND(+C31*F$43,0),"  ")</f>
        <v>  </v>
      </c>
      <c r="G31" s="193" t="str">
        <f>IF(inputPrYr!E40&gt;0,ROUND(+C31*G$45,0),"  ")</f>
        <v>  </v>
      </c>
      <c r="H31" s="63"/>
      <c r="I31" s="68"/>
    </row>
    <row r="32" spans="1:9" ht="16.5" thickBot="1">
      <c r="A32" s="69"/>
      <c r="B32" s="103" t="s">
        <v>153</v>
      </c>
      <c r="C32" s="646">
        <f>SUM(C7:C31)</f>
        <v>5262580</v>
      </c>
      <c r="D32" s="647">
        <f>SUM(D7:D31)</f>
        <v>43.934999999999995</v>
      </c>
      <c r="E32" s="646">
        <f>SUM(E7:E31)</f>
        <v>405245</v>
      </c>
      <c r="F32" s="646">
        <f>SUM(F7:F31)</f>
        <v>8198</v>
      </c>
      <c r="G32" s="646">
        <f>SUM(G7:G31)</f>
        <v>25642</v>
      </c>
      <c r="H32" s="68"/>
      <c r="I32" s="68"/>
    </row>
    <row r="33" spans="1:9" ht="16.5" thickTop="1">
      <c r="A33" s="69"/>
      <c r="B33" s="52"/>
      <c r="C33" s="63"/>
      <c r="D33" s="70"/>
      <c r="E33" s="63"/>
      <c r="F33" s="63"/>
      <c r="G33" s="63"/>
      <c r="H33" s="63"/>
      <c r="I33" s="68"/>
    </row>
    <row r="34" spans="1:9" ht="15.75">
      <c r="A34" s="69"/>
      <c r="B34" s="15" t="s">
        <v>154</v>
      </c>
      <c r="C34" s="61"/>
      <c r="D34" s="61"/>
      <c r="E34" s="62">
        <f>(inputOth!E15)</f>
        <v>405245</v>
      </c>
      <c r="F34" s="61"/>
      <c r="G34" s="30"/>
      <c r="H34" s="30"/>
      <c r="I34" s="53"/>
    </row>
    <row r="35" spans="1:9" ht="15.75">
      <c r="A35" s="69"/>
      <c r="B35" s="15"/>
      <c r="C35" s="61"/>
      <c r="D35" s="61"/>
      <c r="E35" s="63"/>
      <c r="F35" s="61"/>
      <c r="G35" s="30"/>
      <c r="H35" s="30"/>
      <c r="I35" s="53"/>
    </row>
    <row r="36" spans="1:9" ht="15.75">
      <c r="A36" s="69"/>
      <c r="B36" s="15" t="s">
        <v>155</v>
      </c>
      <c r="C36" s="30"/>
      <c r="D36" s="30"/>
      <c r="E36" s="30"/>
      <c r="F36" s="62">
        <f>(inputOth!E16)</f>
        <v>8198</v>
      </c>
      <c r="G36" s="30"/>
      <c r="H36" s="30"/>
      <c r="I36" s="53"/>
    </row>
    <row r="37" spans="1:9" ht="15.75">
      <c r="A37" s="69"/>
      <c r="B37" s="15"/>
      <c r="C37" s="30"/>
      <c r="D37" s="30"/>
      <c r="E37" s="30"/>
      <c r="F37" s="63"/>
      <c r="G37" s="30"/>
      <c r="H37" s="30"/>
      <c r="I37" s="53"/>
    </row>
    <row r="38" spans="1:9" ht="15.75">
      <c r="A38" s="69"/>
      <c r="B38" s="15" t="s">
        <v>246</v>
      </c>
      <c r="C38" s="30"/>
      <c r="D38" s="30"/>
      <c r="E38" s="30"/>
      <c r="F38" s="30"/>
      <c r="G38" s="62">
        <f>inputOth!E17</f>
        <v>25642</v>
      </c>
      <c r="H38" s="63"/>
      <c r="I38" s="53"/>
    </row>
    <row r="39" spans="1:9" ht="15.75">
      <c r="A39" s="69"/>
      <c r="B39" s="14"/>
      <c r="C39" s="30"/>
      <c r="D39" s="30"/>
      <c r="E39" s="30"/>
      <c r="F39" s="30"/>
      <c r="G39" s="30"/>
      <c r="H39" s="30"/>
      <c r="I39" s="53"/>
    </row>
    <row r="40" spans="1:9" ht="15.75">
      <c r="A40" s="69"/>
      <c r="B40" s="14"/>
      <c r="C40" s="30"/>
      <c r="D40" s="30"/>
      <c r="E40" s="30"/>
      <c r="F40" s="30"/>
      <c r="G40" s="30"/>
      <c r="H40" s="30"/>
      <c r="I40" s="53"/>
    </row>
    <row r="41" spans="1:9" ht="15.75">
      <c r="A41" s="69"/>
      <c r="B41" s="15" t="s">
        <v>156</v>
      </c>
      <c r="C41" s="30"/>
      <c r="D41" s="30"/>
      <c r="E41" s="64">
        <f>IF(C32=0,0,E34/C32)</f>
        <v>0.07700500514956542</v>
      </c>
      <c r="F41" s="30"/>
      <c r="G41" s="30"/>
      <c r="H41" s="30"/>
      <c r="I41" s="53"/>
    </row>
    <row r="42" spans="1:9" ht="15.75">
      <c r="A42" s="69"/>
      <c r="B42" s="15"/>
      <c r="C42" s="30"/>
      <c r="D42" s="30"/>
      <c r="E42" s="65"/>
      <c r="F42" s="30"/>
      <c r="G42" s="30"/>
      <c r="H42" s="30"/>
      <c r="I42" s="53"/>
    </row>
    <row r="43" spans="1:9" ht="15.75">
      <c r="A43" s="69"/>
      <c r="B43" s="15" t="s">
        <v>310</v>
      </c>
      <c r="C43" s="30"/>
      <c r="D43" s="30"/>
      <c r="E43" s="30"/>
      <c r="F43" s="64">
        <f>IF(C32=0,0,F36/C32)</f>
        <v>0.001557791045456791</v>
      </c>
      <c r="G43" s="30"/>
      <c r="H43" s="30"/>
      <c r="I43" s="53"/>
    </row>
    <row r="44" spans="1:9" ht="15.75">
      <c r="A44" s="69"/>
      <c r="B44" s="15"/>
      <c r="C44" s="30"/>
      <c r="D44" s="30"/>
      <c r="E44" s="30"/>
      <c r="F44" s="65"/>
      <c r="G44" s="30"/>
      <c r="H44" s="30"/>
      <c r="I44" s="53"/>
    </row>
    <row r="45" spans="1:9" ht="15.75">
      <c r="A45" s="69"/>
      <c r="B45" s="15" t="s">
        <v>309</v>
      </c>
      <c r="C45" s="30"/>
      <c r="D45" s="30"/>
      <c r="E45" s="30"/>
      <c r="F45" s="30"/>
      <c r="G45" s="64">
        <f>IF(C32=0,0,G38/C32)</f>
        <v>0.0048725150021472355</v>
      </c>
      <c r="H45" s="65"/>
      <c r="I45" s="53"/>
    </row>
    <row r="46" spans="1:9" ht="15.75">
      <c r="A46" s="69"/>
      <c r="B46" s="28"/>
      <c r="C46" s="53"/>
      <c r="D46" s="53"/>
      <c r="E46" s="53"/>
      <c r="F46" s="53"/>
      <c r="G46" s="53"/>
      <c r="H46" s="53"/>
      <c r="I46" s="53"/>
    </row>
    <row r="47" spans="1:9" ht="15.75">
      <c r="A47" s="69"/>
      <c r="B47" s="28"/>
      <c r="C47" s="53"/>
      <c r="D47" s="53"/>
      <c r="E47" s="53"/>
      <c r="F47" s="53"/>
      <c r="G47" s="53"/>
      <c r="H47" s="53"/>
      <c r="I47" s="53"/>
    </row>
  </sheetData>
  <sheetProtection sheet="1"/>
  <mergeCells count="4">
    <mergeCell ref="C5:C6"/>
    <mergeCell ref="D5:D6"/>
    <mergeCell ref="E5:G5"/>
    <mergeCell ref="B3:G3"/>
  </mergeCells>
  <printOptions/>
  <pageMargins left="1.5" right="0.75" top="0.25" bottom="0.18" header="0" footer="0"/>
  <pageSetup blackAndWhite="1" firstPageNumber="3" useFirstPageNumber="1" fitToHeight="1" fitToWidth="1" horizontalDpi="600" verticalDpi="600" orientation="landscape" scale="83" r:id="rId1"/>
  <headerFooter alignWithMargins="0">
    <oddHeader>&amp;RState of Kansas
County</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43"/>
  <sheetViews>
    <sheetView zoomScalePageLayoutView="0" workbookViewId="0" topLeftCell="A1">
      <selection activeCell="F29" sqref="F29"/>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8"/>
      <c r="B1" s="85"/>
      <c r="C1" s="85"/>
      <c r="D1" s="85"/>
      <c r="E1" s="240"/>
      <c r="F1" s="85"/>
    </row>
    <row r="2" spans="1:6" ht="15.75">
      <c r="A2" s="144" t="str">
        <f>inputPrYr!C2</f>
        <v>Rice County</v>
      </c>
      <c r="B2" s="144"/>
      <c r="C2" s="85"/>
      <c r="D2" s="85"/>
      <c r="E2" s="240"/>
      <c r="F2" s="85">
        <f>inputPrYr!C4</f>
        <v>2013</v>
      </c>
    </row>
    <row r="3" spans="1:6" ht="15.75">
      <c r="A3" s="228"/>
      <c r="B3" s="144"/>
      <c r="C3" s="85"/>
      <c r="D3" s="85"/>
      <c r="E3" s="240"/>
      <c r="F3" s="85"/>
    </row>
    <row r="4" spans="1:6" ht="15.75">
      <c r="A4" s="228"/>
      <c r="B4" s="85"/>
      <c r="C4" s="85"/>
      <c r="D4" s="85"/>
      <c r="E4" s="240"/>
      <c r="F4" s="85"/>
    </row>
    <row r="5" spans="1:6" ht="15" customHeight="1">
      <c r="A5" s="761" t="s">
        <v>289</v>
      </c>
      <c r="B5" s="761"/>
      <c r="C5" s="761"/>
      <c r="D5" s="761"/>
      <c r="E5" s="761"/>
      <c r="F5" s="761"/>
    </row>
    <row r="6" spans="1:6" ht="14.25" customHeight="1">
      <c r="A6" s="229"/>
      <c r="B6" s="241"/>
      <c r="C6" s="241"/>
      <c r="D6" s="241"/>
      <c r="E6" s="241"/>
      <c r="F6" s="241"/>
    </row>
    <row r="7" spans="1:6" ht="15" customHeight="1">
      <c r="A7" s="242" t="s">
        <v>664</v>
      </c>
      <c r="B7" s="242" t="s">
        <v>665</v>
      </c>
      <c r="C7" s="243" t="s">
        <v>196</v>
      </c>
      <c r="D7" s="243" t="s">
        <v>311</v>
      </c>
      <c r="E7" s="243" t="s">
        <v>312</v>
      </c>
      <c r="F7" s="243" t="s">
        <v>344</v>
      </c>
    </row>
    <row r="8" spans="1:6" ht="15" customHeight="1">
      <c r="A8" s="244" t="s">
        <v>666</v>
      </c>
      <c r="B8" s="244" t="s">
        <v>667</v>
      </c>
      <c r="C8" s="245" t="s">
        <v>343</v>
      </c>
      <c r="D8" s="245" t="s">
        <v>343</v>
      </c>
      <c r="E8" s="245" t="s">
        <v>343</v>
      </c>
      <c r="F8" s="245" t="s">
        <v>345</v>
      </c>
    </row>
    <row r="9" spans="1:6" s="226" customFormat="1" ht="15" customHeight="1" thickBot="1">
      <c r="A9" s="246" t="s">
        <v>341</v>
      </c>
      <c r="B9" s="247" t="s">
        <v>342</v>
      </c>
      <c r="C9" s="248">
        <f>F2-2</f>
        <v>2011</v>
      </c>
      <c r="D9" s="248">
        <f>F2-1</f>
        <v>2012</v>
      </c>
      <c r="E9" s="248">
        <f>F2</f>
        <v>2013</v>
      </c>
      <c r="F9" s="247" t="s">
        <v>130</v>
      </c>
    </row>
    <row r="10" spans="1:6" ht="15" customHeight="1" thickTop="1">
      <c r="A10" s="249" t="s">
        <v>1077</v>
      </c>
      <c r="B10" s="249" t="s">
        <v>914</v>
      </c>
      <c r="C10" s="250">
        <v>5000</v>
      </c>
      <c r="D10" s="250">
        <v>0</v>
      </c>
      <c r="E10" s="250">
        <v>0</v>
      </c>
      <c r="F10" s="249" t="s">
        <v>1094</v>
      </c>
    </row>
    <row r="11" spans="1:6" ht="15" customHeight="1">
      <c r="A11" s="111" t="s">
        <v>1078</v>
      </c>
      <c r="B11" s="111" t="s">
        <v>914</v>
      </c>
      <c r="C11" s="251">
        <v>0</v>
      </c>
      <c r="D11" s="251">
        <v>0</v>
      </c>
      <c r="E11" s="251">
        <v>1500</v>
      </c>
      <c r="F11" s="249" t="s">
        <v>1094</v>
      </c>
    </row>
    <row r="12" spans="1:6" ht="15" customHeight="1">
      <c r="A12" s="111" t="s">
        <v>1079</v>
      </c>
      <c r="B12" s="111" t="s">
        <v>914</v>
      </c>
      <c r="C12" s="251">
        <v>5000</v>
      </c>
      <c r="D12" s="251">
        <v>0</v>
      </c>
      <c r="E12" s="251">
        <v>5000</v>
      </c>
      <c r="F12" s="249" t="s">
        <v>1094</v>
      </c>
    </row>
    <row r="13" spans="1:6" ht="15" customHeight="1">
      <c r="A13" s="111" t="s">
        <v>1080</v>
      </c>
      <c r="B13" s="111" t="s">
        <v>1081</v>
      </c>
      <c r="C13" s="251">
        <v>0</v>
      </c>
      <c r="D13" s="251">
        <v>250000</v>
      </c>
      <c r="E13" s="251">
        <v>250000</v>
      </c>
      <c r="F13" s="249" t="s">
        <v>1095</v>
      </c>
    </row>
    <row r="14" spans="1:6" ht="15" customHeight="1">
      <c r="A14" s="111" t="s">
        <v>1082</v>
      </c>
      <c r="B14" s="111" t="s">
        <v>1081</v>
      </c>
      <c r="C14" s="251">
        <v>50000</v>
      </c>
      <c r="D14" s="251">
        <v>50000</v>
      </c>
      <c r="E14" s="251">
        <v>0</v>
      </c>
      <c r="F14" s="249" t="s">
        <v>1095</v>
      </c>
    </row>
    <row r="15" spans="1:6" ht="15" customHeight="1">
      <c r="A15" s="111" t="s">
        <v>1082</v>
      </c>
      <c r="B15" s="111" t="s">
        <v>914</v>
      </c>
      <c r="C15" s="251">
        <v>5779</v>
      </c>
      <c r="D15" s="251">
        <v>5779</v>
      </c>
      <c r="E15" s="251">
        <v>0</v>
      </c>
      <c r="F15" s="249" t="s">
        <v>1094</v>
      </c>
    </row>
    <row r="16" spans="1:6" ht="15" customHeight="1">
      <c r="A16" s="111" t="s">
        <v>1083</v>
      </c>
      <c r="B16" s="111" t="s">
        <v>914</v>
      </c>
      <c r="C16" s="251">
        <v>5954</v>
      </c>
      <c r="D16" s="251">
        <v>6000</v>
      </c>
      <c r="E16" s="251">
        <v>6000</v>
      </c>
      <c r="F16" s="111" t="s">
        <v>1094</v>
      </c>
    </row>
    <row r="17" spans="1:6" ht="15" customHeight="1">
      <c r="A17" s="111" t="s">
        <v>1084</v>
      </c>
      <c r="B17" s="111" t="s">
        <v>1085</v>
      </c>
      <c r="C17" s="251">
        <v>9000</v>
      </c>
      <c r="D17" s="251">
        <v>0</v>
      </c>
      <c r="E17" s="251">
        <v>10000</v>
      </c>
      <c r="F17" s="111" t="s">
        <v>1095</v>
      </c>
    </row>
    <row r="18" spans="1:6" ht="15" customHeight="1">
      <c r="A18" s="111" t="s">
        <v>1086</v>
      </c>
      <c r="B18" s="111" t="s">
        <v>914</v>
      </c>
      <c r="C18" s="251">
        <v>0</v>
      </c>
      <c r="D18" s="251">
        <v>0</v>
      </c>
      <c r="E18" s="251">
        <v>5000</v>
      </c>
      <c r="F18" s="111" t="s">
        <v>1094</v>
      </c>
    </row>
    <row r="19" spans="1:6" ht="15" customHeight="1">
      <c r="A19" s="111" t="s">
        <v>1096</v>
      </c>
      <c r="B19" s="111" t="s">
        <v>916</v>
      </c>
      <c r="C19" s="251">
        <v>0</v>
      </c>
      <c r="D19" s="251">
        <v>0</v>
      </c>
      <c r="E19" s="251">
        <v>100000</v>
      </c>
      <c r="F19" s="111" t="s">
        <v>1095</v>
      </c>
    </row>
    <row r="20" spans="1:6" ht="15" customHeight="1">
      <c r="A20" s="111" t="s">
        <v>1096</v>
      </c>
      <c r="B20" s="111" t="s">
        <v>914</v>
      </c>
      <c r="C20" s="251">
        <v>0</v>
      </c>
      <c r="D20" s="251">
        <v>0</v>
      </c>
      <c r="E20" s="251">
        <v>75000</v>
      </c>
      <c r="F20" s="111" t="s">
        <v>1095</v>
      </c>
    </row>
    <row r="21" spans="1:6" ht="15" customHeight="1">
      <c r="A21" s="111" t="s">
        <v>1096</v>
      </c>
      <c r="B21" s="111" t="s">
        <v>915</v>
      </c>
      <c r="C21" s="251">
        <v>0</v>
      </c>
      <c r="D21" s="251">
        <v>0</v>
      </c>
      <c r="E21" s="251">
        <v>50000</v>
      </c>
      <c r="F21" s="111" t="s">
        <v>1095</v>
      </c>
    </row>
    <row r="22" spans="1:6" ht="15" customHeight="1">
      <c r="A22" s="111" t="s">
        <v>1097</v>
      </c>
      <c r="B22" s="111" t="s">
        <v>191</v>
      </c>
      <c r="C22" s="251">
        <v>645393</v>
      </c>
      <c r="D22" s="251">
        <v>200000</v>
      </c>
      <c r="E22" s="251">
        <v>200000</v>
      </c>
      <c r="F22" s="111" t="s">
        <v>1095</v>
      </c>
    </row>
    <row r="23" spans="1:6" ht="15" customHeight="1">
      <c r="A23" s="111" t="s">
        <v>1088</v>
      </c>
      <c r="B23" s="111" t="s">
        <v>914</v>
      </c>
      <c r="C23" s="251">
        <v>6000</v>
      </c>
      <c r="D23" s="251">
        <v>0</v>
      </c>
      <c r="E23" s="251">
        <v>0</v>
      </c>
      <c r="F23" s="111" t="s">
        <v>1094</v>
      </c>
    </row>
    <row r="24" spans="1:6" ht="15" customHeight="1">
      <c r="A24" s="111" t="s">
        <v>1087</v>
      </c>
      <c r="B24" s="252" t="s">
        <v>1081</v>
      </c>
      <c r="C24" s="251">
        <v>150000</v>
      </c>
      <c r="D24" s="251">
        <v>150000</v>
      </c>
      <c r="E24" s="251">
        <v>0</v>
      </c>
      <c r="F24" s="111" t="s">
        <v>1095</v>
      </c>
    </row>
    <row r="25" spans="1:6" ht="15" customHeight="1">
      <c r="A25" s="111" t="s">
        <v>1087</v>
      </c>
      <c r="B25" s="252" t="s">
        <v>914</v>
      </c>
      <c r="C25" s="251">
        <v>0</v>
      </c>
      <c r="D25" s="251">
        <v>0</v>
      </c>
      <c r="E25" s="251">
        <v>50000</v>
      </c>
      <c r="F25" s="111" t="s">
        <v>1094</v>
      </c>
    </row>
    <row r="26" spans="1:6" ht="15" customHeight="1">
      <c r="A26" s="111" t="s">
        <v>1089</v>
      </c>
      <c r="B26" s="111" t="s">
        <v>914</v>
      </c>
      <c r="C26" s="251">
        <v>50000</v>
      </c>
      <c r="D26" s="251">
        <v>25000</v>
      </c>
      <c r="E26" s="251">
        <v>25000</v>
      </c>
      <c r="F26" s="111" t="s">
        <v>1094</v>
      </c>
    </row>
    <row r="27" spans="1:6" ht="15" customHeight="1">
      <c r="A27" s="111" t="s">
        <v>1103</v>
      </c>
      <c r="B27" s="111" t="s">
        <v>1104</v>
      </c>
      <c r="C27" s="251">
        <v>0</v>
      </c>
      <c r="D27" s="251">
        <v>0</v>
      </c>
      <c r="E27" s="251">
        <v>50000</v>
      </c>
      <c r="F27" s="111" t="s">
        <v>1094</v>
      </c>
    </row>
    <row r="28" spans="1:6" ht="15" customHeight="1">
      <c r="A28" s="111" t="s">
        <v>185</v>
      </c>
      <c r="B28" s="111" t="s">
        <v>191</v>
      </c>
      <c r="C28" s="251">
        <v>0</v>
      </c>
      <c r="D28" s="251">
        <v>81543</v>
      </c>
      <c r="E28" s="251">
        <v>1120</v>
      </c>
      <c r="F28" s="111" t="s">
        <v>1095</v>
      </c>
    </row>
    <row r="29" spans="1:6" ht="15" customHeight="1">
      <c r="A29" s="111" t="s">
        <v>191</v>
      </c>
      <c r="B29" s="111" t="s">
        <v>1090</v>
      </c>
      <c r="C29" s="251">
        <v>250000</v>
      </c>
      <c r="D29" s="251">
        <v>50000</v>
      </c>
      <c r="E29" s="251">
        <v>50000</v>
      </c>
      <c r="F29" s="111" t="s">
        <v>1098</v>
      </c>
    </row>
    <row r="30" spans="1:6" ht="15" customHeight="1">
      <c r="A30" s="111" t="s">
        <v>1091</v>
      </c>
      <c r="B30" s="111" t="s">
        <v>921</v>
      </c>
      <c r="C30" s="251">
        <v>25000</v>
      </c>
      <c r="D30" s="251">
        <v>0</v>
      </c>
      <c r="E30" s="251">
        <v>0</v>
      </c>
      <c r="F30" s="111" t="s">
        <v>1099</v>
      </c>
    </row>
    <row r="31" spans="1:6" ht="15" customHeight="1">
      <c r="A31" s="111" t="s">
        <v>189</v>
      </c>
      <c r="B31" s="111" t="s">
        <v>914</v>
      </c>
      <c r="C31" s="251">
        <v>0</v>
      </c>
      <c r="D31" s="251">
        <v>3000</v>
      </c>
      <c r="E31" s="251">
        <v>0</v>
      </c>
      <c r="F31" s="111" t="s">
        <v>1094</v>
      </c>
    </row>
    <row r="32" spans="1:6" ht="15" customHeight="1">
      <c r="A32" s="111" t="s">
        <v>911</v>
      </c>
      <c r="B32" s="111" t="s">
        <v>914</v>
      </c>
      <c r="C32" s="251">
        <v>2047</v>
      </c>
      <c r="D32" s="251">
        <v>4000</v>
      </c>
      <c r="E32" s="251">
        <v>7000</v>
      </c>
      <c r="F32" s="111" t="s">
        <v>1094</v>
      </c>
    </row>
    <row r="33" spans="1:6" ht="15" customHeight="1">
      <c r="A33" s="111">
        <v>911</v>
      </c>
      <c r="B33" s="111" t="s">
        <v>914</v>
      </c>
      <c r="C33" s="251">
        <v>7169</v>
      </c>
      <c r="D33" s="251">
        <v>568</v>
      </c>
      <c r="E33" s="251">
        <v>0</v>
      </c>
      <c r="F33" s="111" t="s">
        <v>1094</v>
      </c>
    </row>
    <row r="34" spans="1:6" ht="15" customHeight="1">
      <c r="A34" s="111" t="s">
        <v>918</v>
      </c>
      <c r="B34" s="111" t="s">
        <v>917</v>
      </c>
      <c r="C34" s="251">
        <v>49291</v>
      </c>
      <c r="D34" s="251">
        <v>0</v>
      </c>
      <c r="E34" s="251">
        <v>0</v>
      </c>
      <c r="F34" s="111" t="s">
        <v>1095</v>
      </c>
    </row>
    <row r="35" spans="1:6" ht="15" customHeight="1">
      <c r="A35" s="111" t="s">
        <v>1092</v>
      </c>
      <c r="B35" s="111" t="s">
        <v>914</v>
      </c>
      <c r="C35" s="251">
        <v>6046</v>
      </c>
      <c r="D35" s="251">
        <v>0</v>
      </c>
      <c r="E35" s="251">
        <v>0</v>
      </c>
      <c r="F35" s="111" t="s">
        <v>1100</v>
      </c>
    </row>
    <row r="36" spans="1:6" ht="15" customHeight="1">
      <c r="A36" s="111" t="s">
        <v>1093</v>
      </c>
      <c r="B36" s="111" t="s">
        <v>914</v>
      </c>
      <c r="C36" s="251">
        <v>3000</v>
      </c>
      <c r="D36" s="251">
        <v>0</v>
      </c>
      <c r="E36" s="251">
        <v>0</v>
      </c>
      <c r="F36" s="111" t="s">
        <v>1094</v>
      </c>
    </row>
    <row r="37" spans="1:6" ht="15" customHeight="1">
      <c r="A37" s="111" t="s">
        <v>1093</v>
      </c>
      <c r="B37" s="111" t="s">
        <v>131</v>
      </c>
      <c r="C37" s="251">
        <v>37730</v>
      </c>
      <c r="D37" s="251">
        <v>10000</v>
      </c>
      <c r="E37" s="251">
        <v>15000</v>
      </c>
      <c r="F37" s="111" t="s">
        <v>1101</v>
      </c>
    </row>
    <row r="38" spans="1:6" ht="15.75">
      <c r="A38" s="137"/>
      <c r="B38" s="253" t="s">
        <v>132</v>
      </c>
      <c r="C38" s="120">
        <f>SUM(C10:C37)</f>
        <v>1312409</v>
      </c>
      <c r="D38" s="120">
        <f>SUM(D10:D37)</f>
        <v>835890</v>
      </c>
      <c r="E38" s="120">
        <f>SUM(E10:E37)</f>
        <v>900620</v>
      </c>
      <c r="F38" s="137"/>
    </row>
    <row r="39" spans="1:6" ht="15.75">
      <c r="A39" s="137"/>
      <c r="B39" s="254" t="s">
        <v>662</v>
      </c>
      <c r="C39" s="104"/>
      <c r="D39" s="105"/>
      <c r="E39" s="105"/>
      <c r="F39" s="137"/>
    </row>
    <row r="40" spans="1:6" ht="15.75">
      <c r="A40" s="137"/>
      <c r="B40" s="253" t="s">
        <v>346</v>
      </c>
      <c r="C40" s="120">
        <f>C38</f>
        <v>1312409</v>
      </c>
      <c r="D40" s="120">
        <f>SUM(D38-D39)</f>
        <v>835890</v>
      </c>
      <c r="E40" s="120">
        <f>SUM(E38-E39)</f>
        <v>900620</v>
      </c>
      <c r="F40" s="137"/>
    </row>
    <row r="41" spans="1:6" ht="15.75">
      <c r="A41" s="137"/>
      <c r="B41" s="137"/>
      <c r="C41" s="137"/>
      <c r="D41" s="137"/>
      <c r="E41" s="137"/>
      <c r="F41" s="137"/>
    </row>
    <row r="42" spans="1:6" ht="15.75">
      <c r="A42" s="137"/>
      <c r="B42" s="137"/>
      <c r="C42" s="137"/>
      <c r="D42" s="137"/>
      <c r="E42" s="137"/>
      <c r="F42" s="137"/>
    </row>
    <row r="43" spans="1:6" ht="15.75">
      <c r="A43" s="445" t="s">
        <v>663</v>
      </c>
      <c r="B43" s="446" t="str">
        <f>CONCATENATE("Adjustments are required only if the transfer is being made in ",D9," and/or ",E9," from a non-budgeted fund.")</f>
        <v>Adjustments are required only if the transfer is being made in 2012 and/or 2013 from a non-budgeted fund.</v>
      </c>
      <c r="C43" s="137"/>
      <c r="D43" s="137"/>
      <c r="E43" s="137"/>
      <c r="F43" s="137"/>
    </row>
  </sheetData>
  <sheetProtection/>
  <mergeCells count="1">
    <mergeCell ref="A5:F5"/>
  </mergeCells>
  <printOptions/>
  <pageMargins left="0.5" right="0.5" top="0.72" bottom="0.23" header="0.5" footer="0"/>
  <pageSetup blackAndWhite="1" fitToHeight="1" fitToWidth="1" horizontalDpi="120" verticalDpi="120" orientation="portrait" scale="86" r:id="rId1"/>
  <headerFooter alignWithMargins="0">
    <oddHeader>&amp;RState of Kansas
County
</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2012-07-30T21:43:34Z</cp:lastPrinted>
  <dcterms:created xsi:type="dcterms:W3CDTF">1998-08-26T13:26:11Z</dcterms:created>
  <dcterms:modified xsi:type="dcterms:W3CDTF">2014-01-20T15:28:51Z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