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15" yWindow="-15" windowWidth="9630" windowHeight="2715" tabRatio="805" firstSheet="38" activeTab="38"/>
  </bookViews>
  <sheets>
    <sheet name="instructions" sheetId="1" r:id="rId1"/>
    <sheet name="inputPrYr" sheetId="2" r:id="rId2"/>
    <sheet name="inputOth" sheetId="43" r:id="rId3"/>
    <sheet name="inputBudSum" sheetId="57" r:id="rId4"/>
    <sheet name="cert" sheetId="3" r:id="rId5"/>
    <sheet name="cert2" sheetId="4" r:id="rId6"/>
    <sheet name="computation" sheetId="33" r:id="rId7"/>
    <sheet name="mvalloc" sheetId="38" r:id="rId8"/>
    <sheet name="transfers" sheetId="6" r:id="rId9"/>
    <sheet name="TransfersStatutes" sheetId="50" r:id="rId10"/>
    <sheet name="debt" sheetId="29" r:id="rId11"/>
    <sheet name="lpform" sheetId="30" r:id="rId12"/>
    <sheet name="general" sheetId="8" r:id="rId13"/>
    <sheet name="General Fund Expd." sheetId="9" r:id="rId14"/>
    <sheet name="Bond &amp; Interest" sheetId="42" r:id="rId15"/>
    <sheet name="Road &amp; Bridge" sheetId="44" r:id="rId16"/>
    <sheet name="Road &amp; Bridge Expd." sheetId="11" r:id="rId17"/>
    <sheet name="Special R&amp;B|Ambulance" sheetId="10" r:id="rId18"/>
    <sheet name="Appraisal|County Building" sheetId="12" r:id="rId19"/>
    <sheet name="Election|Employee Benefits" sheetId="13" r:id="rId20"/>
    <sheet name="Health|Noxious Weed" sheetId="14" r:id="rId21"/>
    <sheet name="Special Liability|Conservation" sheetId="15" r:id="rId22"/>
    <sheet name="Elderly|Extension" sheetId="16" r:id="rId23"/>
    <sheet name="Fair Prem|Fair Build" sheetId="17" r:id="rId24"/>
    <sheet name="Historical|Mental" sheetId="18" r:id="rId25"/>
    <sheet name="Developmental" sheetId="19" r:id="rId26"/>
    <sheet name="blank" sheetId="20" r:id="rId27"/>
    <sheet name="blank " sheetId="21" r:id="rId28"/>
    <sheet name="Solid Waste|Annex" sheetId="22" r:id="rId29"/>
    <sheet name="Centropolis|Country Estate" sheetId="23" r:id="rId30"/>
    <sheet name="911 Equipment|Wireless Phone" sheetId="24" r:id="rId31"/>
    <sheet name="Risk Management|Special Alcohol" sheetId="25" r:id="rId32"/>
    <sheet name="Special Parks|Tourism" sheetId="26" r:id="rId33"/>
    <sheet name="County Wide Phone|NW Capital" sheetId="36" r:id="rId34"/>
    <sheet name="Hospital Tax|911 Phone Tax" sheetId="35" r:id="rId35"/>
    <sheet name="blank  " sheetId="37" r:id="rId36"/>
    <sheet name="nonbudA" sheetId="45" r:id="rId37"/>
    <sheet name="nonbudB" sheetId="46" r:id="rId38"/>
    <sheet name="nonbudC" sheetId="47" r:id="rId39"/>
    <sheet name=" blank" sheetId="48" r:id="rId40"/>
    <sheet name="NonBudFunds" sheetId="56" r:id="rId41"/>
    <sheet name="summ" sheetId="27" r:id="rId42"/>
    <sheet name="summ2" sheetId="28" r:id="rId43"/>
    <sheet name="Nhood" sheetId="49" r:id="rId44"/>
    <sheet name="Resolution" sheetId="39" r:id="rId45"/>
    <sheet name="Tab A" sheetId="51" r:id="rId46"/>
    <sheet name="Tab B" sheetId="52" r:id="rId47"/>
    <sheet name="Tab C" sheetId="53" r:id="rId48"/>
    <sheet name="Tab D" sheetId="54" r:id="rId49"/>
    <sheet name="Tab E" sheetId="55" r:id="rId50"/>
    <sheet name="Mill Rate Computation" sheetId="58" r:id="rId51"/>
    <sheet name="Helpful Links" sheetId="59" r:id="rId52"/>
    <sheet name="legend" sheetId="34" r:id="rId53"/>
  </sheets>
  <definedNames>
    <definedName name="_xlnm.Print_Area" localSheetId="18">'Appraisal|County Building'!$A$1:$E$86</definedName>
    <definedName name="_xlnm.Print_Area" localSheetId="26">blank!$A$1:$E$86</definedName>
    <definedName name="_xlnm.Print_Area" localSheetId="27">'blank '!$A$1:$E$86</definedName>
    <definedName name="_xlnm.Print_Area" localSheetId="14">'Bond &amp; Interest'!$B$1:$E$59</definedName>
    <definedName name="_xlnm.Print_Area" localSheetId="25">Developmental!$A$1:$E$86</definedName>
    <definedName name="_xlnm.Print_Area" localSheetId="22">'Elderly|Extension'!$A$1:$E$86</definedName>
    <definedName name="_xlnm.Print_Area" localSheetId="19">'Election|Employee Benefits'!$A$1:$E$86</definedName>
    <definedName name="_xlnm.Print_Area" localSheetId="23">'Fair Prem|Fair Build'!$A$1:$E$86</definedName>
    <definedName name="_xlnm.Print_Area" localSheetId="12">general!$A$1:$E$131</definedName>
    <definedName name="_xlnm.Print_Area" localSheetId="20">'Health|Noxious Weed'!$A$1:$E$86</definedName>
    <definedName name="_xlnm.Print_Area" localSheetId="24">'Historical|Mental'!$A$1:$E$86</definedName>
    <definedName name="_xlnm.Print_Area" localSheetId="1">inputPrYr!$A$1:$F$125</definedName>
    <definedName name="_xlnm.Print_Area" localSheetId="0">instructions!$A$1:$A$107</definedName>
    <definedName name="_xlnm.Print_Area" localSheetId="15">'Road &amp; Bridge'!$B$1:$E$120</definedName>
    <definedName name="_xlnm.Print_Area" localSheetId="21">'Special Liability|Conservation'!$A$1:$E$86</definedName>
    <definedName name="_xlnm.Print_Area" localSheetId="17">'Special R&amp;B|Ambulance'!$A$1:$E$86</definedName>
    <definedName name="_xlnm.Print_Area" localSheetId="41">summ!$A$1:$H$78</definedName>
  </definedNames>
  <calcPr calcId="125725"/>
</workbook>
</file>

<file path=xl/calcChain.xml><?xml version="1.0" encoding="utf-8"?>
<calcChain xmlns="http://schemas.openxmlformats.org/spreadsheetml/2006/main">
  <c r="E29" i="36"/>
  <c r="D29"/>
  <c r="B144" i="9"/>
  <c r="J29" i="21" l="1"/>
  <c r="J28"/>
  <c r="J29" i="20"/>
  <c r="J28"/>
  <c r="J29" i="19"/>
  <c r="J28"/>
  <c r="J29" i="18"/>
  <c r="J28"/>
  <c r="J29" i="17"/>
  <c r="J28"/>
  <c r="J29" i="16"/>
  <c r="J28"/>
  <c r="J29" i="15"/>
  <c r="J28"/>
  <c r="J29" i="14"/>
  <c r="J28"/>
  <c r="J29" i="13"/>
  <c r="J28"/>
  <c r="J29" i="12"/>
  <c r="J28"/>
  <c r="J29" i="10"/>
  <c r="J28"/>
  <c r="J108" i="44"/>
  <c r="J107"/>
  <c r="J46" i="42"/>
  <c r="J47"/>
  <c r="J114" i="8"/>
  <c r="J113"/>
  <c r="C43" i="3"/>
  <c r="C42"/>
  <c r="C75" i="20"/>
  <c r="C35"/>
  <c r="E42" i="10"/>
  <c r="D42"/>
  <c r="C42"/>
  <c r="D39" i="21"/>
  <c r="D79"/>
  <c r="D39" i="19"/>
  <c r="D79"/>
  <c r="D79" i="18"/>
  <c r="D39"/>
  <c r="D39" i="17"/>
  <c r="D79"/>
  <c r="D39" i="16"/>
  <c r="D79"/>
  <c r="D39" i="15"/>
  <c r="D79"/>
  <c r="D39" i="14"/>
  <c r="D79"/>
  <c r="D39" i="13"/>
  <c r="D79"/>
  <c r="D39" i="12"/>
  <c r="D79"/>
  <c r="D79" i="10"/>
  <c r="D39"/>
  <c r="D117" i="44"/>
  <c r="D56" i="42"/>
  <c r="D79" i="20"/>
  <c r="D75"/>
  <c r="B45"/>
  <c r="D39"/>
  <c r="D35"/>
  <c r="E1"/>
  <c r="H36" s="1"/>
  <c r="B1"/>
  <c r="B5"/>
  <c r="D73"/>
  <c r="D38" i="27"/>
  <c r="C73" i="20"/>
  <c r="B38" i="27"/>
  <c r="C72" i="20"/>
  <c r="C60"/>
  <c r="C61"/>
  <c r="C74"/>
  <c r="E44"/>
  <c r="D44"/>
  <c r="C44"/>
  <c r="H38"/>
  <c r="D33"/>
  <c r="D37" i="27"/>
  <c r="C33" i="20"/>
  <c r="B37" i="27"/>
  <c r="C32" i="20"/>
  <c r="C20"/>
  <c r="C19"/>
  <c r="D5"/>
  <c r="D45" s="1"/>
  <c r="C80"/>
  <c r="H40" i="2"/>
  <c r="D46" i="21"/>
  <c r="D60" s="1"/>
  <c r="D61" s="1"/>
  <c r="H39" i="2"/>
  <c r="D8" i="21"/>
  <c r="D20" s="1"/>
  <c r="D19" s="1"/>
  <c r="H38" i="2"/>
  <c r="D48" i="20"/>
  <c r="D60" s="1"/>
  <c r="D61" s="1"/>
  <c r="H37" i="2"/>
  <c r="D8" i="20"/>
  <c r="D20" s="1"/>
  <c r="D19" s="1"/>
  <c r="H36" i="2"/>
  <c r="D46" i="19"/>
  <c r="D60" s="1"/>
  <c r="D59" s="1"/>
  <c r="H35" i="2"/>
  <c r="D8" i="19"/>
  <c r="D20" s="1"/>
  <c r="D19" s="1"/>
  <c r="H34" i="2"/>
  <c r="D46" i="18" s="1"/>
  <c r="D60" s="1"/>
  <c r="H33" i="2"/>
  <c r="D8" i="18"/>
  <c r="D20" s="1"/>
  <c r="D19" s="1"/>
  <c r="H32" i="2"/>
  <c r="D46" i="17" s="1"/>
  <c r="D60" s="1"/>
  <c r="H31" i="2"/>
  <c r="D8" i="17" s="1"/>
  <c r="D20" s="1"/>
  <c r="H30" i="2"/>
  <c r="D46" i="16" s="1"/>
  <c r="D60" s="1"/>
  <c r="H29" i="2"/>
  <c r="D8" i="16" s="1"/>
  <c r="D20" s="1"/>
  <c r="H28" i="2"/>
  <c r="D46" i="15"/>
  <c r="D60" s="1"/>
  <c r="D59" s="1"/>
  <c r="H27" i="2"/>
  <c r="D8" i="15" s="1"/>
  <c r="D20" s="1"/>
  <c r="H26" i="2"/>
  <c r="D46" i="14" s="1"/>
  <c r="D60" s="1"/>
  <c r="H25" i="2"/>
  <c r="D8" i="14" s="1"/>
  <c r="D20" s="1"/>
  <c r="H24" i="2"/>
  <c r="D46" i="13" s="1"/>
  <c r="D60" s="1"/>
  <c r="H23" i="2"/>
  <c r="D8" i="13" s="1"/>
  <c r="D20" s="1"/>
  <c r="H22" i="2"/>
  <c r="D46" i="12"/>
  <c r="D60" s="1"/>
  <c r="D59" s="1"/>
  <c r="H21" i="2"/>
  <c r="D8" i="12"/>
  <c r="D20" s="1"/>
  <c r="D19" s="1"/>
  <c r="H20" i="2"/>
  <c r="D46" i="10" s="1"/>
  <c r="D60" s="1"/>
  <c r="H19" i="2"/>
  <c r="D8" i="10" s="1"/>
  <c r="D20" s="1"/>
  <c r="H18" i="2"/>
  <c r="D8" i="44" s="1"/>
  <c r="D54" s="1"/>
  <c r="D53" s="1"/>
  <c r="H17" i="2"/>
  <c r="D9" i="42" s="1"/>
  <c r="D26" s="1"/>
  <c r="H16" i="2"/>
  <c r="D8" i="8" s="1"/>
  <c r="D56" s="1"/>
  <c r="D55" s="1"/>
  <c r="A76" i="27"/>
  <c r="G20" i="57"/>
  <c r="G22" s="1"/>
  <c r="J148" i="58"/>
  <c r="H134"/>
  <c r="C137"/>
  <c r="J137"/>
  <c r="H120"/>
  <c r="C123"/>
  <c r="F117"/>
  <c r="H117"/>
  <c r="F123"/>
  <c r="H114"/>
  <c r="C103"/>
  <c r="H100"/>
  <c r="H94"/>
  <c r="F97"/>
  <c r="H97"/>
  <c r="F103"/>
  <c r="H80"/>
  <c r="C83"/>
  <c r="F77"/>
  <c r="H77"/>
  <c r="F83"/>
  <c r="H74"/>
  <c r="H48"/>
  <c r="F50"/>
  <c r="J50"/>
  <c r="H41"/>
  <c r="H28"/>
  <c r="B28"/>
  <c r="H25"/>
  <c r="C25"/>
  <c r="D123" i="8"/>
  <c r="C75" i="21"/>
  <c r="D75"/>
  <c r="D93" s="1"/>
  <c r="C35"/>
  <c r="D35"/>
  <c r="C75" i="19"/>
  <c r="D75"/>
  <c r="D93" s="1"/>
  <c r="C35"/>
  <c r="D35"/>
  <c r="C75" i="18"/>
  <c r="D75"/>
  <c r="C35"/>
  <c r="D35"/>
  <c r="C75" i="17"/>
  <c r="D75"/>
  <c r="C35"/>
  <c r="D35"/>
  <c r="C75" i="16"/>
  <c r="D75"/>
  <c r="C35"/>
  <c r="D35"/>
  <c r="C75" i="15"/>
  <c r="D75"/>
  <c r="C35"/>
  <c r="D35"/>
  <c r="C75" i="14"/>
  <c r="D75"/>
  <c r="C35"/>
  <c r="D35"/>
  <c r="C75" i="13"/>
  <c r="D75"/>
  <c r="C35"/>
  <c r="D35"/>
  <c r="C75" i="12"/>
  <c r="D75"/>
  <c r="C35"/>
  <c r="D35"/>
  <c r="C75" i="10"/>
  <c r="D75"/>
  <c r="C35"/>
  <c r="D35"/>
  <c r="C113" i="44"/>
  <c r="D113"/>
  <c r="C52" i="42"/>
  <c r="D52"/>
  <c r="C119" i="8"/>
  <c r="D119"/>
  <c r="A6" i="27"/>
  <c r="A6" i="54"/>
  <c r="A8" i="55"/>
  <c r="A46" i="54"/>
  <c r="A41"/>
  <c r="A38" i="53"/>
  <c r="A33"/>
  <c r="A19"/>
  <c r="A6"/>
  <c r="A34" i="52"/>
  <c r="A33"/>
  <c r="A6"/>
  <c r="A77" i="51"/>
  <c r="A74"/>
  <c r="A33"/>
  <c r="A28"/>
  <c r="A25"/>
  <c r="A16"/>
  <c r="A6"/>
  <c r="A8" i="27"/>
  <c r="D34" i="49"/>
  <c r="A118" i="2"/>
  <c r="A117"/>
  <c r="D88"/>
  <c r="A1" i="43"/>
  <c r="A2" i="6"/>
  <c r="B1" i="30"/>
  <c r="B1" i="29"/>
  <c r="A1" i="45"/>
  <c r="A1" i="46"/>
  <c r="A1" i="47"/>
  <c r="A1" i="48"/>
  <c r="A5" i="27"/>
  <c r="A1" i="28"/>
  <c r="D50" i="42"/>
  <c r="D70" s="1"/>
  <c r="C54" i="44"/>
  <c r="C55" s="1"/>
  <c r="C64" s="1"/>
  <c r="C20" i="10"/>
  <c r="C21" s="1"/>
  <c r="C33"/>
  <c r="G38" s="1"/>
  <c r="D33"/>
  <c r="D32" s="1"/>
  <c r="C33" i="12"/>
  <c r="G38"/>
  <c r="C20"/>
  <c r="C21" s="1"/>
  <c r="C34" s="1"/>
  <c r="D33"/>
  <c r="C33" i="13"/>
  <c r="G38" s="1"/>
  <c r="C20"/>
  <c r="C21" s="1"/>
  <c r="D33"/>
  <c r="D91" s="1"/>
  <c r="C33" i="14"/>
  <c r="C91" s="1"/>
  <c r="C20"/>
  <c r="C21" s="1"/>
  <c r="D33"/>
  <c r="C33" i="15"/>
  <c r="G38" s="1"/>
  <c r="C20"/>
  <c r="C21" s="1"/>
  <c r="C34" s="1"/>
  <c r="D33"/>
  <c r="D91" s="1"/>
  <c r="C33" i="16"/>
  <c r="G38" s="1"/>
  <c r="C20"/>
  <c r="C21" s="1"/>
  <c r="D33"/>
  <c r="C33" i="17"/>
  <c r="G38" s="1"/>
  <c r="C20"/>
  <c r="C21" s="1"/>
  <c r="C34" s="1"/>
  <c r="D33"/>
  <c r="D31" i="27" s="1"/>
  <c r="C33" i="18"/>
  <c r="G38" s="1"/>
  <c r="C20"/>
  <c r="C21" s="1"/>
  <c r="D33"/>
  <c r="D91" s="1"/>
  <c r="C33" i="19"/>
  <c r="C91" s="1"/>
  <c r="C20"/>
  <c r="C21" s="1"/>
  <c r="D33"/>
  <c r="D91" s="1"/>
  <c r="C33" i="21"/>
  <c r="G38"/>
  <c r="C91"/>
  <c r="C20"/>
  <c r="C21"/>
  <c r="C34"/>
  <c r="D33"/>
  <c r="C60" i="10"/>
  <c r="C61" s="1"/>
  <c r="C73"/>
  <c r="G78" s="1"/>
  <c r="D73"/>
  <c r="C60" i="12"/>
  <c r="C61" s="1"/>
  <c r="C73"/>
  <c r="G78" s="1"/>
  <c r="D73"/>
  <c r="C60" i="13"/>
  <c r="C61" s="1"/>
  <c r="C73"/>
  <c r="C93" s="1"/>
  <c r="D73"/>
  <c r="D24" i="27" s="1"/>
  <c r="C60" i="14"/>
  <c r="C61" s="1"/>
  <c r="C73"/>
  <c r="G78" s="1"/>
  <c r="D73"/>
  <c r="D93" s="1"/>
  <c r="C60" i="15"/>
  <c r="C61" s="1"/>
  <c r="C73"/>
  <c r="G78" s="1"/>
  <c r="D73"/>
  <c r="C60" i="16"/>
  <c r="C61" s="1"/>
  <c r="C73"/>
  <c r="C93" s="1"/>
  <c r="B30" i="27"/>
  <c r="D73" i="16"/>
  <c r="C60" i="17"/>
  <c r="C61" s="1"/>
  <c r="C73"/>
  <c r="G78" s="1"/>
  <c r="D73"/>
  <c r="C60" i="18"/>
  <c r="C61" s="1"/>
  <c r="C73"/>
  <c r="G78" s="1"/>
  <c r="D73"/>
  <c r="D93" s="1"/>
  <c r="C60" i="19"/>
  <c r="C61"/>
  <c r="C73"/>
  <c r="C93"/>
  <c r="D73"/>
  <c r="C60" i="21"/>
  <c r="C61"/>
  <c r="C73"/>
  <c r="G78"/>
  <c r="D73"/>
  <c r="E1" i="8"/>
  <c r="C5" s="1"/>
  <c r="D42" i="12"/>
  <c r="C42"/>
  <c r="D42" i="13"/>
  <c r="C42"/>
  <c r="D42" i="14"/>
  <c r="C42"/>
  <c r="D42" i="15"/>
  <c r="C42"/>
  <c r="D42" i="16"/>
  <c r="C42"/>
  <c r="D42" i="17"/>
  <c r="C42"/>
  <c r="D42" i="18"/>
  <c r="C42"/>
  <c r="D42" i="19"/>
  <c r="C42"/>
  <c r="E1" i="44"/>
  <c r="B113" s="1"/>
  <c r="C26" i="42"/>
  <c r="C27" s="1"/>
  <c r="C50"/>
  <c r="G56" s="1"/>
  <c r="C56" i="8"/>
  <c r="C57" s="1"/>
  <c r="C65" s="1"/>
  <c r="E60"/>
  <c r="E64" s="1"/>
  <c r="E1" i="42"/>
  <c r="E1" i="10"/>
  <c r="B75" s="1"/>
  <c r="E1" i="12"/>
  <c r="E1" i="13"/>
  <c r="E1" i="14"/>
  <c r="E1" i="15"/>
  <c r="E1" i="16"/>
  <c r="E1" i="17"/>
  <c r="E1" i="18"/>
  <c r="E1" i="19"/>
  <c r="E1" i="21"/>
  <c r="B1"/>
  <c r="B1" i="19"/>
  <c r="B1" i="18"/>
  <c r="B1" i="17"/>
  <c r="B1" i="16"/>
  <c r="B1" i="15"/>
  <c r="B1" i="14"/>
  <c r="B1" i="13"/>
  <c r="B1" i="12"/>
  <c r="B1" i="10"/>
  <c r="A1" i="11"/>
  <c r="B1" i="44"/>
  <c r="B59"/>
  <c r="B1" i="42"/>
  <c r="A240" i="9"/>
  <c r="A179"/>
  <c r="A122"/>
  <c r="A66"/>
  <c r="A1"/>
  <c r="B1" i="8"/>
  <c r="B60"/>
  <c r="E1" i="22"/>
  <c r="E1" i="23"/>
  <c r="B31" s="1"/>
  <c r="E1" i="24"/>
  <c r="E1" i="25"/>
  <c r="B31" s="1"/>
  <c r="E1" i="26"/>
  <c r="B31" s="1"/>
  <c r="E1" i="36"/>
  <c r="B31" s="1"/>
  <c r="E1" i="35"/>
  <c r="B31" s="1"/>
  <c r="E1" i="37"/>
  <c r="B1" i="22"/>
  <c r="B1" i="23"/>
  <c r="B1" i="24"/>
  <c r="B1" i="25"/>
  <c r="B1" i="26"/>
  <c r="B1" i="36"/>
  <c r="B1" i="35"/>
  <c r="B1" i="37"/>
  <c r="C62" i="35"/>
  <c r="D62"/>
  <c r="C31"/>
  <c r="D31"/>
  <c r="C62" i="36"/>
  <c r="D62"/>
  <c r="C31"/>
  <c r="D31"/>
  <c r="C62" i="26"/>
  <c r="D62"/>
  <c r="C31"/>
  <c r="D31"/>
  <c r="C62" i="25"/>
  <c r="D62"/>
  <c r="C31"/>
  <c r="D31"/>
  <c r="C62" i="24"/>
  <c r="D62"/>
  <c r="C31"/>
  <c r="D31"/>
  <c r="C62" i="23"/>
  <c r="D62"/>
  <c r="C31"/>
  <c r="D31"/>
  <c r="D31" i="22"/>
  <c r="C31"/>
  <c r="D62"/>
  <c r="C62"/>
  <c r="C60"/>
  <c r="C46"/>
  <c r="C47" s="1"/>
  <c r="D60"/>
  <c r="D42" i="27" s="1"/>
  <c r="D46" i="22"/>
  <c r="E46"/>
  <c r="E60"/>
  <c r="C60" i="23"/>
  <c r="C63" s="1"/>
  <c r="C46"/>
  <c r="C47" s="1"/>
  <c r="C61" s="1"/>
  <c r="D60"/>
  <c r="D46"/>
  <c r="E46"/>
  <c r="E60"/>
  <c r="C46" i="24"/>
  <c r="C47" s="1"/>
  <c r="C60"/>
  <c r="D60"/>
  <c r="D46"/>
  <c r="E46"/>
  <c r="E60"/>
  <c r="C60" i="25"/>
  <c r="C46"/>
  <c r="C47" s="1"/>
  <c r="D60"/>
  <c r="D46"/>
  <c r="E46"/>
  <c r="E60"/>
  <c r="C46" i="26"/>
  <c r="C47" s="1"/>
  <c r="C60"/>
  <c r="D60"/>
  <c r="D46"/>
  <c r="E46"/>
  <c r="E60"/>
  <c r="C46" i="36"/>
  <c r="C47" s="1"/>
  <c r="C60"/>
  <c r="D60"/>
  <c r="D46"/>
  <c r="E46"/>
  <c r="E60"/>
  <c r="C46" i="35"/>
  <c r="C47" s="1"/>
  <c r="C60"/>
  <c r="D60"/>
  <c r="D46"/>
  <c r="E46"/>
  <c r="E60"/>
  <c r="C60" i="37"/>
  <c r="C46"/>
  <c r="C47"/>
  <c r="D46"/>
  <c r="D60"/>
  <c r="E46"/>
  <c r="E60"/>
  <c r="D62"/>
  <c r="C62"/>
  <c r="C63"/>
  <c r="C29" i="22"/>
  <c r="C15"/>
  <c r="C16" s="1"/>
  <c r="D29"/>
  <c r="D32" s="1"/>
  <c r="D15"/>
  <c r="E15"/>
  <c r="E29"/>
  <c r="C29" i="23"/>
  <c r="C32" s="1"/>
  <c r="D29"/>
  <c r="E29"/>
  <c r="C29" i="24"/>
  <c r="C15"/>
  <c r="C16" s="1"/>
  <c r="D29"/>
  <c r="D32" s="1"/>
  <c r="D15"/>
  <c r="E15"/>
  <c r="E29"/>
  <c r="C29" i="25"/>
  <c r="D29"/>
  <c r="E29"/>
  <c r="C29" i="26"/>
  <c r="C32" s="1"/>
  <c r="C15"/>
  <c r="C16" s="1"/>
  <c r="C30" s="1"/>
  <c r="D29"/>
  <c r="D15"/>
  <c r="E15"/>
  <c r="E29"/>
  <c r="C29" i="36"/>
  <c r="C32" s="1"/>
  <c r="C15"/>
  <c r="C16" s="1"/>
  <c r="C30" s="1"/>
  <c r="D15"/>
  <c r="E15"/>
  <c r="C29" i="35"/>
  <c r="C15"/>
  <c r="C16" s="1"/>
  <c r="D29"/>
  <c r="D15"/>
  <c r="E15"/>
  <c r="E29"/>
  <c r="C29" i="37"/>
  <c r="C15"/>
  <c r="C16"/>
  <c r="D15"/>
  <c r="D29"/>
  <c r="E15"/>
  <c r="E29"/>
  <c r="C31"/>
  <c r="D31"/>
  <c r="A39" i="39"/>
  <c r="A29"/>
  <c r="A28"/>
  <c r="A25"/>
  <c r="A20"/>
  <c r="A10"/>
  <c r="A6"/>
  <c r="A1" i="49"/>
  <c r="B1" i="38"/>
  <c r="C1" i="33"/>
  <c r="A3" i="4"/>
  <c r="A6" i="3"/>
  <c r="A4"/>
  <c r="A88" i="2"/>
  <c r="D59"/>
  <c r="A59"/>
  <c r="A41"/>
  <c r="D14"/>
  <c r="F1" i="49"/>
  <c r="A34"/>
  <c r="J28" i="48"/>
  <c r="J17"/>
  <c r="J18"/>
  <c r="H28"/>
  <c r="H29"/>
  <c r="H17"/>
  <c r="H18"/>
  <c r="F17"/>
  <c r="F18"/>
  <c r="F28"/>
  <c r="D17"/>
  <c r="D18"/>
  <c r="D28"/>
  <c r="B17"/>
  <c r="B18"/>
  <c r="B28"/>
  <c r="J17" i="47"/>
  <c r="J18"/>
  <c r="J28"/>
  <c r="H28"/>
  <c r="H29"/>
  <c r="H17"/>
  <c r="H18"/>
  <c r="F17"/>
  <c r="F18"/>
  <c r="F28"/>
  <c r="D17"/>
  <c r="D18" s="1"/>
  <c r="D28"/>
  <c r="B17"/>
  <c r="B18" s="1"/>
  <c r="B28"/>
  <c r="J17" i="46"/>
  <c r="J18" s="1"/>
  <c r="J28"/>
  <c r="H17"/>
  <c r="H18" s="1"/>
  <c r="H28"/>
  <c r="F17"/>
  <c r="F18" s="1"/>
  <c r="F28"/>
  <c r="D17"/>
  <c r="D18" s="1"/>
  <c r="D28"/>
  <c r="B17"/>
  <c r="B18" s="1"/>
  <c r="B28"/>
  <c r="J17" i="45"/>
  <c r="J18" s="1"/>
  <c r="J28"/>
  <c r="H17"/>
  <c r="H18" s="1"/>
  <c r="H28"/>
  <c r="F17"/>
  <c r="F18" s="1"/>
  <c r="F28"/>
  <c r="D17"/>
  <c r="D18" s="1"/>
  <c r="D28"/>
  <c r="B28"/>
  <c r="B17"/>
  <c r="B18" s="1"/>
  <c r="F14" i="2"/>
  <c r="E14"/>
  <c r="H15"/>
  <c r="G11" i="33"/>
  <c r="E14"/>
  <c r="E15"/>
  <c r="G19"/>
  <c r="E41" i="2"/>
  <c r="J5" i="33" s="1"/>
  <c r="J6"/>
  <c r="C31" i="38"/>
  <c r="C7"/>
  <c r="C8"/>
  <c r="C9"/>
  <c r="C10"/>
  <c r="C11"/>
  <c r="C12"/>
  <c r="C13"/>
  <c r="C14"/>
  <c r="C15"/>
  <c r="C16"/>
  <c r="C17"/>
  <c r="C18"/>
  <c r="C19"/>
  <c r="C20"/>
  <c r="C21"/>
  <c r="C22"/>
  <c r="C23"/>
  <c r="C24"/>
  <c r="C25"/>
  <c r="C26"/>
  <c r="C27"/>
  <c r="C28"/>
  <c r="C29"/>
  <c r="C30"/>
  <c r="K1" i="48"/>
  <c r="F2" s="1"/>
  <c r="K1" i="47"/>
  <c r="F2" s="1"/>
  <c r="K1" i="46"/>
  <c r="F2" s="1"/>
  <c r="K1" i="45"/>
  <c r="F2" s="1"/>
  <c r="E1" i="43"/>
  <c r="C70" i="3"/>
  <c r="C69"/>
  <c r="C68"/>
  <c r="E39" i="4"/>
  <c r="D39"/>
  <c r="D36" i="49"/>
  <c r="D30"/>
  <c r="E30"/>
  <c r="E70" i="21" s="1"/>
  <c r="E73" s="1"/>
  <c r="D29" i="49"/>
  <c r="E29"/>
  <c r="E30" i="21" s="1"/>
  <c r="E33" s="1"/>
  <c r="D28" i="49"/>
  <c r="E28"/>
  <c r="E70" i="20" s="1"/>
  <c r="E73" s="1"/>
  <c r="F38" i="27" s="1"/>
  <c r="D27" i="49"/>
  <c r="E27"/>
  <c r="E30" i="20" s="1"/>
  <c r="E33" s="1"/>
  <c r="D26" i="49"/>
  <c r="E26"/>
  <c r="E70" i="19" s="1"/>
  <c r="E73" s="1"/>
  <c r="E77" s="1"/>
  <c r="D10" i="49"/>
  <c r="E10" s="1"/>
  <c r="E70" i="10" s="1"/>
  <c r="E73" s="1"/>
  <c r="D9" i="49"/>
  <c r="E9"/>
  <c r="E30" i="10" s="1"/>
  <c r="E33" s="1"/>
  <c r="D38" i="49"/>
  <c r="D40" s="1"/>
  <c r="C23" i="3"/>
  <c r="D97" i="8"/>
  <c r="D17" i="27"/>
  <c r="C12" i="11"/>
  <c r="D66" i="44" s="1"/>
  <c r="C18" i="11"/>
  <c r="D67" i="44" s="1"/>
  <c r="D19" i="27"/>
  <c r="D20"/>
  <c r="D21"/>
  <c r="D22"/>
  <c r="D23"/>
  <c r="D25"/>
  <c r="D27"/>
  <c r="D28"/>
  <c r="D29"/>
  <c r="D30"/>
  <c r="D32"/>
  <c r="D33"/>
  <c r="D34"/>
  <c r="D35"/>
  <c r="D36"/>
  <c r="D39"/>
  <c r="D40"/>
  <c r="D41"/>
  <c r="D43"/>
  <c r="D44"/>
  <c r="D45"/>
  <c r="D46"/>
  <c r="D47"/>
  <c r="D48"/>
  <c r="D49"/>
  <c r="D51"/>
  <c r="D52"/>
  <c r="D53"/>
  <c r="D54"/>
  <c r="D55"/>
  <c r="D50"/>
  <c r="D56"/>
  <c r="K28" i="46"/>
  <c r="B58" i="27" s="1"/>
  <c r="K28" i="47"/>
  <c r="B59" i="27" s="1"/>
  <c r="K28" i="48"/>
  <c r="B60" i="27"/>
  <c r="B13" i="9"/>
  <c r="C67" i="8" s="1"/>
  <c r="C97"/>
  <c r="B17" i="27"/>
  <c r="B12" i="11"/>
  <c r="C66" i="44" s="1"/>
  <c r="B18" i="11"/>
  <c r="C67" i="44" s="1"/>
  <c r="B19" i="27"/>
  <c r="B20"/>
  <c r="B22"/>
  <c r="B23"/>
  <c r="B24"/>
  <c r="B25"/>
  <c r="B26"/>
  <c r="B27"/>
  <c r="B28"/>
  <c r="B29"/>
  <c r="B31"/>
  <c r="B32"/>
  <c r="B33"/>
  <c r="B34"/>
  <c r="B35"/>
  <c r="B36"/>
  <c r="B39"/>
  <c r="B40"/>
  <c r="B42"/>
  <c r="B43"/>
  <c r="B44"/>
  <c r="B45"/>
  <c r="B46"/>
  <c r="B47"/>
  <c r="B48"/>
  <c r="B49"/>
  <c r="B51"/>
  <c r="B52"/>
  <c r="B53"/>
  <c r="B54"/>
  <c r="B55"/>
  <c r="B50"/>
  <c r="B56"/>
  <c r="B47" i="11"/>
  <c r="C120" i="44"/>
  <c r="C22" i="3"/>
  <c r="E34" i="38"/>
  <c r="F36"/>
  <c r="G38"/>
  <c r="E14" i="8"/>
  <c r="E15"/>
  <c r="E13"/>
  <c r="E97"/>
  <c r="D12" i="11"/>
  <c r="E66" i="44" s="1"/>
  <c r="D18" i="11"/>
  <c r="E67" i="44" s="1"/>
  <c r="J1" i="33"/>
  <c r="B19" s="1"/>
  <c r="A7" i="39"/>
  <c r="A9"/>
  <c r="E5" i="49"/>
  <c r="B6"/>
  <c r="B7"/>
  <c r="B8"/>
  <c r="B9"/>
  <c r="B10"/>
  <c r="B11"/>
  <c r="B12"/>
  <c r="B13"/>
  <c r="B14"/>
  <c r="B15"/>
  <c r="B16"/>
  <c r="B17"/>
  <c r="B18"/>
  <c r="B19"/>
  <c r="B20"/>
  <c r="B21"/>
  <c r="B22"/>
  <c r="B23"/>
  <c r="B24"/>
  <c r="B25"/>
  <c r="B26"/>
  <c r="B27"/>
  <c r="B28"/>
  <c r="B29"/>
  <c r="B30"/>
  <c r="I1" i="28"/>
  <c r="I8"/>
  <c r="I9"/>
  <c r="I10"/>
  <c r="I11"/>
  <c r="I12"/>
  <c r="I13"/>
  <c r="I14"/>
  <c r="I15"/>
  <c r="I16"/>
  <c r="I17"/>
  <c r="I18"/>
  <c r="I19"/>
  <c r="I20"/>
  <c r="I21"/>
  <c r="I22"/>
  <c r="I23"/>
  <c r="I24"/>
  <c r="I37"/>
  <c r="I25"/>
  <c r="I26"/>
  <c r="I27"/>
  <c r="I28"/>
  <c r="I29"/>
  <c r="I30"/>
  <c r="I31"/>
  <c r="I32"/>
  <c r="I33"/>
  <c r="I34"/>
  <c r="I35"/>
  <c r="I36"/>
  <c r="B37"/>
  <c r="C37"/>
  <c r="D37"/>
  <c r="E37"/>
  <c r="F37"/>
  <c r="G37"/>
  <c r="H1" i="27"/>
  <c r="A16"/>
  <c r="C16"/>
  <c r="E16"/>
  <c r="F65"/>
  <c r="M52" s="1"/>
  <c r="A17"/>
  <c r="C17"/>
  <c r="E17"/>
  <c r="A18"/>
  <c r="C18"/>
  <c r="E18"/>
  <c r="G123" i="44" s="1"/>
  <c r="A19" i="27"/>
  <c r="C19"/>
  <c r="E19"/>
  <c r="G44" i="10" s="1"/>
  <c r="A20" i="27"/>
  <c r="C20"/>
  <c r="E20"/>
  <c r="G84" i="10" s="1"/>
  <c r="A21" i="27"/>
  <c r="C21"/>
  <c r="E21"/>
  <c r="G44" i="12" s="1"/>
  <c r="A22" i="27"/>
  <c r="C22"/>
  <c r="E22"/>
  <c r="G84" i="12" s="1"/>
  <c r="A23" i="27"/>
  <c r="C23"/>
  <c r="E23"/>
  <c r="G44" i="13" s="1"/>
  <c r="A24" i="27"/>
  <c r="C24"/>
  <c r="E24"/>
  <c r="G84" i="13" s="1"/>
  <c r="A25" i="27"/>
  <c r="C25"/>
  <c r="E25"/>
  <c r="G44" i="14" s="1"/>
  <c r="A26" i="27"/>
  <c r="C26"/>
  <c r="E26"/>
  <c r="G84" i="14" s="1"/>
  <c r="A27" i="27"/>
  <c r="C27"/>
  <c r="E27"/>
  <c r="G44" i="15" s="1"/>
  <c r="A28" i="27"/>
  <c r="C28"/>
  <c r="E28"/>
  <c r="G84" i="15" s="1"/>
  <c r="A29" i="27"/>
  <c r="C29"/>
  <c r="E29"/>
  <c r="G44" i="16" s="1"/>
  <c r="A30" i="27"/>
  <c r="C30"/>
  <c r="E30"/>
  <c r="G84" i="16" s="1"/>
  <c r="A31" i="27"/>
  <c r="C31"/>
  <c r="E31"/>
  <c r="G44" i="17" s="1"/>
  <c r="A32" i="27"/>
  <c r="C32"/>
  <c r="E32"/>
  <c r="G84" i="17" s="1"/>
  <c r="A33" i="27"/>
  <c r="C33"/>
  <c r="E33"/>
  <c r="G44" i="18" s="1"/>
  <c r="A34" i="27"/>
  <c r="C34"/>
  <c r="E34"/>
  <c r="G84" i="18" s="1"/>
  <c r="A35" i="27"/>
  <c r="C35"/>
  <c r="E35"/>
  <c r="G44" i="19" s="1"/>
  <c r="A36" i="27"/>
  <c r="C36"/>
  <c r="E36"/>
  <c r="G84" i="19" s="1"/>
  <c r="A37" i="27"/>
  <c r="C37"/>
  <c r="E37"/>
  <c r="G44" i="20" s="1"/>
  <c r="A38" i="27"/>
  <c r="C38"/>
  <c r="E38"/>
  <c r="G84" i="20" s="1"/>
  <c r="A39" i="27"/>
  <c r="C39"/>
  <c r="E39"/>
  <c r="G44" i="21" s="1"/>
  <c r="A40" i="27"/>
  <c r="C40"/>
  <c r="E40"/>
  <c r="G84" i="21" s="1"/>
  <c r="A41" i="27"/>
  <c r="F41"/>
  <c r="A42"/>
  <c r="F42"/>
  <c r="A43"/>
  <c r="F43"/>
  <c r="A44"/>
  <c r="F44"/>
  <c r="A45"/>
  <c r="F45"/>
  <c r="A46"/>
  <c r="F46"/>
  <c r="A47"/>
  <c r="F47"/>
  <c r="A48"/>
  <c r="F48"/>
  <c r="A49"/>
  <c r="F49"/>
  <c r="A50"/>
  <c r="F50"/>
  <c r="A51"/>
  <c r="F51"/>
  <c r="A52"/>
  <c r="F52"/>
  <c r="A53"/>
  <c r="F53"/>
  <c r="A54"/>
  <c r="F54"/>
  <c r="A55"/>
  <c r="F55"/>
  <c r="A56"/>
  <c r="F56"/>
  <c r="A57"/>
  <c r="A58"/>
  <c r="A59"/>
  <c r="A60"/>
  <c r="C27" i="6"/>
  <c r="C29" s="1"/>
  <c r="B62" i="27" s="1"/>
  <c r="D27" i="6"/>
  <c r="D29" s="1"/>
  <c r="D62" i="27" s="1"/>
  <c r="E27" i="6"/>
  <c r="E29" s="1"/>
  <c r="F62" i="27" s="1"/>
  <c r="B64"/>
  <c r="B65"/>
  <c r="D65"/>
  <c r="B69"/>
  <c r="D69"/>
  <c r="G19" i="29"/>
  <c r="F69" i="27" s="1"/>
  <c r="B70"/>
  <c r="D70"/>
  <c r="G27" i="29"/>
  <c r="F70" i="27"/>
  <c r="B71"/>
  <c r="D71"/>
  <c r="G36" i="29"/>
  <c r="F71" i="27" s="1"/>
  <c r="B72"/>
  <c r="D72"/>
  <c r="G37" i="30"/>
  <c r="F72" i="27" s="1"/>
  <c r="A5" i="48"/>
  <c r="C5"/>
  <c r="E5"/>
  <c r="G5"/>
  <c r="I5"/>
  <c r="K7"/>
  <c r="K30"/>
  <c r="K17"/>
  <c r="A5" i="47"/>
  <c r="C5"/>
  <c r="E5"/>
  <c r="G5"/>
  <c r="I5"/>
  <c r="K7"/>
  <c r="K17"/>
  <c r="A5" i="46"/>
  <c r="C5"/>
  <c r="E5"/>
  <c r="G5"/>
  <c r="I5"/>
  <c r="K7"/>
  <c r="K17"/>
  <c r="A5" i="45"/>
  <c r="C5"/>
  <c r="E5"/>
  <c r="G5"/>
  <c r="I5"/>
  <c r="K7"/>
  <c r="K17"/>
  <c r="C5" i="37"/>
  <c r="C36" s="1"/>
  <c r="D5"/>
  <c r="D36" s="1"/>
  <c r="E5"/>
  <c r="E36" s="1"/>
  <c r="B6"/>
  <c r="C14"/>
  <c r="D14"/>
  <c r="E14"/>
  <c r="C28"/>
  <c r="D28"/>
  <c r="E28"/>
  <c r="B37"/>
  <c r="C45"/>
  <c r="D45"/>
  <c r="E45"/>
  <c r="C59"/>
  <c r="D59"/>
  <c r="E59"/>
  <c r="C5" i="35"/>
  <c r="C36" s="1"/>
  <c r="D5"/>
  <c r="D36" s="1"/>
  <c r="E5"/>
  <c r="B6"/>
  <c r="C14"/>
  <c r="D14"/>
  <c r="E14"/>
  <c r="C28"/>
  <c r="D28"/>
  <c r="E28"/>
  <c r="E36"/>
  <c r="B37"/>
  <c r="C45"/>
  <c r="D45"/>
  <c r="E45"/>
  <c r="C59"/>
  <c r="D59"/>
  <c r="E59"/>
  <c r="C5" i="36"/>
  <c r="C36" s="1"/>
  <c r="D5"/>
  <c r="D36" s="1"/>
  <c r="E5"/>
  <c r="E36" s="1"/>
  <c r="B6"/>
  <c r="C14"/>
  <c r="D14"/>
  <c r="E14"/>
  <c r="C28"/>
  <c r="D28"/>
  <c r="E28"/>
  <c r="B37"/>
  <c r="C45"/>
  <c r="D45"/>
  <c r="E45"/>
  <c r="C59"/>
  <c r="D59"/>
  <c r="E59"/>
  <c r="C5" i="26"/>
  <c r="C36" s="1"/>
  <c r="D5"/>
  <c r="D36" s="1"/>
  <c r="E5"/>
  <c r="E36" s="1"/>
  <c r="B6"/>
  <c r="D14"/>
  <c r="E14"/>
  <c r="C28"/>
  <c r="D28"/>
  <c r="E28"/>
  <c r="B37"/>
  <c r="C45"/>
  <c r="D45"/>
  <c r="E45"/>
  <c r="C59"/>
  <c r="D59"/>
  <c r="E59"/>
  <c r="C5" i="25"/>
  <c r="C36" s="1"/>
  <c r="D5"/>
  <c r="D36" s="1"/>
  <c r="E5"/>
  <c r="E36" s="1"/>
  <c r="B6"/>
  <c r="C15"/>
  <c r="C16" s="1"/>
  <c r="C30" s="1"/>
  <c r="D15"/>
  <c r="D14" s="1"/>
  <c r="E15"/>
  <c r="E14" s="1"/>
  <c r="C28"/>
  <c r="D28"/>
  <c r="E28"/>
  <c r="B37"/>
  <c r="C45"/>
  <c r="D45"/>
  <c r="E45"/>
  <c r="C59"/>
  <c r="D59"/>
  <c r="E59"/>
  <c r="C5" i="24"/>
  <c r="C36" s="1"/>
  <c r="D5"/>
  <c r="D36" s="1"/>
  <c r="E5"/>
  <c r="B6"/>
  <c r="C14"/>
  <c r="D14"/>
  <c r="E14"/>
  <c r="C28"/>
  <c r="D28"/>
  <c r="E28"/>
  <c r="E36"/>
  <c r="B37"/>
  <c r="C45"/>
  <c r="D45"/>
  <c r="E45"/>
  <c r="C59"/>
  <c r="D59"/>
  <c r="E59"/>
  <c r="C5" i="23"/>
  <c r="C36"/>
  <c r="D5"/>
  <c r="D36"/>
  <c r="E5"/>
  <c r="E36"/>
  <c r="B6"/>
  <c r="C15"/>
  <c r="C16" s="1"/>
  <c r="C30" s="1"/>
  <c r="D15"/>
  <c r="D14" s="1"/>
  <c r="E15"/>
  <c r="E14" s="1"/>
  <c r="C28"/>
  <c r="D28"/>
  <c r="E28"/>
  <c r="B37"/>
  <c r="C45"/>
  <c r="D45"/>
  <c r="E45"/>
  <c r="C59"/>
  <c r="D59"/>
  <c r="E59"/>
  <c r="C5" i="22"/>
  <c r="C36" s="1"/>
  <c r="D5"/>
  <c r="D36" s="1"/>
  <c r="E5"/>
  <c r="E36" s="1"/>
  <c r="B6"/>
  <c r="C14"/>
  <c r="D14"/>
  <c r="E14"/>
  <c r="D28"/>
  <c r="E28"/>
  <c r="B37"/>
  <c r="C45"/>
  <c r="D45"/>
  <c r="E45"/>
  <c r="C59"/>
  <c r="D59"/>
  <c r="E59"/>
  <c r="C42" i="21"/>
  <c r="D42"/>
  <c r="E42"/>
  <c r="B5"/>
  <c r="C19"/>
  <c r="C32"/>
  <c r="D32"/>
  <c r="B43"/>
  <c r="C59"/>
  <c r="C72"/>
  <c r="D72"/>
  <c r="E42" i="19"/>
  <c r="B5"/>
  <c r="C19"/>
  <c r="C32"/>
  <c r="D32"/>
  <c r="B43"/>
  <c r="C59"/>
  <c r="C72"/>
  <c r="D72"/>
  <c r="E42" i="18"/>
  <c r="B5"/>
  <c r="C19"/>
  <c r="C32"/>
  <c r="D32"/>
  <c r="B43"/>
  <c r="C72"/>
  <c r="D72"/>
  <c r="E42" i="17"/>
  <c r="B5"/>
  <c r="C32"/>
  <c r="B43"/>
  <c r="C59"/>
  <c r="C72"/>
  <c r="D72"/>
  <c r="E42" i="16"/>
  <c r="B5"/>
  <c r="C19"/>
  <c r="C32"/>
  <c r="D32"/>
  <c r="B43"/>
  <c r="D72"/>
  <c r="E42" i="15"/>
  <c r="B5"/>
  <c r="C19"/>
  <c r="C32"/>
  <c r="D32"/>
  <c r="B43"/>
  <c r="C59"/>
  <c r="C72"/>
  <c r="D72"/>
  <c r="E42" i="14"/>
  <c r="B5"/>
  <c r="C19"/>
  <c r="D32"/>
  <c r="B43"/>
  <c r="C59"/>
  <c r="C72"/>
  <c r="D72"/>
  <c r="E42" i="13"/>
  <c r="B5"/>
  <c r="C19"/>
  <c r="C32"/>
  <c r="D32"/>
  <c r="B43"/>
  <c r="C59"/>
  <c r="C72"/>
  <c r="E42" i="12"/>
  <c r="B5"/>
  <c r="C19"/>
  <c r="D32"/>
  <c r="B43"/>
  <c r="C59"/>
  <c r="C72"/>
  <c r="D72"/>
  <c r="B5" i="10"/>
  <c r="C19"/>
  <c r="C32"/>
  <c r="B43"/>
  <c r="C59"/>
  <c r="C72"/>
  <c r="D72"/>
  <c r="D1" i="11"/>
  <c r="B5" s="1"/>
  <c r="B24"/>
  <c r="C68" i="44"/>
  <c r="C24" i="11"/>
  <c r="D68" i="44"/>
  <c r="D24" i="11"/>
  <c r="E68" i="44"/>
  <c r="B30" i="11"/>
  <c r="C69" i="44"/>
  <c r="C30" i="11"/>
  <c r="D69" i="44"/>
  <c r="D30" i="11"/>
  <c r="E69" i="44"/>
  <c r="B36" i="11"/>
  <c r="C70" i="44"/>
  <c r="C36" i="11"/>
  <c r="D70" i="44"/>
  <c r="D36" i="11"/>
  <c r="E70" i="44"/>
  <c r="B42" i="11"/>
  <c r="C71" i="44"/>
  <c r="C42" i="11"/>
  <c r="D71" i="44"/>
  <c r="D42" i="11"/>
  <c r="E71" i="44"/>
  <c r="B43" i="11"/>
  <c r="D43"/>
  <c r="B5" i="44"/>
  <c r="E59"/>
  <c r="B63"/>
  <c r="B66"/>
  <c r="B67"/>
  <c r="B68"/>
  <c r="B69"/>
  <c r="B70"/>
  <c r="B71"/>
  <c r="B6" i="42"/>
  <c r="C49"/>
  <c r="D49"/>
  <c r="D1" i="9"/>
  <c r="D5" s="1"/>
  <c r="B69"/>
  <c r="C69"/>
  <c r="D125"/>
  <c r="C13"/>
  <c r="D67" i="8" s="1"/>
  <c r="D13" i="9"/>
  <c r="E67" i="8" s="1"/>
  <c r="B20" i="9"/>
  <c r="C68" i="8" s="1"/>
  <c r="C20" i="9"/>
  <c r="D20"/>
  <c r="E68" i="8" s="1"/>
  <c r="B27" i="9"/>
  <c r="C69" i="8" s="1"/>
  <c r="C27" i="9"/>
  <c r="D69" i="8" s="1"/>
  <c r="D27" i="9"/>
  <c r="E69" i="8" s="1"/>
  <c r="B34" i="9"/>
  <c r="C70" i="8" s="1"/>
  <c r="C34" i="9"/>
  <c r="D70" i="8" s="1"/>
  <c r="D34" i="9"/>
  <c r="E70" i="8" s="1"/>
  <c r="B40" i="9"/>
  <c r="C71" i="8" s="1"/>
  <c r="C40" i="9"/>
  <c r="D71" i="8" s="1"/>
  <c r="D40" i="9"/>
  <c r="E71" i="8" s="1"/>
  <c r="B47" i="9"/>
  <c r="C72" i="8" s="1"/>
  <c r="C47" i="9"/>
  <c r="D72" i="8" s="1"/>
  <c r="D47" i="9"/>
  <c r="E72" i="8" s="1"/>
  <c r="B54" i="9"/>
  <c r="C73" i="8" s="1"/>
  <c r="C54" i="9"/>
  <c r="D73" i="8" s="1"/>
  <c r="D54" i="9"/>
  <c r="E73" i="8" s="1"/>
  <c r="B60" i="9"/>
  <c r="C74" i="8" s="1"/>
  <c r="C60" i="9"/>
  <c r="D74" i="8" s="1"/>
  <c r="D60" i="9"/>
  <c r="E74" i="8" s="1"/>
  <c r="D69" i="9"/>
  <c r="B78"/>
  <c r="C75" i="8" s="1"/>
  <c r="C78" i="9"/>
  <c r="D75" i="8" s="1"/>
  <c r="D78" i="9"/>
  <c r="E75" i="8" s="1"/>
  <c r="B85" i="9"/>
  <c r="C76" i="8" s="1"/>
  <c r="C85" i="9"/>
  <c r="D85"/>
  <c r="E76" i="8" s="1"/>
  <c r="B92" i="9"/>
  <c r="C77" i="8" s="1"/>
  <c r="C92" i="9"/>
  <c r="D77" i="8" s="1"/>
  <c r="D92" i="9"/>
  <c r="E77" i="8" s="1"/>
  <c r="B95" i="9"/>
  <c r="C78" i="8" s="1"/>
  <c r="C95" i="9"/>
  <c r="D78" i="8" s="1"/>
  <c r="D95" i="9"/>
  <c r="E78" i="8" s="1"/>
  <c r="B100" i="9"/>
  <c r="C79" i="8" s="1"/>
  <c r="C100" i="9"/>
  <c r="D79" i="8" s="1"/>
  <c r="D100" i="9"/>
  <c r="E79" i="8" s="1"/>
  <c r="B107" i="9"/>
  <c r="C80" i="8" s="1"/>
  <c r="C107" i="9"/>
  <c r="D80" i="8" s="1"/>
  <c r="D107" i="9"/>
  <c r="E80" i="8" s="1"/>
  <c r="B110" i="9"/>
  <c r="C81" i="8" s="1"/>
  <c r="C110" i="9"/>
  <c r="D81" i="8" s="1"/>
  <c r="D110" i="9"/>
  <c r="E81" i="8" s="1"/>
  <c r="B117" i="9"/>
  <c r="C82" i="8" s="1"/>
  <c r="C117" i="9"/>
  <c r="D82" i="8" s="1"/>
  <c r="D117" i="9"/>
  <c r="E82" i="8" s="1"/>
  <c r="B125" i="9"/>
  <c r="B131"/>
  <c r="C83" i="8" s="1"/>
  <c r="C131" i="9"/>
  <c r="D83" i="8" s="1"/>
  <c r="D131" i="9"/>
  <c r="E83" i="8" s="1"/>
  <c r="B138" i="9"/>
  <c r="C84" i="8" s="1"/>
  <c r="C138" i="9"/>
  <c r="D138"/>
  <c r="E84" i="8" s="1"/>
  <c r="C85"/>
  <c r="C144" i="9"/>
  <c r="D85" i="8" s="1"/>
  <c r="D144" i="9"/>
  <c r="E85" i="8" s="1"/>
  <c r="B150" i="9"/>
  <c r="C86" i="8" s="1"/>
  <c r="C150" i="9"/>
  <c r="D86" i="8" s="1"/>
  <c r="D150" i="9"/>
  <c r="E86" i="8" s="1"/>
  <c r="B155" i="9"/>
  <c r="C87" i="8" s="1"/>
  <c r="C155" i="9"/>
  <c r="D87" i="8" s="1"/>
  <c r="D155" i="9"/>
  <c r="E87" i="8" s="1"/>
  <c r="B162" i="9"/>
  <c r="C88" i="8" s="1"/>
  <c r="C162" i="9"/>
  <c r="D88" i="8" s="1"/>
  <c r="D162" i="9"/>
  <c r="E88" i="8" s="1"/>
  <c r="B168" i="9"/>
  <c r="C89" i="8" s="1"/>
  <c r="C168" i="9"/>
  <c r="D89" i="8" s="1"/>
  <c r="D168" i="9"/>
  <c r="E89" i="8" s="1"/>
  <c r="B174" i="9"/>
  <c r="C90" i="8" s="1"/>
  <c r="C174" i="9"/>
  <c r="D90" i="8" s="1"/>
  <c r="D174" i="9"/>
  <c r="E90" i="8" s="1"/>
  <c r="B190" i="9"/>
  <c r="C91" i="8" s="1"/>
  <c r="C190" i="9"/>
  <c r="D91" i="8" s="1"/>
  <c r="D190" i="9"/>
  <c r="E91" i="8" s="1"/>
  <c r="B196" i="9"/>
  <c r="C92" i="8" s="1"/>
  <c r="C196" i="9"/>
  <c r="D92" i="8" s="1"/>
  <c r="D196" i="9"/>
  <c r="E92" i="8" s="1"/>
  <c r="B202" i="9"/>
  <c r="C93" i="8" s="1"/>
  <c r="C202" i="9"/>
  <c r="D93" i="8" s="1"/>
  <c r="D202" i="9"/>
  <c r="E93" i="8" s="1"/>
  <c r="B208" i="9"/>
  <c r="C94" i="8" s="1"/>
  <c r="C208" i="9"/>
  <c r="D94" i="8" s="1"/>
  <c r="D208" i="9"/>
  <c r="E94" i="8" s="1"/>
  <c r="B214" i="9"/>
  <c r="C95" i="8" s="1"/>
  <c r="C214" i="9"/>
  <c r="D95" i="8" s="1"/>
  <c r="D214" i="9"/>
  <c r="E95" i="8" s="1"/>
  <c r="B220" i="9"/>
  <c r="C96" i="8" s="1"/>
  <c r="C220" i="9"/>
  <c r="D96" i="8" s="1"/>
  <c r="D220" i="9"/>
  <c r="E96" i="8" s="1"/>
  <c r="B223" i="9"/>
  <c r="C223"/>
  <c r="D223"/>
  <c r="B229"/>
  <c r="C98" i="8" s="1"/>
  <c r="C229" i="9"/>
  <c r="D98" i="8" s="1"/>
  <c r="D229" i="9"/>
  <c r="E98" i="8" s="1"/>
  <c r="B235" i="9"/>
  <c r="C99" i="8" s="1"/>
  <c r="C235" i="9"/>
  <c r="D99" i="8" s="1"/>
  <c r="D235" i="9"/>
  <c r="E99" i="8" s="1"/>
  <c r="D243" i="9"/>
  <c r="B251"/>
  <c r="C100" i="8" s="1"/>
  <c r="C251" i="9"/>
  <c r="D251"/>
  <c r="E100" i="8" s="1"/>
  <c r="B257" i="9"/>
  <c r="C101" i="8" s="1"/>
  <c r="C257" i="9"/>
  <c r="D101" i="8" s="1"/>
  <c r="D257" i="9"/>
  <c r="E101" i="8" s="1"/>
  <c r="B263" i="9"/>
  <c r="C102" i="8" s="1"/>
  <c r="C263" i="9"/>
  <c r="D102" i="8" s="1"/>
  <c r="D263" i="9"/>
  <c r="E102" i="8" s="1"/>
  <c r="B269" i="9"/>
  <c r="C103" i="8" s="1"/>
  <c r="C269" i="9"/>
  <c r="D103" i="8" s="1"/>
  <c r="D269" i="9"/>
  <c r="E103" i="8" s="1"/>
  <c r="B273" i="9"/>
  <c r="C104" i="8" s="1"/>
  <c r="C273" i="9"/>
  <c r="D104" i="8" s="1"/>
  <c r="D273" i="9"/>
  <c r="E104" i="8" s="1"/>
  <c r="B279" i="9"/>
  <c r="C105" i="8" s="1"/>
  <c r="C279" i="9"/>
  <c r="D105" i="8" s="1"/>
  <c r="D279" i="9"/>
  <c r="E105" i="8" s="1"/>
  <c r="B285" i="9"/>
  <c r="C106" i="8" s="1"/>
  <c r="C285" i="9"/>
  <c r="D285"/>
  <c r="E106" i="8" s="1"/>
  <c r="B5"/>
  <c r="C55"/>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I1" i="30"/>
  <c r="H37"/>
  <c r="I37"/>
  <c r="M1" i="29"/>
  <c r="L6" s="1"/>
  <c r="J19"/>
  <c r="K19"/>
  <c r="L19"/>
  <c r="M19"/>
  <c r="J27"/>
  <c r="K27"/>
  <c r="L27"/>
  <c r="M27"/>
  <c r="J36"/>
  <c r="K36"/>
  <c r="L36"/>
  <c r="M36"/>
  <c r="G37"/>
  <c r="M37"/>
  <c r="F2" i="6"/>
  <c r="C9" s="1"/>
  <c r="I1" i="38"/>
  <c r="B7"/>
  <c r="D7"/>
  <c r="B8"/>
  <c r="D8"/>
  <c r="B9"/>
  <c r="D9"/>
  <c r="B10"/>
  <c r="D10"/>
  <c r="B11"/>
  <c r="D11"/>
  <c r="B12"/>
  <c r="D12"/>
  <c r="B13"/>
  <c r="D13"/>
  <c r="B14"/>
  <c r="D14"/>
  <c r="B15"/>
  <c r="D15"/>
  <c r="B16"/>
  <c r="D16"/>
  <c r="B17"/>
  <c r="D17"/>
  <c r="B18"/>
  <c r="D18"/>
  <c r="B19"/>
  <c r="D19"/>
  <c r="B20"/>
  <c r="D20"/>
  <c r="B21"/>
  <c r="D21"/>
  <c r="B22"/>
  <c r="D22"/>
  <c r="B23"/>
  <c r="D23"/>
  <c r="B24"/>
  <c r="D24"/>
  <c r="B25"/>
  <c r="D25"/>
  <c r="B26"/>
  <c r="D26"/>
  <c r="B27"/>
  <c r="D27"/>
  <c r="B28"/>
  <c r="D28"/>
  <c r="B29"/>
  <c r="D29"/>
  <c r="B30"/>
  <c r="D30"/>
  <c r="B31"/>
  <c r="D31"/>
  <c r="A3" i="33"/>
  <c r="B5"/>
  <c r="B6"/>
  <c r="B9"/>
  <c r="B11"/>
  <c r="B13"/>
  <c r="C14"/>
  <c r="C15"/>
  <c r="B23"/>
  <c r="E23"/>
  <c r="B33"/>
  <c r="A37"/>
  <c r="G3" i="4"/>
  <c r="D6" s="1"/>
  <c r="G10"/>
  <c r="G11"/>
  <c r="G12"/>
  <c r="G13"/>
  <c r="G14"/>
  <c r="G15"/>
  <c r="G16"/>
  <c r="G17"/>
  <c r="G18"/>
  <c r="G19"/>
  <c r="G20"/>
  <c r="G21"/>
  <c r="G22"/>
  <c r="G23"/>
  <c r="G24"/>
  <c r="G25"/>
  <c r="G26"/>
  <c r="G27"/>
  <c r="G28"/>
  <c r="G29"/>
  <c r="G30"/>
  <c r="G31"/>
  <c r="G32"/>
  <c r="G33"/>
  <c r="G34"/>
  <c r="G35"/>
  <c r="G36"/>
  <c r="G37"/>
  <c r="G38"/>
  <c r="F3" i="3"/>
  <c r="A21"/>
  <c r="B21"/>
  <c r="A22"/>
  <c r="B22"/>
  <c r="A23"/>
  <c r="B23"/>
  <c r="A24"/>
  <c r="B24"/>
  <c r="C24"/>
  <c r="A25"/>
  <c r="B25"/>
  <c r="C25"/>
  <c r="A26"/>
  <c r="B26"/>
  <c r="C26"/>
  <c r="A27"/>
  <c r="B27"/>
  <c r="C27"/>
  <c r="A28"/>
  <c r="B28"/>
  <c r="C28"/>
  <c r="A29"/>
  <c r="B29"/>
  <c r="C29"/>
  <c r="A30"/>
  <c r="B30"/>
  <c r="C30"/>
  <c r="A31"/>
  <c r="B31"/>
  <c r="C31"/>
  <c r="A32"/>
  <c r="B32"/>
  <c r="C32"/>
  <c r="A33"/>
  <c r="B33"/>
  <c r="C33"/>
  <c r="A34"/>
  <c r="B34"/>
  <c r="C34"/>
  <c r="A35"/>
  <c r="B35"/>
  <c r="C35"/>
  <c r="A36"/>
  <c r="B36"/>
  <c r="C36"/>
  <c r="A37"/>
  <c r="B37"/>
  <c r="C37"/>
  <c r="A38"/>
  <c r="B38"/>
  <c r="C38"/>
  <c r="A39"/>
  <c r="B39"/>
  <c r="C39"/>
  <c r="A40"/>
  <c r="B40"/>
  <c r="C40"/>
  <c r="A41"/>
  <c r="B41"/>
  <c r="C41"/>
  <c r="A42"/>
  <c r="B42"/>
  <c r="A43"/>
  <c r="B43"/>
  <c r="A44"/>
  <c r="B44"/>
  <c r="C44"/>
  <c r="A45"/>
  <c r="B45"/>
  <c r="C45"/>
  <c r="A46"/>
  <c r="C46"/>
  <c r="D46"/>
  <c r="A47"/>
  <c r="C47"/>
  <c r="D47"/>
  <c r="A48"/>
  <c r="C48"/>
  <c r="D48"/>
  <c r="A49"/>
  <c r="C49"/>
  <c r="D49"/>
  <c r="A50"/>
  <c r="C50"/>
  <c r="D50"/>
  <c r="A51"/>
  <c r="C51"/>
  <c r="D51"/>
  <c r="A52"/>
  <c r="C52"/>
  <c r="D52"/>
  <c r="A53"/>
  <c r="C53"/>
  <c r="D53"/>
  <c r="A54"/>
  <c r="C54"/>
  <c r="D54"/>
  <c r="A55"/>
  <c r="C55"/>
  <c r="D55"/>
  <c r="A56"/>
  <c r="C56"/>
  <c r="D56"/>
  <c r="A57"/>
  <c r="C57"/>
  <c r="D57"/>
  <c r="A58"/>
  <c r="C58"/>
  <c r="D58"/>
  <c r="A59"/>
  <c r="C59"/>
  <c r="D59"/>
  <c r="A60"/>
  <c r="C60"/>
  <c r="D60"/>
  <c r="A61"/>
  <c r="C61"/>
  <c r="D61"/>
  <c r="A62"/>
  <c r="C62"/>
  <c r="A63"/>
  <c r="C63"/>
  <c r="A64"/>
  <c r="C64"/>
  <c r="A65"/>
  <c r="C65"/>
  <c r="C67"/>
  <c r="A7" i="43"/>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11" i="2"/>
  <c r="F41"/>
  <c r="A85"/>
  <c r="B90"/>
  <c r="B91"/>
  <c r="B92"/>
  <c r="B93"/>
  <c r="B94"/>
  <c r="B95"/>
  <c r="B96"/>
  <c r="B97"/>
  <c r="B98"/>
  <c r="B99"/>
  <c r="B100"/>
  <c r="B101"/>
  <c r="B102"/>
  <c r="B103"/>
  <c r="B104"/>
  <c r="B105"/>
  <c r="B106"/>
  <c r="B107"/>
  <c r="B108"/>
  <c r="B109"/>
  <c r="B110"/>
  <c r="B111"/>
  <c r="B112"/>
  <c r="B113"/>
  <c r="B114"/>
  <c r="D115"/>
  <c r="A120"/>
  <c r="D121"/>
  <c r="E121"/>
  <c r="B21" i="27"/>
  <c r="C32" i="12"/>
  <c r="C243" i="9"/>
  <c r="B62" i="36"/>
  <c r="B62" i="23"/>
  <c r="B31" i="22"/>
  <c r="B75" i="19"/>
  <c r="B75" i="12"/>
  <c r="C80" i="19"/>
  <c r="C80" i="10"/>
  <c r="D100" i="8"/>
  <c r="D84"/>
  <c r="D76"/>
  <c r="D68"/>
  <c r="D237" i="9"/>
  <c r="D295" s="1"/>
  <c r="C182"/>
  <c r="C125"/>
  <c r="C14" i="23"/>
  <c r="C14" i="25"/>
  <c r="B29" i="48"/>
  <c r="B30"/>
  <c r="B62" i="35"/>
  <c r="B62" i="26"/>
  <c r="B62" i="22"/>
  <c r="B35" i="21"/>
  <c r="B35" i="19"/>
  <c r="B35" i="15"/>
  <c r="B35" i="10"/>
  <c r="C118" i="44"/>
  <c r="C32" i="14"/>
  <c r="G39" i="4"/>
  <c r="B31" i="37"/>
  <c r="B62"/>
  <c r="B62" i="25"/>
  <c r="B75" i="14"/>
  <c r="C28" i="22"/>
  <c r="B41" i="27"/>
  <c r="C80" i="21"/>
  <c r="D73" i="27"/>
  <c r="A10" i="3"/>
  <c r="C80" i="12"/>
  <c r="B5" i="49"/>
  <c r="A43"/>
  <c r="C5"/>
  <c r="D5"/>
  <c r="B3"/>
  <c r="F29" i="48"/>
  <c r="F30"/>
  <c r="D29"/>
  <c r="D30"/>
  <c r="C72" i="16"/>
  <c r="B237" i="9"/>
  <c r="B295" s="1"/>
  <c r="B176"/>
  <c r="B293" s="1"/>
  <c r="D62"/>
  <c r="D289" s="1"/>
  <c r="D63" i="24"/>
  <c r="D63" i="26"/>
  <c r="C63"/>
  <c r="D63" i="37"/>
  <c r="J29" i="47"/>
  <c r="J30"/>
  <c r="F29"/>
  <c r="F30" s="1"/>
  <c r="K30"/>
  <c r="J29" i="48"/>
  <c r="J30"/>
  <c r="K18"/>
  <c r="A14" i="43"/>
  <c r="B287" i="9"/>
  <c r="D106" i="8"/>
  <c r="D91" i="14"/>
  <c r="C32" i="37"/>
  <c r="B75" i="21"/>
  <c r="B75" i="18"/>
  <c r="B35"/>
  <c r="C80"/>
  <c r="C80" i="17"/>
  <c r="B35" i="14"/>
  <c r="C80"/>
  <c r="B35" i="12"/>
  <c r="D182" i="9"/>
  <c r="B243"/>
  <c r="B182"/>
  <c r="D5" i="38"/>
  <c r="C70" i="42"/>
  <c r="M71" i="27"/>
  <c r="F70" i="3"/>
  <c r="J69" i="27"/>
  <c r="D12" i="3"/>
  <c r="B13" i="27"/>
  <c r="E9" i="6"/>
  <c r="A10" i="27"/>
  <c r="J70"/>
  <c r="C91" i="13"/>
  <c r="B52" i="42"/>
  <c r="B6" i="38"/>
  <c r="G21" i="57"/>
  <c r="G19" s="1"/>
  <c r="G23"/>
  <c r="J83" i="58"/>
  <c r="J123"/>
  <c r="J103"/>
  <c r="G7" i="29"/>
  <c r="C53" i="44"/>
  <c r="D32" i="38"/>
  <c r="H39" i="20"/>
  <c r="H43"/>
  <c r="B75"/>
  <c r="H75"/>
  <c r="H76"/>
  <c r="H78"/>
  <c r="H79"/>
  <c r="H83"/>
  <c r="H84"/>
  <c r="H85"/>
  <c r="H86"/>
  <c r="D88"/>
  <c r="D90"/>
  <c r="C5"/>
  <c r="C45" s="1"/>
  <c r="E5"/>
  <c r="E45" s="1"/>
  <c r="G24"/>
  <c r="G28"/>
  <c r="G31"/>
  <c r="H33"/>
  <c r="H34"/>
  <c r="G38"/>
  <c r="C40"/>
  <c r="H44"/>
  <c r="H45"/>
  <c r="H46"/>
  <c r="G64"/>
  <c r="G68"/>
  <c r="G71"/>
  <c r="H73"/>
  <c r="H74"/>
  <c r="G78"/>
  <c r="C91" i="17"/>
  <c r="B35" i="16"/>
  <c r="C80"/>
  <c r="B75"/>
  <c r="C91"/>
  <c r="G42" i="42"/>
  <c r="H57"/>
  <c r="G49"/>
  <c r="H62"/>
  <c r="B35" i="20"/>
  <c r="D32" i="37"/>
  <c r="C63" i="24"/>
  <c r="C91" i="10"/>
  <c r="C93"/>
  <c r="C91" i="12"/>
  <c r="C93" i="14"/>
  <c r="C93" i="17"/>
  <c r="C93" i="18"/>
  <c r="E32" i="21"/>
  <c r="E32" i="20"/>
  <c r="K29" i="48"/>
  <c r="H30"/>
  <c r="H30" i="47"/>
  <c r="K28" i="45"/>
  <c r="B57" i="27" s="1"/>
  <c r="C61" i="37"/>
  <c r="D38"/>
  <c r="D47"/>
  <c r="D61"/>
  <c r="C30"/>
  <c r="C33"/>
  <c r="D32" i="35"/>
  <c r="D32" i="36"/>
  <c r="C32" i="25"/>
  <c r="C32" i="24"/>
  <c r="D63" i="22"/>
  <c r="C93" i="21"/>
  <c r="B77" s="1"/>
  <c r="C74"/>
  <c r="D44"/>
  <c r="D74"/>
  <c r="C94"/>
  <c r="D91"/>
  <c r="B37" s="1"/>
  <c r="C92"/>
  <c r="D6"/>
  <c r="D21"/>
  <c r="D34" s="1"/>
  <c r="D72" i="20"/>
  <c r="C90"/>
  <c r="B77" s="1"/>
  <c r="C91"/>
  <c r="D46"/>
  <c r="D74"/>
  <c r="E46" s="1"/>
  <c r="C59"/>
  <c r="D32"/>
  <c r="C88"/>
  <c r="C21"/>
  <c r="C34"/>
  <c r="B77" i="19"/>
  <c r="G78"/>
  <c r="C74"/>
  <c r="D44"/>
  <c r="D61"/>
  <c r="D74" s="1"/>
  <c r="E44" s="1"/>
  <c r="C94"/>
  <c r="G38"/>
  <c r="C91" i="18"/>
  <c r="G78" i="16"/>
  <c r="C93" i="15"/>
  <c r="C91"/>
  <c r="G78" i="13"/>
  <c r="C93" i="12"/>
  <c r="D91"/>
  <c r="B37" s="1"/>
  <c r="D91" i="20"/>
  <c r="B78" s="1"/>
  <c r="J6" i="29"/>
  <c r="G129" i="8"/>
  <c r="D24" i="3"/>
  <c r="C61" i="27"/>
  <c r="B80" i="3"/>
  <c r="E13"/>
  <c r="A15"/>
  <c r="A9"/>
  <c r="C5" i="38"/>
  <c r="E5"/>
  <c r="G9" i="30"/>
  <c r="H9"/>
  <c r="I9"/>
  <c r="J54" i="27"/>
  <c r="D68"/>
  <c r="J63"/>
  <c r="J71"/>
  <c r="G14"/>
  <c r="J50"/>
  <c r="J64"/>
  <c r="J57"/>
  <c r="D5" i="28"/>
  <c r="G73" i="20"/>
  <c r="G30" i="38"/>
  <c r="E12" i="21" s="1"/>
  <c r="E28" i="38"/>
  <c r="E10" i="20" s="1"/>
  <c r="F12" i="38"/>
  <c r="E11" i="12" s="1"/>
  <c r="F31" i="38"/>
  <c r="E49" i="21" s="1"/>
  <c r="E5"/>
  <c r="E43" s="1"/>
  <c r="C5"/>
  <c r="C43" s="1"/>
  <c r="H85"/>
  <c r="H83"/>
  <c r="H78"/>
  <c r="H76"/>
  <c r="H74"/>
  <c r="G71"/>
  <c r="G64"/>
  <c r="H45"/>
  <c r="H43"/>
  <c r="H38"/>
  <c r="H36"/>
  <c r="H34"/>
  <c r="G31"/>
  <c r="G24"/>
  <c r="C40"/>
  <c r="D5"/>
  <c r="D43" s="1"/>
  <c r="H86"/>
  <c r="H84"/>
  <c r="H79"/>
  <c r="H75"/>
  <c r="H73"/>
  <c r="G68"/>
  <c r="H46"/>
  <c r="H44"/>
  <c r="H39"/>
  <c r="H35"/>
  <c r="H33"/>
  <c r="G28"/>
  <c r="E5" i="18"/>
  <c r="E43" s="1"/>
  <c r="C5"/>
  <c r="C43" s="1"/>
  <c r="H86"/>
  <c r="H84"/>
  <c r="H79"/>
  <c r="H75"/>
  <c r="H73"/>
  <c r="G68"/>
  <c r="H46"/>
  <c r="H44"/>
  <c r="H39"/>
  <c r="H35"/>
  <c r="H33"/>
  <c r="G28"/>
  <c r="C40"/>
  <c r="D5"/>
  <c r="D43" s="1"/>
  <c r="H85"/>
  <c r="H83"/>
  <c r="H78"/>
  <c r="H76"/>
  <c r="H74"/>
  <c r="G71"/>
  <c r="G64"/>
  <c r="H45"/>
  <c r="H43"/>
  <c r="H38"/>
  <c r="H36"/>
  <c r="H34"/>
  <c r="G31"/>
  <c r="G24"/>
  <c r="E5" i="16"/>
  <c r="E43" s="1"/>
  <c r="C5"/>
  <c r="C43" s="1"/>
  <c r="H86"/>
  <c r="H84"/>
  <c r="H79"/>
  <c r="H75"/>
  <c r="H73"/>
  <c r="G68"/>
  <c r="H46"/>
  <c r="H44"/>
  <c r="H39"/>
  <c r="H35"/>
  <c r="H33"/>
  <c r="G28"/>
  <c r="C40"/>
  <c r="D5"/>
  <c r="D43" s="1"/>
  <c r="H85"/>
  <c r="H83"/>
  <c r="H78"/>
  <c r="H76"/>
  <c r="H74"/>
  <c r="G71"/>
  <c r="G64"/>
  <c r="H45"/>
  <c r="H43"/>
  <c r="H38"/>
  <c r="H36"/>
  <c r="H34"/>
  <c r="G31"/>
  <c r="G24"/>
  <c r="E5" i="14"/>
  <c r="E43" s="1"/>
  <c r="C5"/>
  <c r="C43" s="1"/>
  <c r="H86"/>
  <c r="H84"/>
  <c r="H79"/>
  <c r="H75"/>
  <c r="H73"/>
  <c r="G68"/>
  <c r="H46"/>
  <c r="H44"/>
  <c r="H39"/>
  <c r="H35"/>
  <c r="H33"/>
  <c r="G28"/>
  <c r="C40"/>
  <c r="D5"/>
  <c r="D43" s="1"/>
  <c r="H85"/>
  <c r="H83"/>
  <c r="H78"/>
  <c r="H76"/>
  <c r="H74"/>
  <c r="G71"/>
  <c r="G64"/>
  <c r="H45"/>
  <c r="H43"/>
  <c r="H38"/>
  <c r="H36"/>
  <c r="H34"/>
  <c r="G31"/>
  <c r="G24"/>
  <c r="E5" i="12"/>
  <c r="E43" s="1"/>
  <c r="C5"/>
  <c r="C43" s="1"/>
  <c r="H86"/>
  <c r="H84"/>
  <c r="H79"/>
  <c r="H75"/>
  <c r="H73"/>
  <c r="G68"/>
  <c r="H46"/>
  <c r="H44"/>
  <c r="H39"/>
  <c r="H35"/>
  <c r="H33"/>
  <c r="G28"/>
  <c r="C40"/>
  <c r="D5"/>
  <c r="D43" s="1"/>
  <c r="H85"/>
  <c r="H83"/>
  <c r="H78"/>
  <c r="H76"/>
  <c r="H74"/>
  <c r="G71"/>
  <c r="G64"/>
  <c r="H45"/>
  <c r="H43"/>
  <c r="H38"/>
  <c r="H36"/>
  <c r="H34"/>
  <c r="G31"/>
  <c r="G24"/>
  <c r="E63" i="44"/>
  <c r="D5" i="11"/>
  <c r="C5"/>
  <c r="D5" i="19"/>
  <c r="D43" s="1"/>
  <c r="H86"/>
  <c r="H84"/>
  <c r="H79"/>
  <c r="H75"/>
  <c r="H73"/>
  <c r="G68"/>
  <c r="H46"/>
  <c r="H44"/>
  <c r="H39"/>
  <c r="H35"/>
  <c r="H33"/>
  <c r="G28"/>
  <c r="C40"/>
  <c r="E5"/>
  <c r="E43" s="1"/>
  <c r="C5"/>
  <c r="C43" s="1"/>
  <c r="H85"/>
  <c r="H83"/>
  <c r="H78"/>
  <c r="H76"/>
  <c r="H74"/>
  <c r="G71"/>
  <c r="G64"/>
  <c r="H45"/>
  <c r="H43"/>
  <c r="H38"/>
  <c r="H36"/>
  <c r="H34"/>
  <c r="G31"/>
  <c r="G24"/>
  <c r="D5" i="17"/>
  <c r="D43" s="1"/>
  <c r="H86"/>
  <c r="H84"/>
  <c r="H79"/>
  <c r="H75"/>
  <c r="H73"/>
  <c r="G68"/>
  <c r="H46"/>
  <c r="H44"/>
  <c r="H39"/>
  <c r="H35"/>
  <c r="H33"/>
  <c r="G28"/>
  <c r="C40"/>
  <c r="E5"/>
  <c r="E43" s="1"/>
  <c r="C5"/>
  <c r="C43" s="1"/>
  <c r="H85"/>
  <c r="H83"/>
  <c r="H78"/>
  <c r="H76"/>
  <c r="H74"/>
  <c r="G71"/>
  <c r="G64"/>
  <c r="H45"/>
  <c r="H43"/>
  <c r="H38"/>
  <c r="H36"/>
  <c r="H34"/>
  <c r="G31"/>
  <c r="G24"/>
  <c r="D5" i="15"/>
  <c r="D43" s="1"/>
  <c r="H86"/>
  <c r="H84"/>
  <c r="H79"/>
  <c r="H75"/>
  <c r="H73"/>
  <c r="G68"/>
  <c r="H46"/>
  <c r="H44"/>
  <c r="H39"/>
  <c r="H35"/>
  <c r="H33"/>
  <c r="G28"/>
  <c r="C40"/>
  <c r="E5"/>
  <c r="E43" s="1"/>
  <c r="C5"/>
  <c r="C43" s="1"/>
  <c r="H85"/>
  <c r="H83"/>
  <c r="H78"/>
  <c r="H76"/>
  <c r="H74"/>
  <c r="G71"/>
  <c r="G64"/>
  <c r="H45"/>
  <c r="H43"/>
  <c r="H38"/>
  <c r="H36"/>
  <c r="H34"/>
  <c r="G31"/>
  <c r="G24"/>
  <c r="D5" i="13"/>
  <c r="D43" s="1"/>
  <c r="H86"/>
  <c r="H84"/>
  <c r="H79"/>
  <c r="H75"/>
  <c r="H73"/>
  <c r="G68"/>
  <c r="H46"/>
  <c r="H44"/>
  <c r="H39"/>
  <c r="H35"/>
  <c r="H33"/>
  <c r="G28"/>
  <c r="C40"/>
  <c r="E5"/>
  <c r="E43"/>
  <c r="C5"/>
  <c r="C43" s="1"/>
  <c r="H85"/>
  <c r="H83"/>
  <c r="H78"/>
  <c r="H76"/>
  <c r="H74"/>
  <c r="G71"/>
  <c r="G64"/>
  <c r="H45"/>
  <c r="H43"/>
  <c r="H38"/>
  <c r="H36"/>
  <c r="H34"/>
  <c r="G31"/>
  <c r="G24"/>
  <c r="D5" i="10"/>
  <c r="D43" s="1"/>
  <c r="H86"/>
  <c r="H84"/>
  <c r="H79"/>
  <c r="H75"/>
  <c r="H73"/>
  <c r="G68"/>
  <c r="H46"/>
  <c r="H44"/>
  <c r="H39"/>
  <c r="H35"/>
  <c r="H33"/>
  <c r="G28"/>
  <c r="C40"/>
  <c r="E5"/>
  <c r="E43" s="1"/>
  <c r="C5"/>
  <c r="C43" s="1"/>
  <c r="H85"/>
  <c r="H83"/>
  <c r="H78"/>
  <c r="H76"/>
  <c r="H74"/>
  <c r="G71"/>
  <c r="G64"/>
  <c r="H45"/>
  <c r="H43"/>
  <c r="H38"/>
  <c r="H36"/>
  <c r="H34"/>
  <c r="G31"/>
  <c r="G24"/>
  <c r="D5" i="44"/>
  <c r="H125"/>
  <c r="H123"/>
  <c r="H118"/>
  <c r="H115"/>
  <c r="H113"/>
  <c r="G110"/>
  <c r="G103"/>
  <c r="E5"/>
  <c r="C5"/>
  <c r="H124"/>
  <c r="H122"/>
  <c r="H117"/>
  <c r="H114"/>
  <c r="H112"/>
  <c r="G107"/>
  <c r="F36" i="20"/>
  <c r="F39" i="27"/>
  <c r="G28" i="38"/>
  <c r="E12" i="20" s="1"/>
  <c r="F30" i="38"/>
  <c r="E11" i="21" s="1"/>
  <c r="E5" i="8"/>
  <c r="E6" i="22" s="1"/>
  <c r="E37" s="1"/>
  <c r="D64" i="8"/>
  <c r="D6" i="42"/>
  <c r="G116" i="8"/>
  <c r="H119"/>
  <c r="H123"/>
  <c r="H130"/>
  <c r="G46" i="42"/>
  <c r="H51"/>
  <c r="H53"/>
  <c r="H56"/>
  <c r="H61"/>
  <c r="H63"/>
  <c r="H35" i="20"/>
  <c r="D5" i="8"/>
  <c r="D6" i="35" s="1"/>
  <c r="D37" s="1"/>
  <c r="C64" i="8"/>
  <c r="C6" i="42"/>
  <c r="H120" i="8"/>
  <c r="H129"/>
  <c r="D7" i="37"/>
  <c r="D16"/>
  <c r="D30"/>
  <c r="E7"/>
  <c r="E16"/>
  <c r="E30"/>
  <c r="E31"/>
  <c r="C64"/>
  <c r="E38"/>
  <c r="E47"/>
  <c r="E61"/>
  <c r="E62"/>
  <c r="D64"/>
  <c r="E44" i="21"/>
  <c r="G73"/>
  <c r="D94"/>
  <c r="B78" s="1"/>
  <c r="E6"/>
  <c r="C89" i="20"/>
  <c r="D6"/>
  <c r="D21"/>
  <c r="D34"/>
  <c r="G33" s="1"/>
  <c r="G29" i="38"/>
  <c r="E52" i="20" s="1"/>
  <c r="G21" i="38"/>
  <c r="E50" i="16" s="1"/>
  <c r="G27" i="38"/>
  <c r="E50" i="19" s="1"/>
  <c r="G12" i="38"/>
  <c r="E12" i="12" s="1"/>
  <c r="G31" i="38"/>
  <c r="E50" i="21" s="1"/>
  <c r="F21" i="38"/>
  <c r="E49" i="16" s="1"/>
  <c r="F27" i="38"/>
  <c r="E49" i="19" s="1"/>
  <c r="F28" i="38"/>
  <c r="E11" i="20" s="1"/>
  <c r="F29" i="38"/>
  <c r="E51" i="20" s="1"/>
  <c r="E21" i="38"/>
  <c r="E48" i="16" s="1"/>
  <c r="E27" i="38"/>
  <c r="E48" i="19" s="1"/>
  <c r="E60" s="1"/>
  <c r="E12" i="38"/>
  <c r="E10" i="12" s="1"/>
  <c r="E30" i="38"/>
  <c r="E10" i="21" s="1"/>
  <c r="E31" i="38"/>
  <c r="E48" i="21" s="1"/>
  <c r="E60" s="1"/>
  <c r="G74" s="1"/>
  <c r="E29" i="38"/>
  <c r="E50" i="20" s="1"/>
  <c r="E60" s="1"/>
  <c r="D33" i="37"/>
  <c r="J27" i="19"/>
  <c r="J27" i="17"/>
  <c r="J68" i="13"/>
  <c r="J69"/>
  <c r="J67"/>
  <c r="J27" i="10"/>
  <c r="J68" i="17"/>
  <c r="J69"/>
  <c r="J68" i="12"/>
  <c r="J69"/>
  <c r="J68" i="19"/>
  <c r="J69"/>
  <c r="J68" i="21"/>
  <c r="J69"/>
  <c r="J67"/>
  <c r="J27"/>
  <c r="J68" i="20"/>
  <c r="J69"/>
  <c r="J67"/>
  <c r="J27"/>
  <c r="J67" i="19"/>
  <c r="J68" i="18"/>
  <c r="J69"/>
  <c r="J67"/>
  <c r="J27"/>
  <c r="J67" i="17"/>
  <c r="J68" i="16"/>
  <c r="J69"/>
  <c r="J67"/>
  <c r="J27"/>
  <c r="J27" i="15"/>
  <c r="J68" i="14"/>
  <c r="J69"/>
  <c r="J67"/>
  <c r="J27"/>
  <c r="J67" i="12"/>
  <c r="J27"/>
  <c r="J68" i="10"/>
  <c r="J69"/>
  <c r="J67"/>
  <c r="J68" i="15"/>
  <c r="J69"/>
  <c r="J67"/>
  <c r="J27" i="13"/>
  <c r="J45" i="42"/>
  <c r="J106" i="44"/>
  <c r="J112" i="8"/>
  <c r="G18" i="57"/>
  <c r="D32" i="25" l="1"/>
  <c r="C32" i="22"/>
  <c r="D63" i="35"/>
  <c r="C63" i="22"/>
  <c r="E61" i="19"/>
  <c r="D29" i="47"/>
  <c r="D30" s="1"/>
  <c r="B77" i="14"/>
  <c r="B37" i="13"/>
  <c r="C34" i="19"/>
  <c r="C34" i="18"/>
  <c r="C34" i="16"/>
  <c r="E6" i="23"/>
  <c r="E37" s="1"/>
  <c r="E6" i="36"/>
  <c r="E37" s="1"/>
  <c r="E6" i="25"/>
  <c r="E37" s="1"/>
  <c r="E6" i="37"/>
  <c r="E37" s="1"/>
  <c r="E6" i="24"/>
  <c r="E37" s="1"/>
  <c r="E6" i="35"/>
  <c r="E37" s="1"/>
  <c r="E6" i="26"/>
  <c r="E37" s="1"/>
  <c r="D6" i="36"/>
  <c r="D37" s="1"/>
  <c r="D6" i="37"/>
  <c r="D37" s="1"/>
  <c r="D6" i="24"/>
  <c r="D37" s="1"/>
  <c r="D6" i="23"/>
  <c r="D37" s="1"/>
  <c r="D6" i="22"/>
  <c r="D37" s="1"/>
  <c r="D6" i="25"/>
  <c r="D37" s="1"/>
  <c r="D6" i="26"/>
  <c r="D37" s="1"/>
  <c r="H124" i="8"/>
  <c r="G113"/>
  <c r="H128"/>
  <c r="H121"/>
  <c r="H118"/>
  <c r="G109"/>
  <c r="K18" i="47"/>
  <c r="B29"/>
  <c r="J29" i="46"/>
  <c r="J30" s="1"/>
  <c r="H29"/>
  <c r="H30" s="1"/>
  <c r="F29"/>
  <c r="F30" s="1"/>
  <c r="D29"/>
  <c r="D30" s="1"/>
  <c r="K18"/>
  <c r="B29"/>
  <c r="K30"/>
  <c r="J29" i="45"/>
  <c r="J30" s="1"/>
  <c r="H29"/>
  <c r="H30" s="1"/>
  <c r="F29"/>
  <c r="F30" s="1"/>
  <c r="D29"/>
  <c r="D30" s="1"/>
  <c r="K30"/>
  <c r="K18"/>
  <c r="B29"/>
  <c r="C61" i="35"/>
  <c r="C63"/>
  <c r="D38"/>
  <c r="D47" s="1"/>
  <c r="D61" s="1"/>
  <c r="E38" s="1"/>
  <c r="E47" s="1"/>
  <c r="E61" s="1"/>
  <c r="E62" s="1"/>
  <c r="C64"/>
  <c r="D64"/>
  <c r="C32"/>
  <c r="C30"/>
  <c r="D7"/>
  <c r="D16" s="1"/>
  <c r="D30" s="1"/>
  <c r="C33"/>
  <c r="D63" i="36"/>
  <c r="C61"/>
  <c r="C63"/>
  <c r="D38"/>
  <c r="D47" s="1"/>
  <c r="D61" s="1"/>
  <c r="D64" s="1"/>
  <c r="C64"/>
  <c r="E38"/>
  <c r="E47" s="1"/>
  <c r="E61" s="1"/>
  <c r="E62" s="1"/>
  <c r="C33"/>
  <c r="D7"/>
  <c r="D16" s="1"/>
  <c r="D30" s="1"/>
  <c r="C61" i="26"/>
  <c r="D38" s="1"/>
  <c r="D47" s="1"/>
  <c r="D61" s="1"/>
  <c r="C64"/>
  <c r="D32"/>
  <c r="C14"/>
  <c r="D7"/>
  <c r="D16" s="1"/>
  <c r="D30" s="1"/>
  <c r="C33"/>
  <c r="D63" i="25"/>
  <c r="C63"/>
  <c r="C61"/>
  <c r="D38"/>
  <c r="D47" s="1"/>
  <c r="D61" s="1"/>
  <c r="D64" s="1"/>
  <c r="C64"/>
  <c r="E38"/>
  <c r="E47" s="1"/>
  <c r="E61" s="1"/>
  <c r="E62" s="1"/>
  <c r="D7"/>
  <c r="D16" s="1"/>
  <c r="D30" s="1"/>
  <c r="C33"/>
  <c r="C61" i="24"/>
  <c r="D38" s="1"/>
  <c r="D47" s="1"/>
  <c r="D61" s="1"/>
  <c r="C30"/>
  <c r="C33" s="1"/>
  <c r="D63" i="23"/>
  <c r="C64"/>
  <c r="D38"/>
  <c r="D47" s="1"/>
  <c r="D61" s="1"/>
  <c r="D64" s="1"/>
  <c r="D32"/>
  <c r="C33"/>
  <c r="D7"/>
  <c r="D16" s="1"/>
  <c r="D30" s="1"/>
  <c r="C61" i="22"/>
  <c r="D38" s="1"/>
  <c r="D47" s="1"/>
  <c r="D61" s="1"/>
  <c r="C30"/>
  <c r="D7" s="1"/>
  <c r="D16" s="1"/>
  <c r="D30" s="1"/>
  <c r="D6" i="19"/>
  <c r="D21" s="1"/>
  <c r="D34" s="1"/>
  <c r="E6" s="1"/>
  <c r="C92"/>
  <c r="D92"/>
  <c r="B38" s="1"/>
  <c r="B77" i="18"/>
  <c r="C74"/>
  <c r="C94" s="1"/>
  <c r="C59"/>
  <c r="D44"/>
  <c r="D61"/>
  <c r="D74" s="1"/>
  <c r="E44" s="1"/>
  <c r="B37"/>
  <c r="C92"/>
  <c r="D6"/>
  <c r="D21" s="1"/>
  <c r="D34" s="1"/>
  <c r="G33" s="1"/>
  <c r="D93" i="17"/>
  <c r="B77" s="1"/>
  <c r="C74"/>
  <c r="D44" s="1"/>
  <c r="D61" s="1"/>
  <c r="D74" s="1"/>
  <c r="D91"/>
  <c r="B37" s="1"/>
  <c r="D32"/>
  <c r="C19"/>
  <c r="C92"/>
  <c r="D6"/>
  <c r="C94"/>
  <c r="D93" i="16"/>
  <c r="B77" s="1"/>
  <c r="C74"/>
  <c r="C94" s="1"/>
  <c r="C59"/>
  <c r="D44"/>
  <c r="D61"/>
  <c r="D74" s="1"/>
  <c r="D91"/>
  <c r="B37" s="1"/>
  <c r="D6"/>
  <c r="C92"/>
  <c r="D93" i="15"/>
  <c r="B77" s="1"/>
  <c r="C74"/>
  <c r="D44" s="1"/>
  <c r="D61" s="1"/>
  <c r="D74" s="1"/>
  <c r="C94"/>
  <c r="B37"/>
  <c r="D6"/>
  <c r="C92"/>
  <c r="D26" i="27"/>
  <c r="C74" i="14"/>
  <c r="D44" s="1"/>
  <c r="D61" s="1"/>
  <c r="D74" s="1"/>
  <c r="G38"/>
  <c r="C34"/>
  <c r="D6"/>
  <c r="C92"/>
  <c r="D72" i="13"/>
  <c r="D93"/>
  <c r="C74"/>
  <c r="C94" s="1"/>
  <c r="C34"/>
  <c r="C92" s="1"/>
  <c r="D93" i="12"/>
  <c r="B77" s="1"/>
  <c r="C74"/>
  <c r="D44" s="1"/>
  <c r="D61" s="1"/>
  <c r="D74" s="1"/>
  <c r="C94"/>
  <c r="C92"/>
  <c r="D6"/>
  <c r="D21" s="1"/>
  <c r="D34" s="1"/>
  <c r="D93" i="10"/>
  <c r="B77" s="1"/>
  <c r="C74"/>
  <c r="D44" s="1"/>
  <c r="D61" s="1"/>
  <c r="D74" s="1"/>
  <c r="D91"/>
  <c r="B37" s="1"/>
  <c r="C34"/>
  <c r="D6" s="1"/>
  <c r="D21" s="1"/>
  <c r="D34" s="1"/>
  <c r="C43" i="11"/>
  <c r="B54" i="42"/>
  <c r="C51"/>
  <c r="D7" s="1"/>
  <c r="D27" s="1"/>
  <c r="D51" s="1"/>
  <c r="C25"/>
  <c r="C71"/>
  <c r="D176" i="9"/>
  <c r="D293" s="1"/>
  <c r="C287"/>
  <c r="C237"/>
  <c r="C295" s="1"/>
  <c r="C119"/>
  <c r="C291" s="1"/>
  <c r="C62"/>
  <c r="C289" s="1"/>
  <c r="D119"/>
  <c r="D291" s="1"/>
  <c r="C176"/>
  <c r="C293" s="1"/>
  <c r="D287"/>
  <c r="B5"/>
  <c r="B244" s="1"/>
  <c r="B119"/>
  <c r="B291" s="1"/>
  <c r="B62"/>
  <c r="B289" s="1"/>
  <c r="D126"/>
  <c r="D70"/>
  <c r="E6" i="12"/>
  <c r="E107" i="8"/>
  <c r="G16" i="33"/>
  <c r="B37" i="20"/>
  <c r="D9" i="6"/>
  <c r="L37" i="29"/>
  <c r="K37"/>
  <c r="J37"/>
  <c r="F73" i="27"/>
  <c r="D5" i="57"/>
  <c r="B77" i="13"/>
  <c r="G21" i="33"/>
  <c r="D25" i="3"/>
  <c r="E72" i="10"/>
  <c r="F40" i="27"/>
  <c r="E77" i="21"/>
  <c r="E78" i="19"/>
  <c r="D94" i="18"/>
  <c r="G73"/>
  <c r="D19" i="17"/>
  <c r="D21"/>
  <c r="D34" s="1"/>
  <c r="D92" s="1"/>
  <c r="D21" i="16"/>
  <c r="D34" s="1"/>
  <c r="G33" s="1"/>
  <c r="D19"/>
  <c r="D64" i="27"/>
  <c r="D19" i="15"/>
  <c r="D21"/>
  <c r="D34" s="1"/>
  <c r="D21" i="14"/>
  <c r="D34" s="1"/>
  <c r="D92" s="1"/>
  <c r="B38" s="1"/>
  <c r="D19"/>
  <c r="D19" i="13"/>
  <c r="D59" i="10"/>
  <c r="D19"/>
  <c r="D25" i="42"/>
  <c r="E20" i="21"/>
  <c r="G34" s="1"/>
  <c r="G74" i="20"/>
  <c r="E61"/>
  <c r="G74" i="19"/>
  <c r="E20" i="12"/>
  <c r="G34" s="1"/>
  <c r="B32" i="6"/>
  <c r="C6" i="22"/>
  <c r="C37" s="1"/>
  <c r="C6" i="23"/>
  <c r="C37" s="1"/>
  <c r="C6" i="26"/>
  <c r="C37" s="1"/>
  <c r="C6" i="36"/>
  <c r="C37" s="1"/>
  <c r="C6" i="37"/>
  <c r="C37" s="1"/>
  <c r="C6" i="24"/>
  <c r="C37" s="1"/>
  <c r="C6" i="35"/>
  <c r="C37" s="1"/>
  <c r="C6" i="25"/>
  <c r="C37" s="1"/>
  <c r="B183" i="9"/>
  <c r="D66"/>
  <c r="D240"/>
  <c r="C5"/>
  <c r="D63" i="44"/>
  <c r="C63"/>
  <c r="G62" i="42"/>
  <c r="E61" i="27"/>
  <c r="B5" i="28"/>
  <c r="F5"/>
  <c r="H6"/>
  <c r="G6"/>
  <c r="D42" i="3"/>
  <c r="E37" i="20"/>
  <c r="F37" i="27"/>
  <c r="D43" i="3"/>
  <c r="E72" i="20"/>
  <c r="F76"/>
  <c r="E77"/>
  <c r="A22" i="43"/>
  <c r="B27"/>
  <c r="A5"/>
  <c r="A11"/>
  <c r="C27"/>
  <c r="A9"/>
  <c r="A26"/>
  <c r="A8"/>
  <c r="A6"/>
  <c r="A10"/>
  <c r="G25" i="33"/>
  <c r="G27" s="1"/>
  <c r="E20" i="20"/>
  <c r="D72" i="44"/>
  <c r="D111" s="1"/>
  <c r="C72"/>
  <c r="C111" s="1"/>
  <c r="B73" i="27"/>
  <c r="E72" i="44"/>
  <c r="C32" i="38"/>
  <c r="E6" i="20"/>
  <c r="D89"/>
  <c r="B38" s="1"/>
  <c r="D244" i="9"/>
  <c r="D183"/>
  <c r="E6" i="16"/>
  <c r="G33" i="17"/>
  <c r="D92" i="18"/>
  <c r="B38" s="1"/>
  <c r="D92" i="21"/>
  <c r="B38" s="1"/>
  <c r="G33"/>
  <c r="F36" i="10"/>
  <c r="E32"/>
  <c r="E37"/>
  <c r="F19" i="27"/>
  <c r="F20"/>
  <c r="F76" i="10"/>
  <c r="E77"/>
  <c r="E72" i="19"/>
  <c r="D41" i="3"/>
  <c r="F76" i="19"/>
  <c r="F36" i="27"/>
  <c r="E37" i="21"/>
  <c r="F36"/>
  <c r="D44" i="3"/>
  <c r="F76" i="21"/>
  <c r="D45" i="3"/>
  <c r="E72" i="21"/>
  <c r="E61"/>
  <c r="E78" s="1"/>
  <c r="E60" i="16"/>
  <c r="E7" i="4"/>
  <c r="E21" i="12"/>
  <c r="D122" i="9"/>
  <c r="D179"/>
  <c r="C107" i="8"/>
  <c r="C117" s="1"/>
  <c r="G73" i="19"/>
  <c r="D94"/>
  <c r="B78" s="1"/>
  <c r="F13" i="27"/>
  <c r="D13"/>
  <c r="F68"/>
  <c r="B68"/>
  <c r="J61"/>
  <c r="J72"/>
  <c r="J56"/>
  <c r="B31" i="24"/>
  <c r="B62"/>
  <c r="B35" i="17"/>
  <c r="B75"/>
  <c r="B75" i="15"/>
  <c r="C80"/>
  <c r="B35" i="13"/>
  <c r="C80"/>
  <c r="D107" i="8"/>
  <c r="D117" s="1"/>
  <c r="J7" i="33"/>
  <c r="B37" i="19"/>
  <c r="B37" i="14"/>
  <c r="D59" i="13"/>
  <c r="D59" i="14"/>
  <c r="D59" i="16"/>
  <c r="D59" i="17"/>
  <c r="D59" i="18"/>
  <c r="D59" i="20"/>
  <c r="D59" i="21"/>
  <c r="E6" i="42"/>
  <c r="C57"/>
  <c r="H52"/>
  <c r="H64"/>
  <c r="H54"/>
  <c r="H131" i="8"/>
  <c r="C124"/>
  <c r="B119"/>
  <c r="B75" i="13"/>
  <c r="E6" i="17" l="1"/>
  <c r="B30" i="47"/>
  <c r="K29"/>
  <c r="B30" i="46"/>
  <c r="K29"/>
  <c r="B30" i="45"/>
  <c r="K29"/>
  <c r="E7" i="35"/>
  <c r="E16" s="1"/>
  <c r="E30" s="1"/>
  <c r="E31" s="1"/>
  <c r="D33"/>
  <c r="E7" i="36"/>
  <c r="E16" s="1"/>
  <c r="E30" s="1"/>
  <c r="E31" s="1"/>
  <c r="D33"/>
  <c r="E38" i="26"/>
  <c r="E47" s="1"/>
  <c r="E61" s="1"/>
  <c r="E62" s="1"/>
  <c r="D64"/>
  <c r="E7"/>
  <c r="E16" s="1"/>
  <c r="E30" s="1"/>
  <c r="E31" s="1"/>
  <c r="D33"/>
  <c r="E7" i="25"/>
  <c r="E16" s="1"/>
  <c r="E30" s="1"/>
  <c r="E31" s="1"/>
  <c r="D33"/>
  <c r="C64" i="24"/>
  <c r="D64"/>
  <c r="E38"/>
  <c r="E47" s="1"/>
  <c r="E61" s="1"/>
  <c r="E62" s="1"/>
  <c r="D7"/>
  <c r="D16" s="1"/>
  <c r="D30" s="1"/>
  <c r="E38" i="23"/>
  <c r="E47" s="1"/>
  <c r="E61" s="1"/>
  <c r="E62" s="1"/>
  <c r="D33"/>
  <c r="E7"/>
  <c r="E16" s="1"/>
  <c r="E30" s="1"/>
  <c r="E31" s="1"/>
  <c r="C64" i="22"/>
  <c r="E38"/>
  <c r="E47" s="1"/>
  <c r="E61" s="1"/>
  <c r="E62" s="1"/>
  <c r="D64"/>
  <c r="C33"/>
  <c r="D33"/>
  <c r="E7"/>
  <c r="E16" s="1"/>
  <c r="E30" s="1"/>
  <c r="E31" s="1"/>
  <c r="G33" i="19"/>
  <c r="B78" i="18"/>
  <c r="E6"/>
  <c r="E44" i="17"/>
  <c r="G73"/>
  <c r="D94"/>
  <c r="B78" s="1"/>
  <c r="B38"/>
  <c r="G73" i="16"/>
  <c r="E44"/>
  <c r="D94"/>
  <c r="B78" s="1"/>
  <c r="E61"/>
  <c r="D92"/>
  <c r="B38" s="1"/>
  <c r="D94" i="15"/>
  <c r="B78" s="1"/>
  <c r="G73"/>
  <c r="E44"/>
  <c r="C94" i="14"/>
  <c r="G73"/>
  <c r="D94"/>
  <c r="B78" s="1"/>
  <c r="E44"/>
  <c r="E6"/>
  <c r="G33"/>
  <c r="D44" i="13"/>
  <c r="D61" s="1"/>
  <c r="D74" s="1"/>
  <c r="E44" s="1"/>
  <c r="D6"/>
  <c r="D21" s="1"/>
  <c r="D34" s="1"/>
  <c r="E6" s="1"/>
  <c r="D94" i="12"/>
  <c r="B78" s="1"/>
  <c r="E44"/>
  <c r="G73"/>
  <c r="D92"/>
  <c r="B38" s="1"/>
  <c r="G33"/>
  <c r="C94" i="10"/>
  <c r="E44"/>
  <c r="G73"/>
  <c r="D94"/>
  <c r="C92"/>
  <c r="E6"/>
  <c r="D92"/>
  <c r="B38" s="1"/>
  <c r="G33"/>
  <c r="D297" i="9"/>
  <c r="B297"/>
  <c r="C297"/>
  <c r="B126"/>
  <c r="B70"/>
  <c r="E79" i="21"/>
  <c r="E80" s="1"/>
  <c r="E79" i="19"/>
  <c r="E78" i="20"/>
  <c r="E6" i="15"/>
  <c r="D92"/>
  <c r="B38" s="1"/>
  <c r="G33"/>
  <c r="E21" i="21"/>
  <c r="E38" s="1"/>
  <c r="E7" i="42"/>
  <c r="G51"/>
  <c r="D71"/>
  <c r="B55" s="1"/>
  <c r="D16" i="27"/>
  <c r="D136" i="8"/>
  <c r="D116"/>
  <c r="C110" i="44"/>
  <c r="B18" i="27"/>
  <c r="C112" i="44"/>
  <c r="C129"/>
  <c r="G117"/>
  <c r="E21" i="20"/>
  <c r="J29" i="33"/>
  <c r="J31" s="1"/>
  <c r="G123" i="8"/>
  <c r="C136"/>
  <c r="B121" s="1"/>
  <c r="B16" i="27"/>
  <c r="B61" s="1"/>
  <c r="B63" s="1"/>
  <c r="C118" i="8"/>
  <c r="C116"/>
  <c r="G74" i="16"/>
  <c r="E41" i="38"/>
  <c r="E26" s="1"/>
  <c r="E10" i="19" s="1"/>
  <c r="F43" i="38"/>
  <c r="F26" s="1"/>
  <c r="E11" i="19" s="1"/>
  <c r="G45" i="38"/>
  <c r="G26" s="1"/>
  <c r="E12" i="19" s="1"/>
  <c r="D18" i="27"/>
  <c r="D129" i="44"/>
  <c r="D110"/>
  <c r="G34" i="20"/>
  <c r="G64" i="42"/>
  <c r="G86" i="12"/>
  <c r="G86" i="14"/>
  <c r="G86" i="16"/>
  <c r="G46" i="18"/>
  <c r="G46" i="20"/>
  <c r="G131" i="8"/>
  <c r="G46" i="10"/>
  <c r="G46" i="13"/>
  <c r="G46" i="15"/>
  <c r="G46" i="17"/>
  <c r="G86" i="19"/>
  <c r="G86" i="21"/>
  <c r="G86" i="13"/>
  <c r="G86" i="17"/>
  <c r="G46" i="21"/>
  <c r="G46" i="12"/>
  <c r="G46" i="16"/>
  <c r="G86" i="20"/>
  <c r="G86" i="10"/>
  <c r="G46" i="19"/>
  <c r="G46" i="14"/>
  <c r="G86" i="18"/>
  <c r="G86" i="15"/>
  <c r="G125" i="44"/>
  <c r="M56" i="27"/>
  <c r="M64" s="1"/>
  <c r="C244" i="9"/>
  <c r="C126"/>
  <c r="C70"/>
  <c r="C183"/>
  <c r="E38" i="20"/>
  <c r="E7" i="24" l="1"/>
  <c r="E16" s="1"/>
  <c r="E30" s="1"/>
  <c r="E31" s="1"/>
  <c r="D33"/>
  <c r="D94" i="13"/>
  <c r="B78" s="1"/>
  <c r="G73"/>
  <c r="G33"/>
  <c r="D92"/>
  <c r="B38" s="1"/>
  <c r="B78" i="10"/>
  <c r="G75" i="21"/>
  <c r="H40" i="27"/>
  <c r="G83" i="21" s="1"/>
  <c r="E59"/>
  <c r="E45" i="3"/>
  <c r="G40" i="27"/>
  <c r="F45" i="3"/>
  <c r="E39" i="20"/>
  <c r="E40" s="1"/>
  <c r="E40" i="21"/>
  <c r="E39"/>
  <c r="E80" i="20"/>
  <c r="E59" s="1"/>
  <c r="E79"/>
  <c r="E80" i="19"/>
  <c r="G75" s="1"/>
  <c r="E20"/>
  <c r="F24" i="38"/>
  <c r="E11" i="18" s="1"/>
  <c r="F25" i="38"/>
  <c r="E49" i="18" s="1"/>
  <c r="G24" i="38"/>
  <c r="E12" i="18" s="1"/>
  <c r="G25" i="38"/>
  <c r="E50" i="18" s="1"/>
  <c r="E24" i="38"/>
  <c r="E10" i="18" s="1"/>
  <c r="E25" i="38"/>
  <c r="E48" i="18" s="1"/>
  <c r="E60" s="1"/>
  <c r="E20"/>
  <c r="G22" i="38"/>
  <c r="E12" i="17" s="1"/>
  <c r="G23" i="38"/>
  <c r="E50" i="17" s="1"/>
  <c r="E22" i="38"/>
  <c r="E10" i="17" s="1"/>
  <c r="E23" i="38"/>
  <c r="E48" i="17" s="1"/>
  <c r="F22" i="38"/>
  <c r="E11" i="17" s="1"/>
  <c r="F23" i="38"/>
  <c r="E49" i="17" s="1"/>
  <c r="E20"/>
  <c r="F19" i="38"/>
  <c r="E49" i="15" s="1"/>
  <c r="F20" i="38"/>
  <c r="E11" i="16" s="1"/>
  <c r="G19" i="38"/>
  <c r="E50" i="15" s="1"/>
  <c r="G20" i="38"/>
  <c r="E12" i="16" s="1"/>
  <c r="E19" i="38"/>
  <c r="E48" i="15" s="1"/>
  <c r="E20" i="38"/>
  <c r="E10" i="16" s="1"/>
  <c r="E20" s="1"/>
  <c r="E60" i="15"/>
  <c r="F17" i="38"/>
  <c r="E49" i="14" s="1"/>
  <c r="F18" i="38"/>
  <c r="E11" i="15" s="1"/>
  <c r="G17" i="38"/>
  <c r="E50" i="14" s="1"/>
  <c r="G18" i="38"/>
  <c r="E12" i="15" s="1"/>
  <c r="E17" i="38"/>
  <c r="E48" i="14" s="1"/>
  <c r="E18" i="38"/>
  <c r="E10" i="15" s="1"/>
  <c r="E20" s="1"/>
  <c r="G34" s="1"/>
  <c r="E60" i="14"/>
  <c r="G15" i="38"/>
  <c r="E50" i="13" s="1"/>
  <c r="G16" i="38"/>
  <c r="E12" i="14" s="1"/>
  <c r="F15" i="38"/>
  <c r="E49" i="13" s="1"/>
  <c r="F16" i="38"/>
  <c r="E11" i="14" s="1"/>
  <c r="E15" i="38"/>
  <c r="E48" i="13" s="1"/>
  <c r="E16" i="38"/>
  <c r="E10" i="14" s="1"/>
  <c r="E20" s="1"/>
  <c r="E19" i="21"/>
  <c r="G39" i="27"/>
  <c r="H39"/>
  <c r="G43" i="21" s="1"/>
  <c r="G35"/>
  <c r="E44" i="3"/>
  <c r="F44"/>
  <c r="E60" i="13"/>
  <c r="F13" i="38"/>
  <c r="E49" i="12" s="1"/>
  <c r="F14" i="38"/>
  <c r="E11" i="13" s="1"/>
  <c r="G13" i="38"/>
  <c r="E50" i="12" s="1"/>
  <c r="G14" i="38"/>
  <c r="E12" i="13" s="1"/>
  <c r="E13" i="38"/>
  <c r="E48" i="12" s="1"/>
  <c r="E60" s="1"/>
  <c r="E14" i="38"/>
  <c r="E10" i="13" s="1"/>
  <c r="E20" s="1"/>
  <c r="E21" s="1"/>
  <c r="G10" i="38"/>
  <c r="E12" i="10" s="1"/>
  <c r="G11" i="38"/>
  <c r="E50" i="10" s="1"/>
  <c r="E10" i="38"/>
  <c r="E10" i="10" s="1"/>
  <c r="E11" i="38"/>
  <c r="E48" i="10" s="1"/>
  <c r="F10" i="38"/>
  <c r="E11" i="10" s="1"/>
  <c r="F11" i="38"/>
  <c r="E49" i="10" s="1"/>
  <c r="E20"/>
  <c r="G8" i="38"/>
  <c r="G9"/>
  <c r="E12" i="44" s="1"/>
  <c r="E8" i="38"/>
  <c r="E11" i="42" s="1"/>
  <c r="E9" i="38"/>
  <c r="E10" i="44" s="1"/>
  <c r="F8" i="38"/>
  <c r="E12" i="42" s="1"/>
  <c r="F9" i="38"/>
  <c r="E11" i="44" s="1"/>
  <c r="E13" i="42"/>
  <c r="D6" i="8"/>
  <c r="D57" s="1"/>
  <c r="C137"/>
  <c r="C130" i="44"/>
  <c r="D6"/>
  <c r="D55" s="1"/>
  <c r="D61" i="27"/>
  <c r="D63" s="1"/>
  <c r="K75" i="21"/>
  <c r="G76"/>
  <c r="G79" s="1"/>
  <c r="B115" i="44"/>
  <c r="G75" i="20" l="1"/>
  <c r="K75" i="19"/>
  <c r="G76"/>
  <c r="G79" s="1"/>
  <c r="H37" i="27"/>
  <c r="G43" i="20" s="1"/>
  <c r="G37" i="27"/>
  <c r="E19" i="20"/>
  <c r="F42" i="3"/>
  <c r="G35" i="20"/>
  <c r="K35" s="1"/>
  <c r="E42" i="3"/>
  <c r="E41"/>
  <c r="G36" i="27"/>
  <c r="E59" i="19"/>
  <c r="H36" i="27"/>
  <c r="G83" i="19" s="1"/>
  <c r="F41" i="3"/>
  <c r="E43"/>
  <c r="F43"/>
  <c r="H38" i="27"/>
  <c r="G83" i="20" s="1"/>
  <c r="G38" i="27"/>
  <c r="G36" i="20"/>
  <c r="G39" s="1"/>
  <c r="E21" i="19"/>
  <c r="G34"/>
  <c r="G74" i="18"/>
  <c r="E61"/>
  <c r="G34"/>
  <c r="E21"/>
  <c r="E60" i="17"/>
  <c r="G34"/>
  <c r="E21"/>
  <c r="G34" i="16"/>
  <c r="E21"/>
  <c r="G74" i="15"/>
  <c r="E61"/>
  <c r="E21"/>
  <c r="G74" i="14"/>
  <c r="E61"/>
  <c r="G34"/>
  <c r="E21"/>
  <c r="G74" i="13"/>
  <c r="E61"/>
  <c r="K35" i="21"/>
  <c r="G36"/>
  <c r="G39" s="1"/>
  <c r="E7" i="38"/>
  <c r="G7"/>
  <c r="F7"/>
  <c r="E11" i="8" s="1"/>
  <c r="G34" i="13"/>
  <c r="E61" i="12"/>
  <c r="G74"/>
  <c r="E60" i="10"/>
  <c r="G34"/>
  <c r="E21"/>
  <c r="E38" s="1"/>
  <c r="E26" i="42"/>
  <c r="E54" i="44"/>
  <c r="G113" s="1"/>
  <c r="E32" i="38"/>
  <c r="E10" i="8"/>
  <c r="E12"/>
  <c r="G32" i="38"/>
  <c r="D65" i="8"/>
  <c r="D118"/>
  <c r="D112" i="44"/>
  <c r="D64"/>
  <c r="F32" i="38" l="1"/>
  <c r="K75" i="20"/>
  <c r="G76"/>
  <c r="G79" s="1"/>
  <c r="E39" i="10"/>
  <c r="E40" s="1"/>
  <c r="E61" i="17"/>
  <c r="G74"/>
  <c r="E56" i="8"/>
  <c r="G119" s="1"/>
  <c r="E61" i="10"/>
  <c r="E78" s="1"/>
  <c r="G74"/>
  <c r="G52" i="42"/>
  <c r="E27"/>
  <c r="G112" i="44"/>
  <c r="D130"/>
  <c r="B116" s="1"/>
  <c r="E6"/>
  <c r="E55" s="1"/>
  <c r="G118" i="8"/>
  <c r="E6"/>
  <c r="D137"/>
  <c r="B122" s="1"/>
  <c r="E57" l="1"/>
  <c r="E65" s="1"/>
  <c r="G35" i="10"/>
  <c r="G36" s="1"/>
  <c r="G39" s="1"/>
  <c r="E24" i="3"/>
  <c r="E19" i="10"/>
  <c r="G19" i="27"/>
  <c r="H19"/>
  <c r="G43" i="10" s="1"/>
  <c r="F24" i="3"/>
  <c r="E79" i="10"/>
  <c r="E80" s="1"/>
  <c r="E64" i="44"/>
  <c r="K35" i="10" l="1"/>
  <c r="E59"/>
  <c r="E25" i="3"/>
  <c r="F25" s="1"/>
  <c r="G75" i="10"/>
  <c r="G20" i="27"/>
  <c r="H20" s="1"/>
  <c r="G83" i="10" s="1"/>
  <c r="K75" l="1"/>
  <c r="G76"/>
  <c r="G79" s="1"/>
  <c r="D24" i="49" l="1"/>
  <c r="D22"/>
  <c r="E22" s="1"/>
  <c r="E70" i="17" s="1"/>
  <c r="E73" s="1"/>
  <c r="D20" i="49"/>
  <c r="D18"/>
  <c r="D16"/>
  <c r="E16" s="1"/>
  <c r="E70" i="14" s="1"/>
  <c r="E73" s="1"/>
  <c r="D14" i="49"/>
  <c r="E14" s="1"/>
  <c r="E70" i="13" s="1"/>
  <c r="E73" s="1"/>
  <c r="D12" i="49"/>
  <c r="E12" s="1"/>
  <c r="E70" i="12" s="1"/>
  <c r="E73" s="1"/>
  <c r="D13" i="49"/>
  <c r="E13" s="1"/>
  <c r="E30" i="13" s="1"/>
  <c r="E33" s="1"/>
  <c r="D23" i="49"/>
  <c r="E23" s="1"/>
  <c r="E30" i="18" s="1"/>
  <c r="E33" s="1"/>
  <c r="D19" i="49"/>
  <c r="D21"/>
  <c r="E21" s="1"/>
  <c r="E30" i="17" s="1"/>
  <c r="E33" s="1"/>
  <c r="D15" i="49"/>
  <c r="E15" s="1"/>
  <c r="E30" i="14" s="1"/>
  <c r="E33" s="1"/>
  <c r="D25" i="49"/>
  <c r="D17"/>
  <c r="E17" s="1"/>
  <c r="E30" i="15" s="1"/>
  <c r="E33" s="1"/>
  <c r="D11" i="49"/>
  <c r="E11"/>
  <c r="E30" i="12" s="1"/>
  <c r="E33" s="1"/>
  <c r="E20" i="49"/>
  <c r="E70" i="16" s="1"/>
  <c r="E73" s="1"/>
  <c r="E19" i="49"/>
  <c r="E30" i="16" s="1"/>
  <c r="E33" s="1"/>
  <c r="E18" i="49"/>
  <c r="E70" i="15" s="1"/>
  <c r="E73" s="1"/>
  <c r="E25" i="49"/>
  <c r="E30" i="19" s="1"/>
  <c r="E33" s="1"/>
  <c r="E24" i="49"/>
  <c r="E70" i="18" s="1"/>
  <c r="E73" s="1"/>
  <c r="E72" l="1"/>
  <c r="F34" i="27"/>
  <c r="E77" i="18"/>
  <c r="E78" s="1"/>
  <c r="F76"/>
  <c r="D39" i="3"/>
  <c r="F36" i="17"/>
  <c r="D36" i="3"/>
  <c r="E37" i="17"/>
  <c r="E38" s="1"/>
  <c r="E32"/>
  <c r="F31" i="27"/>
  <c r="D27" i="3"/>
  <c r="F76" i="12"/>
  <c r="E77"/>
  <c r="E78" s="1"/>
  <c r="F22" i="27"/>
  <c r="E72" i="12"/>
  <c r="F76" i="15"/>
  <c r="D33" i="3"/>
  <c r="E72" i="15"/>
  <c r="F28" i="27"/>
  <c r="E77" i="15"/>
  <c r="E78" s="1"/>
  <c r="F36" i="18"/>
  <c r="D38" i="3"/>
  <c r="E37" i="18"/>
  <c r="E38" s="1"/>
  <c r="E32"/>
  <c r="F33" i="27"/>
  <c r="F36" i="15"/>
  <c r="E32"/>
  <c r="D32" i="3"/>
  <c r="F27" i="27"/>
  <c r="E37" i="15"/>
  <c r="E38" s="1"/>
  <c r="D37" i="3"/>
  <c r="F76" i="17"/>
  <c r="F32" i="27"/>
  <c r="E72" i="17"/>
  <c r="E77"/>
  <c r="E78" s="1"/>
  <c r="E72" i="14"/>
  <c r="F76"/>
  <c r="E77"/>
  <c r="E78" s="1"/>
  <c r="D31" i="3"/>
  <c r="F26" i="27"/>
  <c r="D40" i="3"/>
  <c r="E32" i="19"/>
  <c r="E37"/>
  <c r="E38" s="1"/>
  <c r="F35" i="27"/>
  <c r="F36" i="19"/>
  <c r="D30" i="3"/>
  <c r="F36" i="14"/>
  <c r="E37"/>
  <c r="E38" s="1"/>
  <c r="E32"/>
  <c r="F25" i="27"/>
  <c r="F29"/>
  <c r="D34" i="3"/>
  <c r="E37" i="16"/>
  <c r="E38" s="1"/>
  <c r="F36"/>
  <c r="E32"/>
  <c r="D29" i="3"/>
  <c r="E72" i="13"/>
  <c r="F76"/>
  <c r="F24" i="27"/>
  <c r="E77" i="13"/>
  <c r="E78" s="1"/>
  <c r="F30" i="27"/>
  <c r="F76" i="16"/>
  <c r="E77"/>
  <c r="E78" s="1"/>
  <c r="E72"/>
  <c r="D35" i="3"/>
  <c r="F36" i="13"/>
  <c r="D28" i="3"/>
  <c r="E37" i="13"/>
  <c r="E38" s="1"/>
  <c r="E32"/>
  <c r="F23" i="27"/>
  <c r="D26" i="3"/>
  <c r="F21" i="27"/>
  <c r="E32" i="12"/>
  <c r="F36"/>
  <c r="E37"/>
  <c r="E38" s="1"/>
  <c r="E39" l="1"/>
  <c r="E40" s="1"/>
  <c r="E79" i="16"/>
  <c r="E80" s="1"/>
  <c r="E39"/>
  <c r="E40" s="1"/>
  <c r="E39" i="19"/>
  <c r="E40" s="1"/>
  <c r="E79" i="17"/>
  <c r="G75" s="1"/>
  <c r="E39" i="18"/>
  <c r="E79" i="12"/>
  <c r="G75" s="1"/>
  <c r="E79" i="18"/>
  <c r="E80" s="1"/>
  <c r="E39" i="13"/>
  <c r="G35" s="1"/>
  <c r="E79"/>
  <c r="G75" s="1"/>
  <c r="E39" i="14"/>
  <c r="G35" s="1"/>
  <c r="E79"/>
  <c r="G75" s="1"/>
  <c r="E39" i="15"/>
  <c r="G35" s="1"/>
  <c r="E79"/>
  <c r="E80" s="1"/>
  <c r="E39" i="17"/>
  <c r="G35" s="1"/>
  <c r="E80" l="1"/>
  <c r="G35" i="18"/>
  <c r="E40"/>
  <c r="E59" i="15"/>
  <c r="E33" i="3"/>
  <c r="F33"/>
  <c r="G28" i="27"/>
  <c r="H28"/>
  <c r="G83" i="15" s="1"/>
  <c r="E34" i="3"/>
  <c r="E19" i="16"/>
  <c r="F34" i="3"/>
  <c r="G29" i="27"/>
  <c r="H29"/>
  <c r="G43" i="16" s="1"/>
  <c r="F26" i="3"/>
  <c r="E26"/>
  <c r="G21" i="27"/>
  <c r="E19" i="12"/>
  <c r="H21" i="27"/>
  <c r="E40" i="3"/>
  <c r="F40"/>
  <c r="E19" i="19"/>
  <c r="G35" i="27"/>
  <c r="H35"/>
  <c r="G43" i="19" s="1"/>
  <c r="G30" i="27"/>
  <c r="E35" i="3"/>
  <c r="F35"/>
  <c r="E59" i="16"/>
  <c r="H30" i="27"/>
  <c r="G83" i="16" s="1"/>
  <c r="G36" i="17"/>
  <c r="G39" s="1"/>
  <c r="G36" i="15"/>
  <c r="G39" s="1"/>
  <c r="G36" i="14"/>
  <c r="G39" s="1"/>
  <c r="G36" i="18"/>
  <c r="G39" s="1"/>
  <c r="K75" i="17"/>
  <c r="G76"/>
  <c r="G79" s="1"/>
  <c r="E40"/>
  <c r="E40" i="15"/>
  <c r="E80" i="14"/>
  <c r="E40"/>
  <c r="E80" i="13"/>
  <c r="K75" s="1"/>
  <c r="E40"/>
  <c r="G75" i="18"/>
  <c r="E80" i="12"/>
  <c r="K75" i="14"/>
  <c r="G76"/>
  <c r="G79" s="1"/>
  <c r="G76" i="13"/>
  <c r="G79" s="1"/>
  <c r="G36"/>
  <c r="G39" s="1"/>
  <c r="E39" i="3"/>
  <c r="F39"/>
  <c r="E59" i="18"/>
  <c r="G34" i="27"/>
  <c r="H34" s="1"/>
  <c r="G83" i="18" s="1"/>
  <c r="K75" i="12"/>
  <c r="G76"/>
  <c r="G79" s="1"/>
  <c r="E38" i="3"/>
  <c r="F38" s="1"/>
  <c r="E19" i="18"/>
  <c r="G33" i="27"/>
  <c r="H33" s="1"/>
  <c r="G43" i="18" s="1"/>
  <c r="G32" i="27"/>
  <c r="E37" i="3"/>
  <c r="F37" s="1"/>
  <c r="E59" i="17"/>
  <c r="H32" i="27"/>
  <c r="G83" i="17" s="1"/>
  <c r="G75" i="15"/>
  <c r="G35" i="19"/>
  <c r="G35" i="16"/>
  <c r="G75"/>
  <c r="G35" i="12"/>
  <c r="K35" i="18" l="1"/>
  <c r="G36" i="12"/>
  <c r="G39" s="1"/>
  <c r="K35"/>
  <c r="G76" i="15"/>
  <c r="G79" s="1"/>
  <c r="K75"/>
  <c r="E59" i="12"/>
  <c r="G22" i="27"/>
  <c r="E27" i="3"/>
  <c r="F27" s="1"/>
  <c r="H22" i="27"/>
  <c r="G83" i="12" s="1"/>
  <c r="E28" i="3"/>
  <c r="F28" s="1"/>
  <c r="E19" i="13"/>
  <c r="G23" i="27"/>
  <c r="H23" s="1"/>
  <c r="G25"/>
  <c r="H25" s="1"/>
  <c r="G43" i="14" s="1"/>
  <c r="E19"/>
  <c r="E30" i="3"/>
  <c r="F30" s="1"/>
  <c r="G27" i="27"/>
  <c r="E32" i="3"/>
  <c r="F32" s="1"/>
  <c r="E19" i="15"/>
  <c r="H27" i="27"/>
  <c r="G43" i="15" s="1"/>
  <c r="G43" i="12"/>
  <c r="K35" i="16"/>
  <c r="G36"/>
  <c r="G39" s="1"/>
  <c r="K75"/>
  <c r="G76"/>
  <c r="G79" s="1"/>
  <c r="K35" i="19"/>
  <c r="G36"/>
  <c r="G39" s="1"/>
  <c r="K75" i="18"/>
  <c r="G76"/>
  <c r="G79" s="1"/>
  <c r="G24" i="27"/>
  <c r="H24" s="1"/>
  <c r="G83" i="13" s="1"/>
  <c r="E29" i="3"/>
  <c r="F29" s="1"/>
  <c r="E59" i="13"/>
  <c r="E59" i="14"/>
  <c r="G26" i="27"/>
  <c r="H26" s="1"/>
  <c r="G83" i="14" s="1"/>
  <c r="E31" i="3"/>
  <c r="F31" s="1"/>
  <c r="G31" i="27"/>
  <c r="H31" s="1"/>
  <c r="G43" i="17" s="1"/>
  <c r="E19"/>
  <c r="E36" i="3"/>
  <c r="F36" s="1"/>
  <c r="K35" i="13"/>
  <c r="K35" i="14"/>
  <c r="K35" i="15"/>
  <c r="K35" i="17"/>
  <c r="G43" i="13" l="1"/>
  <c r="D8" i="49"/>
  <c r="E8" s="1"/>
  <c r="E108" i="44" s="1"/>
  <c r="E111" s="1"/>
  <c r="F114" s="1"/>
  <c r="C31" i="49"/>
  <c r="D7"/>
  <c r="D6"/>
  <c r="E7"/>
  <c r="E47" i="42" s="1"/>
  <c r="E50" s="1"/>
  <c r="D31" i="49" l="1"/>
  <c r="E6"/>
  <c r="E114" i="8" s="1"/>
  <c r="E117" s="1"/>
  <c r="E116" s="1"/>
  <c r="E49" i="42"/>
  <c r="F53"/>
  <c r="D22" i="3"/>
  <c r="F17" i="27"/>
  <c r="E54" i="42"/>
  <c r="E55" s="1"/>
  <c r="D23" i="3"/>
  <c r="F18" i="27"/>
  <c r="E115" i="44"/>
  <c r="E116" s="1"/>
  <c r="E110"/>
  <c r="F120" i="8" l="1"/>
  <c r="D21" i="3"/>
  <c r="D66" s="1"/>
  <c r="E31" i="49"/>
  <c r="F16" i="27"/>
  <c r="E121" i="8"/>
  <c r="E122" s="1"/>
  <c r="E123" s="1"/>
  <c r="G120" s="1"/>
  <c r="F61" i="27"/>
  <c r="F63" s="1"/>
  <c r="E117" i="44"/>
  <c r="G114" s="1"/>
  <c r="E56" i="42"/>
  <c r="G53" s="1"/>
  <c r="E57" l="1"/>
  <c r="E22" i="3" s="1"/>
  <c r="F22" s="1"/>
  <c r="G115" i="44"/>
  <c r="G118" s="1"/>
  <c r="G121" i="8"/>
  <c r="G124" s="1"/>
  <c r="G54" i="42"/>
  <c r="G57" s="1"/>
  <c r="K53"/>
  <c r="E118" i="44"/>
  <c r="K114" s="1"/>
  <c r="E124" i="8"/>
  <c r="G16" i="27" s="1"/>
  <c r="E25" i="42" l="1"/>
  <c r="G17" i="27"/>
  <c r="H17" s="1"/>
  <c r="G61" i="42" s="1"/>
  <c r="J33" i="33"/>
  <c r="J35" s="1"/>
  <c r="E53" i="44"/>
  <c r="G18" i="27"/>
  <c r="H18" s="1"/>
  <c r="G122" i="44" s="1"/>
  <c r="E23" i="3"/>
  <c r="F23" s="1"/>
  <c r="E55" i="8"/>
  <c r="G61" i="27"/>
  <c r="E21" i="3"/>
  <c r="K120" i="8"/>
  <c r="H16" i="27" l="1"/>
  <c r="M63"/>
  <c r="M65" s="1"/>
  <c r="M72"/>
  <c r="E66" i="3"/>
  <c r="E69" s="1"/>
  <c r="F21"/>
  <c r="F66" s="1"/>
  <c r="G128" i="8" l="1"/>
  <c r="H61" i="27"/>
  <c r="M59"/>
  <c r="J59" s="1"/>
  <c r="M58"/>
  <c r="J58" s="1"/>
  <c r="G45" i="13" l="1"/>
  <c r="G85" i="16"/>
  <c r="G124" i="44"/>
  <c r="G85" i="17"/>
  <c r="G45" i="16"/>
  <c r="G45" i="12"/>
  <c r="G130" i="8"/>
  <c r="M69" i="27"/>
  <c r="G63" i="42"/>
  <c r="G45" i="19"/>
  <c r="G45" i="17"/>
  <c r="G85" i="12"/>
  <c r="G85" i="13"/>
  <c r="G45" i="14"/>
  <c r="G85" i="21"/>
  <c r="G45"/>
  <c r="G85" i="20"/>
  <c r="G85" i="15"/>
  <c r="G45" i="20"/>
  <c r="G85" i="14"/>
  <c r="G85" i="10"/>
  <c r="G45" i="15"/>
  <c r="G45" i="18"/>
  <c r="G45" i="10"/>
  <c r="G85" i="18"/>
  <c r="G85" i="19"/>
</calcChain>
</file>

<file path=xl/sharedStrings.xml><?xml version="1.0" encoding="utf-8"?>
<sst xmlns="http://schemas.openxmlformats.org/spreadsheetml/2006/main" count="2779" uniqueCount="1083">
  <si>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</si>
  <si>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</si>
  <si>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</si>
  <si>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</si>
  <si>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</si>
  <si>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</si>
  <si>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</si>
  <si>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Expenditures from detail page:</t>
  </si>
  <si>
    <t>Other County</t>
  </si>
  <si>
    <t>Special District Funds</t>
  </si>
  <si>
    <t xml:space="preserve">Other County </t>
  </si>
  <si>
    <t>CERTIFICATE (2)</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</si>
  <si>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</si>
  <si>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</si>
  <si>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</si>
  <si>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</si>
  <si>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</si>
  <si>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</si>
  <si>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</si>
  <si>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</si>
  <si>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</si>
  <si>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</si>
  <si>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</si>
  <si>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</si>
  <si>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</si>
  <si>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 (D)</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</si>
  <si>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</si>
  <si>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</si>
  <si>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</si>
  <si>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</si>
  <si>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</si>
  <si>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r>
      <t>**</t>
    </r>
    <r>
      <rPr>
        <sz val="12"/>
        <rFont val="Times New Roman"/>
        <family val="1"/>
      </rPr>
      <t xml:space="preserve"> Note: The Total Detail Expenditures amounts should agree to Road Subtotal amounts.</t>
    </r>
  </si>
  <si>
    <r>
      <t>Total Detail Expenditures</t>
    </r>
    <r>
      <rPr>
        <sz val="12"/>
        <color indexed="10"/>
        <rFont val="Times New Roman"/>
        <family val="1"/>
      </rPr>
      <t>**</t>
    </r>
  </si>
  <si>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</si>
  <si>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</si>
  <si>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</si>
  <si>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</si>
  <si>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Read these instructions carefully.  If after reviewing them you still have questions, call Municipal Services at 785-296-2311 or e-mail : armunis@da.ks.gov</t>
  </si>
  <si>
    <t>All dollar amounts should be rounded to whole dollars (do not record cents).</t>
  </si>
  <si>
    <t>The blue areas indicated where the information comes from to complete the section input.</t>
  </si>
  <si>
    <t xml:space="preserve">3. Hard coded the Bond &amp; Interest, and Road &amp; Bridge on Certificate and Summary pages. </t>
  </si>
  <si>
    <t xml:space="preserve">7. Now have the indebtedness prior year added to the input page and link with the budget summary page. </t>
  </si>
  <si>
    <t>10. Changed the Budget Summary Heading to include Actual/Estimate/Proposed with the budget year.</t>
  </si>
  <si>
    <t>11. Changed the delinquency rate formula for all levy funds.</t>
  </si>
  <si>
    <t>16. Add total section for Schedule of Transfers and linked the total to the Budget Summary page.</t>
  </si>
  <si>
    <t>17. Added column to show when debt retired on the Indebtedness page.</t>
  </si>
  <si>
    <t>18. Certificate (2) added (2) after Certificate at top of page, removed the certification at the top, and added column for Nov 1 valuation.</t>
  </si>
  <si>
    <t>21. On the Budget Summary page (2) added column for July1 valuation and computation to compute mil rates.</t>
  </si>
  <si>
    <t>20. Added 4 non-budgeted pages for 20 non-budgeted funds.</t>
  </si>
  <si>
    <t>Budget Summary</t>
  </si>
  <si>
    <t>xxxxx</t>
  </si>
  <si>
    <t>Resolution</t>
  </si>
  <si>
    <t>Is a Resolution required?</t>
  </si>
  <si>
    <t>22. Added Resolution statement on Certificate page.</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</si>
  <si>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</si>
  <si>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</si>
  <si>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 Added page number on the Resolution page.</t>
  </si>
  <si>
    <t>8. Added Resolution statement on Certificate page.</t>
  </si>
  <si>
    <t>Note:  All amounts are to be entered in as whole numbers only.</t>
  </si>
  <si>
    <t>23. Added computation to Certificate page 2 to comp mil rates.</t>
  </si>
  <si>
    <t>24. Added note on General and Road detail pages to ensure the General and Road subtotals are in agreement.</t>
  </si>
  <si>
    <t>**</t>
  </si>
  <si>
    <t>**Note: These two block figures should agree.</t>
  </si>
  <si>
    <t>25. Added to instructions about non-appropriated balance limited to 5%.</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</si>
  <si>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</si>
  <si>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29. Added Slider to the Vehicle Allocation table and linked to fund pages.</t>
  </si>
  <si>
    <t>xxxxxxxxxxxxxxxxxxxx</t>
  </si>
  <si>
    <t>30. Added to all budgeted fund pages the budget authority for the actual year, budget violation, and cash violation.</t>
  </si>
  <si>
    <t>31. Added instruction on the addition for item 30.</t>
  </si>
  <si>
    <t>Funds</t>
  </si>
  <si>
    <t xml:space="preserve">expenditure amounts should reflect the amended </t>
  </si>
  <si>
    <t>expenditure amounts.</t>
  </si>
  <si>
    <t xml:space="preserve">Tax Levy Rate </t>
  </si>
  <si>
    <t>Miscellaneous</t>
  </si>
  <si>
    <t>Does miscellaneous exceed 10% of Total Receipts</t>
  </si>
  <si>
    <t>Neighborhood Revitalization Rebate</t>
  </si>
  <si>
    <t>Does miscellaneous exceed 10% of Total Expenditure</t>
  </si>
  <si>
    <t xml:space="preserve">The worksheets are named (see the tab) in each budget workbook.  We will identify the worksheet by referencing the tab in parentheses (i.e. General Fund reference would be 'general').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</si>
  <si>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</si>
  <si>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</si>
  <si>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Red areas are for notes or indicate a problem area that will need possible corrective action taken.</t>
  </si>
  <si>
    <t>All of the county's budgets should be submitted to Municipal Services by December 1.</t>
  </si>
  <si>
    <r>
      <t xml:space="preserve">Completed budgets may be submitted to Municipal Services on 3.5 computer disk, CD, or as an attachment to an email.  If submitting by email, please mail to the following address: </t>
    </r>
    <r>
      <rPr>
        <u/>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</si>
  <si>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</si>
  <si>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Cash Balance Jan 1</t>
  </si>
  <si>
    <t>Budget Summary2</t>
  </si>
  <si>
    <t>35. Added 'excluding oil, gas, and mobile homes' to lines 7 and 9 on Clerks budget info on tab inputoth.</t>
  </si>
  <si>
    <t>***If you are merely leasing/renting with no intent to purchase, do not list--such transactions are not lease-purchases.</t>
  </si>
  <si>
    <t>34. Expanded on the preparation of budget note 11 for instructions for the Notice of Budget Hearing.</t>
  </si>
  <si>
    <t>The following were changed to this spreadsheet on 5/08/2008</t>
  </si>
  <si>
    <r>
      <t>1. Change all the Non-Budgeted Funds forms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</si>
  <si>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</si>
  <si>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3. The revision date was changed.</t>
  </si>
  <si>
    <t>The following were changed to this spreadsheet on 7/01/08</t>
  </si>
  <si>
    <t>2. Changed the formula for unencumbered cash balances for NonBudA to NonBudD to show a negative balance.</t>
  </si>
  <si>
    <t>3. Added box under unencumbered cash balance for NonBudA to NonBudD to reflect a negative ending cash balance.</t>
  </si>
  <si>
    <t>1. Added instructions to 9d for the NonBudA to NonBudD tabs explaining about negative cash balance.</t>
  </si>
  <si>
    <t xml:space="preserve">Ad Valorem Tax </t>
  </si>
  <si>
    <t xml:space="preserve">County.xls spreadsheet has General Fund, Debt Service, Road &amp; Bridge, 22 levy fund pages, 16 no levy fund pages, and 20 non-budgeted funds. </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</si>
  <si>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</si>
  <si>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</si>
  <si>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</si>
  <si>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</si>
  <si>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</si>
  <si>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</si>
  <si>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</si>
  <si>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</si>
  <si>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</si>
  <si>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</si>
  <si>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</si>
  <si>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9c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</si>
  <si>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</si>
  <si>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</si>
  <si>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</si>
  <si>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</si>
  <si>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Added instruction lines 9h to 9j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</si>
  <si>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</si>
  <si>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</si>
  <si>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</si>
  <si>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9/04/08</t>
  </si>
  <si>
    <t>Budget Summary Page</t>
  </si>
  <si>
    <t>27. Added Neighborhood Revitalization table and linked to the tax levy fund pages.</t>
  </si>
  <si>
    <t>32. Added 'miscellaneous' category to the receipt/expenditure for all fund pages and set error message.</t>
  </si>
  <si>
    <t>33. Added to the instruction about correct the error message for the miscellaneous.</t>
  </si>
  <si>
    <t>9. Added Neighborhood Revitalization, LAVTR, City and County Revenue Sharing, and Slider to the input page and to the General Fund page. Added NR to each tax levy fund page.</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</si>
  <si>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</si>
  <si>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</si>
  <si>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</si>
  <si>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</si>
  <si>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</si>
  <si>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</si>
  <si>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</si>
  <si>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</si>
  <si>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</si>
  <si>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</si>
  <si>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</si>
  <si>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</si>
  <si>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</si>
  <si>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</si>
  <si>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</si>
  <si>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</si>
  <si>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</si>
  <si>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</si>
  <si>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</si>
  <si>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</si>
  <si>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</si>
  <si>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</si>
  <si>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</si>
  <si>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</si>
  <si>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</si>
  <si>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</si>
  <si>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Mental Health</t>
  </si>
  <si>
    <t>TOTAL</t>
  </si>
  <si>
    <t>County Treas Motor Vehicle Estimate</t>
  </si>
  <si>
    <t>County Treasurers Recreational Vehicle Estimate</t>
  </si>
  <si>
    <t>Motor Vehicle Factor</t>
  </si>
  <si>
    <t>MVT</t>
  </si>
  <si>
    <t>Totals</t>
  </si>
  <si>
    <t>District Court</t>
  </si>
  <si>
    <t>Adopted Budget</t>
  </si>
  <si>
    <t>Ad Valorem Tax</t>
  </si>
  <si>
    <t>Delinquent Tax</t>
  </si>
  <si>
    <t>Motor Vehicle Tax</t>
  </si>
  <si>
    <t>Recreational Vehicle Tax</t>
  </si>
  <si>
    <t>Interest on Idle Funds</t>
  </si>
  <si>
    <t>Total Receipts</t>
  </si>
  <si>
    <t>Resources Available:</t>
  </si>
  <si>
    <t xml:space="preserve">Page No. </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</si>
  <si>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</si>
  <si>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</si>
  <si>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</si>
  <si>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</si>
  <si>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</si>
  <si>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</si>
  <si>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</si>
  <si>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</si>
  <si>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</si>
  <si>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</si>
  <si>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Ambulance</t>
  </si>
  <si>
    <t>Appraisal</t>
  </si>
  <si>
    <t>County Commission</t>
  </si>
  <si>
    <t>County Treasurer</t>
  </si>
  <si>
    <t>Debt Service</t>
  </si>
  <si>
    <t>Economic Development</t>
  </si>
  <si>
    <t>Election</t>
  </si>
  <si>
    <t>Extension Council</t>
  </si>
  <si>
    <t>Register of Deeds</t>
  </si>
  <si>
    <t>Road &amp; Bridge</t>
  </si>
  <si>
    <t>Solid Waste</t>
  </si>
  <si>
    <t>Other</t>
  </si>
  <si>
    <t>Page No.</t>
  </si>
  <si>
    <t xml:space="preserve"> </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</si>
  <si>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</si>
  <si>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</si>
  <si>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</si>
  <si>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</si>
  <si>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</si>
  <si>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</si>
  <si>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</si>
  <si>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</si>
  <si>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</si>
  <si>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</si>
  <si>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</si>
  <si>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</si>
  <si>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</si>
  <si>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</si>
  <si>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</si>
  <si>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</si>
  <si>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</si>
  <si>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</si>
  <si>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</si>
  <si>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</si>
  <si>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</si>
  <si>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</si>
  <si>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</si>
  <si>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</si>
  <si>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</si>
  <si>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</si>
  <si>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</si>
  <si>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</si>
  <si>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</si>
  <si>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</si>
  <si>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</si>
  <si>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</si>
  <si>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</si>
  <si>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</si>
  <si>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</si>
  <si>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</si>
  <si>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</si>
  <si>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</si>
  <si>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</si>
  <si>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</si>
  <si>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</si>
  <si>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</si>
  <si>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</si>
  <si>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</si>
  <si>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 ROAD</t>
  </si>
  <si>
    <t>FUND PAGE - ROAD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</si>
  <si>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</si>
  <si>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</si>
  <si>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</si>
  <si>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</si>
  <si>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</si>
  <si>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</si>
  <si>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</si>
  <si>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</si>
  <si>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</si>
  <si>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</si>
  <si>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</si>
  <si>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</si>
  <si>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</si>
  <si>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</si>
  <si>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</si>
  <si>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</si>
  <si>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</si>
  <si>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</si>
  <si>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</si>
  <si>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</si>
  <si>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</si>
  <si>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</si>
  <si>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</si>
  <si>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</si>
  <si>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</si>
  <si>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</si>
  <si>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</si>
  <si>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</si>
  <si>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</si>
  <si>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</si>
  <si>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</si>
  <si>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</si>
  <si>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</si>
  <si>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</si>
  <si>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</si>
  <si>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</si>
  <si>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</si>
  <si>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</si>
  <si>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</si>
  <si>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</si>
  <si>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</si>
  <si>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</si>
  <si>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</si>
  <si>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</si>
  <si>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</si>
  <si>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</si>
  <si>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</si>
  <si>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</si>
  <si>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</si>
  <si>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</si>
  <si>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</si>
  <si>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</si>
  <si>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</si>
  <si>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</si>
  <si>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</si>
  <si>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</si>
  <si>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</si>
  <si>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Page 7e</t>
  </si>
  <si>
    <t>COUNTY RESOLUTION</t>
  </si>
  <si>
    <t>RESOLUTION NO.__________________</t>
  </si>
  <si>
    <t>Whereas, budgeting, taxing and service level decisions for all county services are the responsibility of the board of county commissioners; and</t>
  </si>
  <si>
    <t>Whereas, the cost of provision of these services continues to increase; and</t>
  </si>
  <si>
    <t>BOARD OF COUNTY COMMISSIONERS</t>
  </si>
  <si>
    <t>___________________________________.</t>
  </si>
  <si>
    <t>ATTEST:</t>
  </si>
  <si>
    <t>________________________________.</t>
  </si>
  <si>
    <t>, County Clerk</t>
  </si>
  <si>
    <t>(Attach a signed copy to the budget)</t>
  </si>
  <si>
    <t xml:space="preserve">                                                                          16/20M Vehicle Factor</t>
  </si>
  <si>
    <t xml:space="preserve">                                         Recreational Vehicle Factor</t>
  </si>
  <si>
    <t>Current</t>
  </si>
  <si>
    <t>Proposed</t>
  </si>
  <si>
    <t>Total - Page 7b</t>
  </si>
  <si>
    <t>Total - Page7c</t>
  </si>
  <si>
    <t>Total - Page7d</t>
  </si>
  <si>
    <t>Total - Page7e</t>
  </si>
  <si>
    <t>Total  - Page 7f</t>
  </si>
  <si>
    <t>Total - Page7b</t>
  </si>
  <si>
    <t>Total - Page 7c</t>
  </si>
  <si>
    <t>Page 7f</t>
  </si>
  <si>
    <t>When the page numbers are changed on the fund pages, the Certificate page will also be changed.</t>
  </si>
  <si>
    <t>County Clerk's Use Only</t>
  </si>
  <si>
    <t>November 1st Valuation</t>
  </si>
  <si>
    <t>Address:</t>
  </si>
  <si>
    <t>County1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</si>
  <si>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</si>
  <si>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</si>
  <si>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</si>
  <si>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</si>
  <si>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</si>
  <si>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</si>
  <si>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</si>
  <si>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</si>
  <si>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10-113</t>
  </si>
  <si>
    <t xml:space="preserve"> Commissioners will be published in the _________ (newspaper).   Interested persons can also address questions concerning the budget to __________ (office) _______ by calling ___________ between the hours of ________ a.m. to ________ p.m., Monday through Fridays, excluding holidays.  </t>
  </si>
  <si>
    <t>Neighborhood Revitalization</t>
  </si>
  <si>
    <t>LAVTR</t>
  </si>
  <si>
    <t>City and County Revenue Sharing</t>
  </si>
  <si>
    <t>Computation of Delinquency</t>
  </si>
  <si>
    <r>
      <t>**</t>
    </r>
    <r>
      <rPr>
        <u/>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</si>
  <si>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</si>
  <si>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</si>
  <si>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</si>
  <si>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</si>
  <si>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</si>
  <si>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</si>
  <si>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</si>
  <si>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</si>
  <si>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</si>
  <si>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</si>
  <si>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t>The following were changed to this spreadsheet on 2/23/09</t>
  </si>
  <si>
    <t>1. Instruction under Submitting Budgets added 79-2926 requires electronic filing of the budget.</t>
  </si>
  <si>
    <t>2. Input other tab line 27 changed from Budget Summary to Budget Certificate.</t>
  </si>
  <si>
    <t xml:space="preserve">K.S.A. 79-2926 requires budgets be submitted by electronic means.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</si>
  <si>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</si>
  <si>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</si>
  <si>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Counties</t>
  </si>
  <si>
    <t>The following were changed to this spreadsheet on 9/23/09</t>
  </si>
  <si>
    <t>1. InputPrYr tab added C13 'If amended….'</t>
  </si>
  <si>
    <t>2.No levypage21 tab add conditional statement to cells c29, c30, and d29</t>
  </si>
  <si>
    <t>3. Added tab 'TransfersStatutes'</t>
  </si>
  <si>
    <t>4. Changed foot note to reflect the changes made on 7/1/08 to the above tabs.</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</si>
  <si>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</si>
  <si>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</si>
  <si>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12. Changed the Certificate page so the county name flows instead of having unneeded spaces.</t>
  </si>
  <si>
    <t>14. Delinquency rate for actual for 3 decimal and note that rate can be up to 5% over the actual rate.</t>
  </si>
  <si>
    <t>15. Computation to Determine Limit changed the note on bottom to include publish ordinance and attach the published ordinance to the budget.</t>
  </si>
  <si>
    <t>19. Budget Summary changed the sentence "will meet…" so the year automatically changes.</t>
  </si>
  <si>
    <t>26. Added warning "Exceeds 5%" on all fund pages for the non-appropriated balance.</t>
  </si>
  <si>
    <t>28. Added Neighborhood Revitalization expenditure block to each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</si>
  <si>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</si>
  <si>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</si>
  <si>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</si>
  <si>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</si>
  <si>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</si>
  <si>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</si>
  <si>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</si>
  <si>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</si>
  <si>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</si>
  <si>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</si>
  <si>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</si>
  <si>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</si>
  <si>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</si>
  <si>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</si>
  <si>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</si>
  <si>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</si>
  <si>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</si>
  <si>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</si>
  <si>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</si>
  <si>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</si>
  <si>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</si>
  <si>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5. Added tab 'NonBudFunds'</t>
  </si>
  <si>
    <t>4. Added tabs A to E for possible violation</t>
  </si>
  <si>
    <t>6. Instructions tab changed cells 9g - j for changes for possible violations on fund pages</t>
  </si>
  <si>
    <t xml:space="preserve">8.  Instructions tab added line 6b to inform about TransferStatutes tab
</t>
  </si>
  <si>
    <t>7. Deleted on all fund pages the 'Yes' and 'No' and replace with see tab for possible violations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</si>
  <si>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</si>
  <si>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</si>
  <si>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</si>
  <si>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</si>
  <si>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</si>
  <si>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</si>
  <si>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</si>
  <si>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</si>
  <si>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</si>
  <si>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</si>
  <si>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</si>
  <si>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</si>
  <si>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</si>
  <si>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NonBud tab changed Net valuation to July 1</t>
  </si>
  <si>
    <t>Valuation Factor:</t>
  </si>
  <si>
    <t>Neighborhood Revitalization Subj to Rebate:</t>
  </si>
  <si>
    <t>Neighborhood Revitalization factor:</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</si>
  <si>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</si>
  <si>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</si>
  <si>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</si>
  <si>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</si>
  <si>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</si>
  <si>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</si>
  <si>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</si>
  <si>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</si>
  <si>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</si>
  <si>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</si>
  <si>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</si>
  <si>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</si>
  <si>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</si>
  <si>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</si>
  <si>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</si>
  <si>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</si>
  <si>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</si>
  <si>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</si>
  <si>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</si>
  <si>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</si>
  <si>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</si>
  <si>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</si>
  <si>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</si>
  <si>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</si>
  <si>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</si>
  <si>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</si>
  <si>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</si>
  <si>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</si>
  <si>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</si>
  <si>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</si>
  <si>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</si>
  <si>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</si>
  <si>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</si>
  <si>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</si>
  <si>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</si>
  <si>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 &amp; bridge</t>
  </si>
  <si>
    <t xml:space="preserve">and noxious weed funds may split contractual services between the two </t>
  </si>
  <si>
    <t xml:space="preserve">funds.  If one of those funds is in trouble, you might be able to </t>
  </si>
  <si>
    <t xml:space="preserve">allocate a little more in contractual services to the healthy fund in </t>
  </si>
  <si>
    <t>order to 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</si>
  <si>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</si>
  <si>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</si>
  <si>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</si>
  <si>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</si>
  <si>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</si>
  <si>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</si>
  <si>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</si>
  <si>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</si>
  <si>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</si>
  <si>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</si>
  <si>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</si>
  <si>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</si>
  <si>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</si>
  <si>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</si>
  <si>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</si>
  <si>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</si>
  <si>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</si>
  <si>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</si>
  <si>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</si>
  <si>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</si>
  <si>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</si>
  <si>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</si>
  <si>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</si>
  <si>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</si>
  <si>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</si>
  <si>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</si>
  <si>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</si>
  <si>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</si>
  <si>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</si>
  <si>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</si>
  <si>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</si>
  <si>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</si>
  <si>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</si>
  <si>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</si>
  <si>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</si>
  <si>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</si>
  <si>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</si>
  <si>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</si>
  <si>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</si>
  <si>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</si>
  <si>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</si>
  <si>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</si>
  <si>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</si>
  <si>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</si>
  <si>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</si>
  <si>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</si>
  <si>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</si>
  <si>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</si>
  <si>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</si>
  <si>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</si>
  <si>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</si>
  <si>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</si>
  <si>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</si>
  <si>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</si>
  <si>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</si>
  <si>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</si>
  <si>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</si>
  <si>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</si>
  <si>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</si>
  <si>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</si>
  <si>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</si>
  <si>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</si>
  <si>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</si>
  <si>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</si>
  <si>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</si>
  <si>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</si>
  <si>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</si>
  <si>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</si>
  <si>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</si>
  <si>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</si>
  <si>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</si>
  <si>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</si>
  <si>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</si>
  <si>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</si>
  <si>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</si>
  <si>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</si>
  <si>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</si>
  <si>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</si>
  <si>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</si>
  <si>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</si>
  <si>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</si>
  <si>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</si>
  <si>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</si>
  <si>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</si>
  <si>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</si>
  <si>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</si>
  <si>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</si>
  <si>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</si>
  <si>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</si>
  <si>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</si>
  <si>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</si>
  <si>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</si>
  <si>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</si>
  <si>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</si>
  <si>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</si>
  <si>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</si>
  <si>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</si>
  <si>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</si>
  <si>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</si>
  <si>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</si>
  <si>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</si>
  <si>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</si>
  <si>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</si>
  <si>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</si>
  <si>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</si>
  <si>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</si>
  <si>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</si>
  <si>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 xml:space="preserve">funds.  If one of those funds is in trouble you might be able to </t>
  </si>
  <si>
    <t>order to 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</si>
  <si>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</si>
  <si>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</si>
  <si>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</si>
  <si>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</si>
  <si>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</si>
  <si>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</si>
  <si>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</si>
  <si>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</si>
  <si>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</si>
  <si>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</si>
  <si>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</si>
  <si>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</si>
  <si>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</si>
  <si>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</si>
  <si>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</si>
  <si>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</si>
  <si>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</si>
  <si>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</si>
  <si>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</si>
  <si>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</si>
  <si>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</si>
  <si>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</si>
  <si>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</si>
  <si>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</si>
  <si>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</si>
  <si>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</si>
  <si>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</si>
  <si>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</si>
  <si>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</si>
  <si>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</si>
  <si>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</si>
  <si>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</si>
  <si>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</si>
  <si>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</si>
  <si>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</si>
  <si>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</si>
  <si>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</si>
  <si>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</si>
  <si>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</si>
  <si>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</si>
  <si>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</si>
  <si>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</si>
  <si>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</si>
  <si>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</si>
  <si>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</si>
  <si>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</si>
  <si>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</si>
  <si>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</si>
  <si>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</si>
  <si>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</si>
  <si>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</si>
  <si>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</si>
  <si>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</si>
  <si>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</si>
  <si>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</si>
  <si>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</si>
  <si>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</si>
  <si>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</si>
  <si>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</si>
  <si>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</si>
  <si>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</si>
  <si>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</si>
  <si>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</si>
  <si>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</si>
  <si>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</si>
  <si>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</si>
  <si>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</si>
  <si>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</si>
  <si>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</si>
  <si>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</si>
  <si>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</si>
  <si>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</si>
  <si>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</si>
  <si>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Submitting the Budget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</si>
  <si>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</si>
  <si>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</si>
  <si>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</si>
  <si>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</si>
  <si>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</si>
  <si>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</si>
  <si>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</si>
  <si>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</si>
  <si>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r>
      <t xml:space="preserve">5b. Print the Resolution page (resolution) if the max levy is exceeded.  Complete the printed resolution and ensure to attached it the budget. </t>
    </r>
    <r>
      <rPr>
        <b/>
        <sz val="12"/>
        <rFont val="Times New Roman"/>
        <family val="1"/>
      </rPr>
      <t>Ensure to number the page</t>
    </r>
    <r>
      <rPr>
        <sz val="12"/>
        <rFont val="Times New Roman"/>
        <family val="1"/>
      </rPr>
      <t>.</t>
    </r>
  </si>
  <si>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</si>
  <si>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on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</si>
  <si>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lease period the lease is owned by the county.  Principal Balance Due for the actual year is linked on the Budget Summary page. </t>
    </r>
    <r>
      <rPr>
        <b/>
        <sz val="12"/>
        <rFont val="Times New Roman"/>
        <family val="1"/>
      </rPr>
      <t>If the county does not have any leases, then on the first line enter 'none'.</t>
    </r>
  </si>
  <si>
    <t>10.  The spreadsheet has individual fund sheets for General Fund (general), Debt Service (DebtService), Road &amp; Bridge, 22 levy pages (levy page10 and levy page20), 10 no levy fund pages (nolevypage21 to nolevypage28), and 4 non-budgeted tab which allows for 20 non-budgeted funds.  Only complete the fund pages needed.  When the fund pages are completed, the totals will be linked to the Certificate and Budget Summary pages.</t>
  </si>
  <si>
    <r>
      <t xml:space="preserve">11.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</si>
  <si>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</si>
  <si>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</si>
  <si>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</si>
  <si>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</si>
  <si>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</si>
  <si>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</si>
  <si>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the Neighborhood Revitalization Rebate table.</t>
  </si>
  <si>
    <t>The following were changed to this spreadsheet on 12/28/09</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</si>
  <si>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</si>
  <si>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</si>
  <si>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</si>
  <si>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</si>
  <si>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</si>
  <si>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</si>
  <si>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</si>
  <si>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</si>
  <si>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</si>
  <si>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</si>
  <si>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</si>
  <si>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</si>
  <si>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</si>
  <si>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</si>
  <si>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in the appropriate locations.  If any of the numbers are wrong, change them on this input sheet.</t>
  </si>
  <si>
    <t xml:space="preserve">Enter the following information from the sources shown.  This information will be  entered on the budget forms </t>
  </si>
  <si>
    <t>The following were changed to this spreadsheet on 6/29/10</t>
  </si>
  <si>
    <t>1. Road tab, changed the delinquency % cell reference from E23 to E24</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</si>
  <si>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</si>
  <si>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</si>
  <si>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</si>
  <si>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</si>
  <si>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</si>
  <si>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</si>
  <si>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Does miscellaneous exceed 10% of Total Exp</t>
  </si>
  <si>
    <t>Does miscellaneous exceed 10% of Total Rec</t>
  </si>
  <si>
    <t xml:space="preserve">Road &amp; Bridge Fund </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</si>
  <si>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</si>
  <si>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</si>
  <si>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</si>
  <si>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</si>
  <si>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</si>
  <si>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</si>
  <si>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</si>
  <si>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</si>
  <si>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</si>
  <si>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The following were changed to this spreadsheet on 9/23/10</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</si>
  <si>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</si>
  <si>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</si>
  <si>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</si>
  <si>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</si>
  <si>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</si>
  <si>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</si>
  <si>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</si>
  <si>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</si>
  <si>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</si>
  <si>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</si>
  <si>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</si>
  <si>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</si>
  <si>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</si>
  <si>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</si>
  <si>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</si>
  <si>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</si>
  <si>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</si>
  <si>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</si>
  <si>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</si>
  <si>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</si>
  <si>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</si>
  <si>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22. Added page no. to all tabs at the bottom of each page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</si>
  <si>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</si>
  <si>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</si>
  <si>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</si>
  <si>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</si>
  <si>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</si>
  <si>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</si>
  <si>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</si>
  <si>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</si>
  <si>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</si>
  <si>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</si>
  <si>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</si>
  <si>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</si>
  <si>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</si>
  <si>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</si>
  <si>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</si>
  <si>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</si>
  <si>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</si>
  <si>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</si>
  <si>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</si>
  <si>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</si>
  <si>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</si>
  <si>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</si>
  <si>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</si>
  <si>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</si>
  <si>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</si>
  <si>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</si>
  <si>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</si>
  <si>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</si>
  <si>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</si>
  <si>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</si>
  <si>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</si>
  <si>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</si>
  <si>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</si>
  <si>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</si>
  <si>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</si>
  <si>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</si>
  <si>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</si>
  <si>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</si>
  <si>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</si>
  <si>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</si>
  <si>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</si>
  <si>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</si>
  <si>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</si>
  <si>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</si>
  <si>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</si>
  <si>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</si>
  <si>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</si>
  <si>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</si>
  <si>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</si>
  <si>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</si>
  <si>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</si>
  <si>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</si>
  <si>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</si>
  <si>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</si>
  <si>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</si>
  <si>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</si>
  <si>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</si>
  <si>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</si>
  <si>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</si>
  <si>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</si>
  <si>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</si>
  <si>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</si>
  <si>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</si>
  <si>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</si>
  <si>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</si>
  <si>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</si>
  <si>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</si>
  <si>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</si>
  <si>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</si>
  <si>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</si>
  <si>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</si>
  <si>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</si>
  <si>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</si>
  <si>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</si>
  <si>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</si>
  <si>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</si>
  <si>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</si>
  <si>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</si>
  <si>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 </t>
    </r>
    <r>
      <rPr>
        <b/>
        <sz val="12"/>
        <rFont val="Times New Roman"/>
        <family val="1"/>
      </rPr>
      <t/>
    </r>
  </si>
  <si>
    <t xml:space="preserve">2. The information entered into the Input Other (inputOth) worksheet is obtained from the County Clerk, County Treasurer, and the budget from two years ago(the year for actual year column for the current budget).  After the information has been entered, please verify the data is correct. </t>
  </si>
  <si>
    <r>
      <t>14.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</si>
  <si>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</si>
  <si>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</si>
  <si>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</si>
  <si>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</si>
  <si>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</si>
  <si>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</si>
  <si>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</si>
  <si>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</si>
  <si>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</si>
  <si>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</si>
  <si>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</si>
  <si>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The following were changed to this spreadsheet on 4/19/11</t>
  </si>
  <si>
    <t>1. Summ tabs changed proposed year expenditure column to 'Budget Authority for Expenditures'</t>
  </si>
  <si>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</si>
  <si>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Type</t>
  </si>
  <si>
    <t xml:space="preserve"> Debt</t>
  </si>
  <si>
    <t xml:space="preserve"> Purchased</t>
  </si>
  <si>
    <t>Items</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</si>
  <si>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</si>
  <si>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</si>
  <si>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</si>
  <si>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</si>
  <si>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</si>
  <si>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</si>
  <si>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</si>
  <si>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</si>
  <si>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</si>
  <si>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</si>
  <si>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</si>
  <si>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</si>
  <si>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</si>
  <si>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</si>
  <si>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</si>
  <si>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</si>
  <si>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</si>
  <si>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</si>
  <si>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</si>
  <si>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</si>
  <si>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</si>
  <si>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</si>
  <si>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</si>
  <si>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 16/20M Vehicle Taxes </t>
  </si>
  <si>
    <t>Budgeted Funds</t>
  </si>
  <si>
    <t>Expenditures Must Be Changed by:</t>
  </si>
  <si>
    <t>Mill Rate Comparison</t>
  </si>
  <si>
    <t xml:space="preserve">Prior Year </t>
  </si>
  <si>
    <t xml:space="preserve">Current Year </t>
  </si>
  <si>
    <t xml:space="preserve">Proposed Budget </t>
  </si>
  <si>
    <t>Allocation of Vehicle Taxes</t>
  </si>
  <si>
    <t>3b. Once a date has been entered in the Date block, the following statement will appear: 'Latest date for notice to be published in your newspaper'.  Please ensure to take into consideration as to when your newspaper is published when arriving at the hearing date.</t>
  </si>
  <si>
    <t>6.  Motor Vehicle Allocation(mvalloc)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</si>
  <si>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r>
      <t>10a.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</si>
  <si>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10b.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</si>
  <si>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10c.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</si>
  <si>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10d.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</si>
  <si>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</si>
  <si>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sz val="12"/>
        <rFont val="Times New Roman"/>
        <family val="1"/>
      </rPr>
      <t>are not required</t>
    </r>
    <r>
      <rPr>
        <sz val="12"/>
        <rFont val="Times New Roman"/>
        <family val="1"/>
      </rPr>
      <t xml:space="preserve"> to be included in the Debt Service and may still have a No Fund page to account for them if the county desires.  </t>
    </r>
  </si>
  <si>
    <r>
      <t>10g. On the Debt Service andRoad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</si>
  <si>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10h. The 4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</si>
  <si>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</si>
  <si>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county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turns red.  In order to remove this warning message, you must reduce the non-appropriate figure.</t>
    </r>
  </si>
  <si>
    <t xml:space="preserve">10k. Each fund after the "unencumbered cash bal dec31", will show the budget authority expenditure amount for the actual and current year. </t>
  </si>
  <si>
    <r>
      <t>10l.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</si>
  <si>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10m.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</si>
  <si>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10n.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</si>
  <si>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</si>
  <si>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</si>
  <si>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</si>
  <si>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</si>
  <si>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The following were changed to this spreadsheet on 12/23/11</t>
  </si>
  <si>
    <t>5. Instructions tab, changed #11b to reflect all tax levy pages with 'Projected Carryover' table</t>
  </si>
  <si>
    <t>6. Instructions tab, changed #11c to reflect all tax levy pages with 'Desired Carryover' and warning about delinquency rate</t>
  </si>
  <si>
    <t>7. Instructions tab, added #11d for last year mill rate, proposed total mill rate, and last year total mill rate</t>
  </si>
  <si>
    <t>8. Instructions tab, changed #12b added name of official</t>
  </si>
  <si>
    <t>9. Instructions tab, added #12c for computation of one mill</t>
  </si>
  <si>
    <t>10. Instructions tab, changed #12d added the name of the tables and warning about delinquency rate if used</t>
  </si>
  <si>
    <t>11. Instructions tab, changed #12e added the name of the table and warning about delinquency rate if used</t>
  </si>
  <si>
    <t>12. Instructions tab, changed #12f added that not signing the Budget Summary page will not require to be reprinted</t>
  </si>
  <si>
    <t xml:space="preserve">13. InputPrYr tab, added column for adjusting ad valorem taxes to reflect a better picture of actual taxes received, allow a rate to be used to compute the new amount, and links the new amounts to the appropriate fund page, if used, otherwise used the original amounts </t>
  </si>
  <si>
    <t>14. InputOth tab, section for Computation of Delinquency, change to % from rate and provided example, link to all tax levy fund page will show as %  vs rate</t>
  </si>
  <si>
    <t>15. InputBudSum tab, added official name and latest date for publication of Notice of Budget Hearing</t>
  </si>
  <si>
    <t xml:space="preserve">16. Cert tab, under Table of Content, added Computation to Determine State Library Grant </t>
  </si>
  <si>
    <t>17. Cert tab, right justifyed figures versus having figures centered</t>
  </si>
  <si>
    <t>18. Cert tab, put spaces between governing body signatures block</t>
  </si>
  <si>
    <t>19. Mvalloc tab, removed slider column and computation for slider</t>
  </si>
  <si>
    <t>20. All tax levy fund pages removed the link from Mvalloc tab for slider and converted cells to blank</t>
  </si>
  <si>
    <t xml:space="preserve">21. Debt and Lpform tab added a blank new column at left side and formated 'type of debt' and 'item purchased'  </t>
  </si>
  <si>
    <t>22. All fund pages changed the year column heading, example 'Prior Year Actual' to 'Prior Year' second line 'Actual YYYY'</t>
  </si>
  <si>
    <t xml:space="preserve">23. Change out the 'Mill Rate Computation' tab so to agree with the website </t>
  </si>
  <si>
    <t>24. Added KSA 65-204 to transfer tab</t>
  </si>
  <si>
    <t>25. All tax levy fund pages added 'Mill Rate Comparison' table</t>
  </si>
  <si>
    <t>26. Certificate tab added a place for the email address of the assisted by</t>
  </si>
  <si>
    <t>Email:</t>
  </si>
  <si>
    <t>____________________________________  __________________________________</t>
  </si>
  <si>
    <t>12a. At the bottom of the page is a green shaded area, enter the page number.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</si>
  <si>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</si>
  <si>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</si>
  <si>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</si>
  <si>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</si>
  <si>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12f. Once the 'Notice of Budget Hearing' has been printed in the local newspaper, please review the notice to ensure the information was correctly printed.  If the information is not correct, the Notice may need to be republished, and may delay the submission of the budget.</t>
  </si>
  <si>
    <t>12g. If the Special District budgets are computed by the County Clerk, the Clerk could complete the County Spec District.xls spreadsheet and this spreadsheet would be included with the county's budget.  Both Budget Summary pages would be taken to the newspaper for publication.</t>
  </si>
  <si>
    <t>Franklin County</t>
  </si>
  <si>
    <t>Special Road and Bridge</t>
  </si>
  <si>
    <t>County Building</t>
  </si>
  <si>
    <t>Employee Benefit</t>
  </si>
  <si>
    <t>Health Department</t>
  </si>
  <si>
    <t>Noxious Weeds</t>
  </si>
  <si>
    <t>Special Liability</t>
  </si>
  <si>
    <t>Conservation District</t>
  </si>
  <si>
    <t>Service for the Elderly</t>
  </si>
  <si>
    <t>Fair Premium</t>
  </si>
  <si>
    <t>Fair Building</t>
  </si>
  <si>
    <t>Historical Society</t>
  </si>
  <si>
    <t>Developmental Disabilities</t>
  </si>
  <si>
    <t>Solid Waste Fund</t>
  </si>
  <si>
    <t>Office Annex Fund</t>
  </si>
  <si>
    <t>Centropolis Sewer Fund</t>
  </si>
  <si>
    <t>Country Estate Benefit</t>
  </si>
  <si>
    <t>Emergency Phone Equipment</t>
  </si>
  <si>
    <t>Wireless Phone Equipment</t>
  </si>
  <si>
    <t>Risk Management Fund</t>
  </si>
  <si>
    <t>Special Alcohol Fund</t>
  </si>
  <si>
    <t>Special Parks and Recreation</t>
  </si>
  <si>
    <t>Tourism and Convention</t>
  </si>
  <si>
    <t>County Wide Phones</t>
  </si>
  <si>
    <t>Noxious Weeds Capital</t>
  </si>
  <si>
    <t>Hospital Sales Tax</t>
  </si>
  <si>
    <t>Road and Bridge Equipment</t>
  </si>
  <si>
    <t>Employee Benefit Trust</t>
  </si>
  <si>
    <t>Law Enforcement Trust</t>
  </si>
  <si>
    <t>County Equipment Fund</t>
  </si>
  <si>
    <t>Register of Deeds Technology Fund</t>
  </si>
  <si>
    <t>Solid Waste Capital Outlay</t>
  </si>
  <si>
    <t>Special Capital Improvement</t>
  </si>
  <si>
    <t>Special Auto</t>
  </si>
  <si>
    <t>Prosecutor Trust Fund</t>
  </si>
  <si>
    <t>CHIP Reserve</t>
  </si>
  <si>
    <t>August 8, 2012</t>
  </si>
  <si>
    <t>7:00 p.m.</t>
  </si>
  <si>
    <t>1418 South Main, Commission Chambers, Ottawa, Kansas</t>
  </si>
  <si>
    <t>1428 South Main, Suite 2, Ottawa, Kansas 66067</t>
  </si>
  <si>
    <t>Refunding Bonds 2005</t>
  </si>
  <si>
    <t>3.1-4</t>
  </si>
  <si>
    <t>3/1 and /91</t>
  </si>
  <si>
    <t>Centropolis Sewer Bonds 2001a</t>
  </si>
  <si>
    <t>Centropolis Sewer Bonds 2001b</t>
  </si>
  <si>
    <t>Centropolis Refunding</t>
  </si>
  <si>
    <t>1.25-4.25</t>
  </si>
  <si>
    <t>6/1 and 12/1</t>
  </si>
  <si>
    <t>Country Estates Bonds</t>
  </si>
  <si>
    <t>4.15-6.0</t>
  </si>
  <si>
    <t>3/1 and 9/1</t>
  </si>
  <si>
    <t>KP &amp; F Bonds</t>
  </si>
  <si>
    <t>3.0 - 6.0</t>
  </si>
  <si>
    <t xml:space="preserve">Revolving Loan 36 Mile </t>
  </si>
  <si>
    <t>2/1 and 8/1</t>
  </si>
  <si>
    <t>Revolving Loan 13 Mile</t>
  </si>
  <si>
    <t>Office Annex Building</t>
  </si>
  <si>
    <t>Motor Graders 402/403</t>
  </si>
  <si>
    <t>Motor Graders 401/409</t>
  </si>
  <si>
    <t>Motor Grader 405</t>
  </si>
  <si>
    <t>Vermont Road Paving</t>
  </si>
  <si>
    <t xml:space="preserve">  Reimbursement</t>
  </si>
  <si>
    <t>County Attorney</t>
  </si>
  <si>
    <t>Sheriff</t>
  </si>
  <si>
    <t>County Building &amp; Grouds</t>
  </si>
  <si>
    <t>Emergency Management</t>
  </si>
  <si>
    <t>County Jail</t>
  </si>
  <si>
    <t>Planning &amp; Building</t>
  </si>
  <si>
    <t>Capital Outlay</t>
  </si>
  <si>
    <t>District Wide Court</t>
  </si>
  <si>
    <t>Administration</t>
  </si>
  <si>
    <t xml:space="preserve">Storage Facility  </t>
  </si>
  <si>
    <t>Emergency 911</t>
  </si>
  <si>
    <t>Information Technology</t>
  </si>
  <si>
    <t>Technology Services</t>
  </si>
  <si>
    <t>Environmental Health</t>
  </si>
  <si>
    <t>Juvenile Services</t>
  </si>
  <si>
    <t>Mineral Production Sales Tax</t>
  </si>
  <si>
    <t>Interest on Current Tax</t>
  </si>
  <si>
    <t>Interest on Delinquent Tax</t>
  </si>
  <si>
    <t>Local Retailers Sales Tax</t>
  </si>
  <si>
    <t>Interest on Personal Tax</t>
  </si>
  <si>
    <t>Interest on Motor Vehicle Tax</t>
  </si>
  <si>
    <t>In Lieu of Tax</t>
  </si>
  <si>
    <t>Special Alcohol</t>
  </si>
  <si>
    <t>Neighborhood Revitalization Fees</t>
  </si>
  <si>
    <t>Interest on Investments</t>
  </si>
  <si>
    <t>Commission Fees</t>
  </si>
  <si>
    <t>County Clerk Fees</t>
  </si>
  <si>
    <t>Mortgage Registration Fees</t>
  </si>
  <si>
    <t>Register of Deeds Fees</t>
  </si>
  <si>
    <t>Sheriff Fees</t>
  </si>
  <si>
    <t>Clerk of District Court Fees</t>
  </si>
  <si>
    <t>Emergency Management Fees</t>
  </si>
  <si>
    <t>Jail Receipts</t>
  </si>
  <si>
    <t>Appraiser Fees</t>
  </si>
  <si>
    <t>Planning &amp; Building Fees</t>
  </si>
  <si>
    <t>Administration Fees</t>
  </si>
  <si>
    <t>Storage Facility Rent</t>
  </si>
  <si>
    <t>911 Payment from City of Ottawa</t>
  </si>
  <si>
    <t>Information Technology Fees</t>
  </si>
  <si>
    <t>Internet Fees</t>
  </si>
  <si>
    <t>Environmental LEPP Grant</t>
  </si>
  <si>
    <t>Environmental Health Fees</t>
  </si>
  <si>
    <t>Juvenile Detention Fees</t>
  </si>
  <si>
    <t>Juvenile Detention Grants</t>
  </si>
  <si>
    <t>MV Operating</t>
  </si>
  <si>
    <t>Tax Sale</t>
  </si>
  <si>
    <t>Cereal Malt Beverage Stamp</t>
  </si>
  <si>
    <t xml:space="preserve">  Debt Services</t>
  </si>
  <si>
    <t>Gas Tax</t>
  </si>
  <si>
    <t>Other Revenues</t>
  </si>
  <si>
    <t xml:space="preserve">  Transfer to Sepcial Equipment Reserve</t>
  </si>
  <si>
    <t xml:space="preserve">  Transfer to Special Equipment Reserve</t>
  </si>
  <si>
    <t>Service Fees</t>
  </si>
  <si>
    <t xml:space="preserve">  Transfer to Special Ambulance Reserve</t>
  </si>
  <si>
    <t xml:space="preserve">  Transfer to General Equipment Reserve</t>
  </si>
  <si>
    <t xml:space="preserve">  Transfer to Special Capital Improvement Fund</t>
  </si>
  <si>
    <t xml:space="preserve">  Personnel</t>
  </si>
  <si>
    <t>Intergovernmental</t>
  </si>
  <si>
    <t xml:space="preserve">  Transfer to Risk Management Reserve</t>
  </si>
  <si>
    <t xml:space="preserve">  Transfer to Solid Waste Reserve</t>
  </si>
  <si>
    <t>Building Rent</t>
  </si>
  <si>
    <t>Special Assessment</t>
  </si>
  <si>
    <t xml:space="preserve">  Debt Service</t>
  </si>
  <si>
    <t>Special Assessments</t>
  </si>
  <si>
    <t xml:space="preserve">  Expenditures</t>
  </si>
  <si>
    <t>911 Telephone Tax Collection</t>
  </si>
  <si>
    <t xml:space="preserve">  Transfer to 911 Phone Tax Fund</t>
  </si>
  <si>
    <t>Wireless Phone Tax</t>
  </si>
  <si>
    <t>911 Phone Tax</t>
  </si>
  <si>
    <t>Transfer from Special Liability Fund</t>
  </si>
  <si>
    <t>Local Liquor Tax</t>
  </si>
  <si>
    <t>Revenue Received</t>
  </si>
  <si>
    <t xml:space="preserve">  Operating Transfer</t>
  </si>
  <si>
    <t>Tansfers In</t>
  </si>
  <si>
    <t>Transfers In</t>
  </si>
  <si>
    <t>Transfer from Emergency Phone Equipment Fund</t>
  </si>
  <si>
    <t>Transfer from Emergency Wireless Telephone</t>
  </si>
  <si>
    <t>Transfer In</t>
  </si>
  <si>
    <t>Revenues</t>
  </si>
  <si>
    <t>Contractual</t>
  </si>
  <si>
    <t>Commodities</t>
  </si>
  <si>
    <t>Reimbursement</t>
  </si>
  <si>
    <t>Reimbursements</t>
  </si>
  <si>
    <t>Transfers Out</t>
  </si>
  <si>
    <t>Salaries</t>
  </si>
  <si>
    <t>Road and Bridge</t>
  </si>
  <si>
    <t>Road and Bridge Capital Equipment</t>
  </si>
  <si>
    <t>K.S.A. 68-141g</t>
  </si>
  <si>
    <t>Ambulance Capital Outlay</t>
  </si>
  <si>
    <t>K.S.A. 12-110d</t>
  </si>
  <si>
    <t>K.S.A. 19-119</t>
  </si>
  <si>
    <t>K.S.A. 19-120</t>
  </si>
  <si>
    <t>General Fund Revenues</t>
  </si>
  <si>
    <t>K.S.A. 9-145</t>
  </si>
  <si>
    <t>K.S.A. 12-2615</t>
  </si>
  <si>
    <t>Employee Benefits</t>
  </si>
  <si>
    <t>K.S.A. 12-16,102</t>
  </si>
  <si>
    <t>Motor Grader 407</t>
  </si>
  <si>
    <t>Motor Grader 406</t>
  </si>
  <si>
    <t>Motor Grader 404</t>
  </si>
  <si>
    <t xml:space="preserve">Mental Health </t>
  </si>
  <si>
    <t>Services for the Elderly - Transportation Services</t>
  </si>
  <si>
    <t>Conservation</t>
  </si>
  <si>
    <t>K.S.A. 79-2958</t>
  </si>
  <si>
    <t xml:space="preserve">General Fund </t>
  </si>
  <si>
    <t>General Fund</t>
  </si>
  <si>
    <t>Services for the Elderly</t>
  </si>
  <si>
    <t xml:space="preserve">  Transfers</t>
  </si>
  <si>
    <t xml:space="preserve">  Contractual </t>
  </si>
  <si>
    <t>Residual Equity Transfer from Appraiser</t>
  </si>
  <si>
    <t>Residual Equity Transfer from Conservation</t>
  </si>
  <si>
    <t>Residual Equity Transfer from Mental Health</t>
  </si>
  <si>
    <t>Residual Equity Transfer from Special Road and Bridge</t>
  </si>
  <si>
    <t>Residual Equity Transfer from Development Disabilities</t>
  </si>
  <si>
    <t>Residual Equity Transfer from Services for the Elderly</t>
  </si>
  <si>
    <t xml:space="preserve">  Close Fund to General</t>
  </si>
  <si>
    <t xml:space="preserve">  Close to General</t>
  </si>
  <si>
    <t>Health Capital Outlay Fund</t>
  </si>
  <si>
    <t>2.0 - 4.375</t>
  </si>
  <si>
    <t>Franklin County Juvenile Services Facility</t>
  </si>
  <si>
    <t>Transfer</t>
  </si>
  <si>
    <t>Ambulance Special Equipment Fund</t>
  </si>
  <si>
    <t>Appraiser Special Equipment Fund</t>
  </si>
  <si>
    <t>Transfer to General Fund</t>
  </si>
</sst>
</file>

<file path=xl/styles.xml><?xml version="1.0" encoding="utf-8"?>
<styleSheet xmlns="http://schemas.openxmlformats.org/spreadsheetml/2006/main">
  <numFmts count="18">
    <numFmt numFmtId="5" formatCode="&quot;$&quot;#,##0_);\(&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_);\(#,##0.000\)"/>
    <numFmt numFmtId="172" formatCode="0.000"/>
    <numFmt numFmtId="173" formatCode="#,##0.000"/>
    <numFmt numFmtId="174" formatCode="[$-409]mmmm\ d\,\ yyyy;@"/>
    <numFmt numFmtId="175" formatCode="[$-409]h:mm\ AM/PM;@"/>
    <numFmt numFmtId="176" formatCode="&quot;$&quot;#,##0"/>
    <numFmt numFmtId="177" formatCode="&quot;$&quot;#,##0.00"/>
    <numFmt numFmtId="178" formatCode="#,###"/>
    <numFmt numFmtId="179" formatCode="0.0%"/>
  </numFmts>
  <fonts count="62">
    <font>
      <sz val="12"/>
      <name val="Courier"/>
    </font>
    <font>
      <b/>
      <sz val="12"/>
      <name val="Courier"/>
    </font>
    <font>
      <sz val="12"/>
      <name val="Courier"/>
      <family val="3"/>
    </font>
    <font>
      <sz val="12"/>
      <name val="Times New Roman"/>
      <family val="1"/>
    </font>
    <font>
      <b/>
      <sz val="12"/>
      <name val="Times New Roman"/>
      <family val="1"/>
    </font>
    <font>
      <u/>
      <sz val="12"/>
      <name val="Times New Roman"/>
      <family val="1"/>
    </font>
    <font>
      <sz val="14"/>
      <name val="Times New Roman"/>
      <family val="1"/>
    </font>
    <font>
      <sz val="11"/>
      <name val="Times New Roman"/>
      <family val="1"/>
    </font>
    <font>
      <sz val="8"/>
      <name val="Courier"/>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sz val="12"/>
      <name val="Times New Roman"/>
      <family val="1"/>
    </font>
    <font>
      <sz val="12"/>
      <color indexed="10"/>
      <name val="Times New Roman"/>
      <family val="1"/>
    </font>
    <font>
      <b/>
      <u/>
      <sz val="12"/>
      <color indexed="10"/>
      <name val="Times New Roman"/>
      <family val="1"/>
    </font>
    <font>
      <b/>
      <u/>
      <sz val="12"/>
      <name val="Courier"/>
      <family val="3"/>
    </font>
    <font>
      <b/>
      <sz val="8"/>
      <name val="Times New Roman"/>
      <family val="1"/>
    </font>
    <font>
      <b/>
      <u/>
      <sz val="10"/>
      <name val="Times New Roman"/>
      <family val="1"/>
    </font>
    <font>
      <b/>
      <sz val="12"/>
      <color indexed="10"/>
      <name val="Times New Roman"/>
      <family val="1"/>
    </font>
    <font>
      <sz val="12"/>
      <color indexed="10"/>
      <name val="Courier"/>
      <family val="3"/>
    </font>
    <font>
      <i/>
      <sz val="12"/>
      <name val="Times New Roman"/>
      <family val="1"/>
    </font>
    <font>
      <sz val="12"/>
      <name val="Courier"/>
      <family val="3"/>
    </font>
    <font>
      <b/>
      <u/>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u/>
      <sz val="8"/>
      <color indexed="10"/>
      <name val="Times New Roman"/>
      <family val="1"/>
    </font>
    <font>
      <sz val="14"/>
      <name val="Courier"/>
      <family val="3"/>
    </font>
    <font>
      <b/>
      <sz val="14"/>
      <name val="Times New Roman"/>
      <family val="1"/>
    </font>
    <font>
      <u/>
      <sz val="12"/>
      <color indexed="12"/>
      <name val="Courier"/>
      <family val="3"/>
    </font>
    <font>
      <sz val="12"/>
      <name val="Courier New"/>
      <family val="3"/>
    </font>
    <font>
      <b/>
      <sz val="12"/>
      <name val="Courier"/>
      <family val="3"/>
    </font>
    <font>
      <i/>
      <sz val="12"/>
      <name val="Courier"/>
      <family val="3"/>
    </font>
    <font>
      <i/>
      <u/>
      <sz val="12"/>
      <name val="Courier"/>
      <family val="3"/>
    </font>
    <font>
      <sz val="12"/>
      <name val="Courier"/>
      <family val="3"/>
    </font>
    <font>
      <sz val="11"/>
      <color indexed="8"/>
      <name val="Times New Roman"/>
      <family val="1"/>
    </font>
    <font>
      <b/>
      <sz val="11"/>
      <color indexed="8"/>
      <name val="Times New Roman"/>
      <family val="1"/>
    </font>
    <font>
      <b/>
      <u/>
      <sz val="10"/>
      <name val="Courier"/>
      <family val="3"/>
    </font>
    <font>
      <sz val="10"/>
      <color indexed="10"/>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u/>
      <sz val="12"/>
      <color indexed="1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s>
  <fills count="17">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1"/>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C0"/>
        <bgColor indexed="64"/>
      </patternFill>
    </fill>
    <fill>
      <patternFill patternType="solid">
        <fgColor rgb="FFFF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42">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39" fillId="0" borderId="0"/>
    <xf numFmtId="0" fontId="9" fillId="0" borderId="0"/>
    <xf numFmtId="0" fontId="9" fillId="0" borderId="0"/>
    <xf numFmtId="0" fontId="9" fillId="0" borderId="0"/>
    <xf numFmtId="0" fontId="9"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9" fillId="0" borderId="0"/>
    <xf numFmtId="0" fontId="9" fillId="0" borderId="0"/>
    <xf numFmtId="0" fontId="9" fillId="0" borderId="0"/>
    <xf numFmtId="0" fontId="2" fillId="0" borderId="0"/>
    <xf numFmtId="0" fontId="2" fillId="0" borderId="0"/>
    <xf numFmtId="0" fontId="39" fillId="0" borderId="0"/>
    <xf numFmtId="0" fontId="9" fillId="0" borderId="0"/>
    <xf numFmtId="0" fontId="9" fillId="0" borderId="0"/>
    <xf numFmtId="0" fontId="9" fillId="0" borderId="0"/>
    <xf numFmtId="0" fontId="39" fillId="0" borderId="0"/>
    <xf numFmtId="0" fontId="9" fillId="0" borderId="0"/>
    <xf numFmtId="0" fontId="9" fillId="0" borderId="0"/>
    <xf numFmtId="0" fontId="9" fillId="0" borderId="0"/>
    <xf numFmtId="0" fontId="3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9" fillId="0" borderId="0"/>
    <xf numFmtId="0" fontId="9" fillId="0" borderId="0"/>
    <xf numFmtId="0" fontId="9" fillId="0" borderId="0"/>
    <xf numFmtId="0" fontId="9" fillId="0" borderId="0"/>
    <xf numFmtId="0" fontId="2" fillId="0" borderId="0"/>
    <xf numFmtId="0" fontId="9" fillId="0" borderId="0"/>
    <xf numFmtId="0" fontId="2" fillId="0" borderId="0"/>
    <xf numFmtId="0" fontId="29"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39" fillId="0" borderId="0"/>
    <xf numFmtId="0" fontId="9" fillId="0" borderId="0"/>
    <xf numFmtId="0" fontId="9" fillId="0" borderId="0"/>
    <xf numFmtId="0" fontId="9" fillId="0" borderId="0"/>
    <xf numFmtId="0" fontId="2" fillId="0" borderId="0"/>
    <xf numFmtId="0" fontId="9" fillId="0" borderId="0"/>
    <xf numFmtId="0" fontId="9" fillId="0" borderId="0"/>
    <xf numFmtId="0" fontId="39" fillId="0" borderId="0"/>
    <xf numFmtId="0" fontId="9" fillId="0" borderId="0"/>
    <xf numFmtId="0" fontId="9" fillId="0" borderId="0"/>
    <xf numFmtId="0" fontId="2" fillId="0" borderId="0"/>
    <xf numFmtId="0" fontId="2" fillId="0" borderId="0"/>
    <xf numFmtId="0" fontId="2" fillId="0" borderId="0"/>
    <xf numFmtId="0" fontId="3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cellStyleXfs>
  <cellXfs count="845">
    <xf numFmtId="0" fontId="0" fillId="0" borderId="0" xfId="0"/>
    <xf numFmtId="0" fontId="3" fillId="0" borderId="0" xfId="0" applyFont="1" applyProtection="1">
      <protection locked="0"/>
    </xf>
    <xf numFmtId="0" fontId="3" fillId="0" borderId="0" xfId="0" applyFont="1"/>
    <xf numFmtId="0" fontId="3" fillId="0" borderId="0" xfId="0" applyFont="1" applyAlignment="1">
      <alignment horizontal="centerContinuous"/>
    </xf>
    <xf numFmtId="37" fontId="3" fillId="0" borderId="0" xfId="0" applyNumberFormat="1" applyFont="1" applyAlignment="1" applyProtection="1">
      <alignment horizontal="left"/>
      <protection locked="0"/>
    </xf>
    <xf numFmtId="37" fontId="3" fillId="0" borderId="0" xfId="0" applyNumberFormat="1" applyFont="1" applyAlignment="1" applyProtection="1">
      <alignment horizontal="center"/>
      <protection locked="0"/>
    </xf>
    <xf numFmtId="0" fontId="3" fillId="0" borderId="0" xfId="0" applyFont="1" applyAlignment="1"/>
    <xf numFmtId="0" fontId="3" fillId="0" borderId="0" xfId="0" applyFont="1" applyAlignment="1" applyProtection="1">
      <alignment horizontal="centerContinuous"/>
      <protection locked="0"/>
    </xf>
    <xf numFmtId="37" fontId="3" fillId="0" borderId="1" xfId="0" applyNumberFormat="1" applyFont="1" applyBorder="1" applyAlignment="1" applyProtection="1">
      <alignment horizontal="fill"/>
      <protection locked="0"/>
    </xf>
    <xf numFmtId="37" fontId="3" fillId="2" borderId="2" xfId="0" applyNumberFormat="1" applyFont="1" applyFill="1" applyBorder="1" applyProtection="1">
      <protection locked="0"/>
    </xf>
    <xf numFmtId="0" fontId="3" fillId="2" borderId="0" xfId="0" applyFont="1" applyFill="1" applyProtection="1">
      <protection locked="0"/>
    </xf>
    <xf numFmtId="164" fontId="3" fillId="2" borderId="2" xfId="0" applyNumberFormat="1" applyFont="1" applyFill="1" applyBorder="1" applyProtection="1">
      <protection locked="0"/>
    </xf>
    <xf numFmtId="37" fontId="3" fillId="3" borderId="3" xfId="0" applyNumberFormat="1" applyFont="1" applyFill="1" applyBorder="1" applyAlignment="1" applyProtection="1">
      <alignment horizontal="center"/>
    </xf>
    <xf numFmtId="37" fontId="3" fillId="3" borderId="0" xfId="0" applyNumberFormat="1" applyFont="1" applyFill="1" applyAlignment="1" applyProtection="1">
      <alignment horizontal="right"/>
    </xf>
    <xf numFmtId="0" fontId="3" fillId="3" borderId="0" xfId="0" applyFont="1" applyFill="1" applyProtection="1"/>
    <xf numFmtId="37" fontId="3" fillId="3" borderId="0" xfId="0" applyNumberFormat="1" applyFont="1" applyFill="1" applyAlignment="1" applyProtection="1">
      <alignment horizontal="left"/>
    </xf>
    <xf numFmtId="37" fontId="3" fillId="3" borderId="0" xfId="0" applyNumberFormat="1" applyFont="1" applyFill="1" applyAlignment="1" applyProtection="1">
      <alignment horizontal="centerContinuous"/>
    </xf>
    <xf numFmtId="0" fontId="3" fillId="3" borderId="0" xfId="0" applyFont="1" applyFill="1" applyAlignment="1" applyProtection="1">
      <alignment horizontal="centerContinuous"/>
    </xf>
    <xf numFmtId="37" fontId="3" fillId="3" borderId="0" xfId="0" applyNumberFormat="1" applyFont="1" applyFill="1" applyAlignment="1" applyProtection="1">
      <alignment horizontal="fill"/>
    </xf>
    <xf numFmtId="37" fontId="3" fillId="3" borderId="4" xfId="0" applyNumberFormat="1" applyFont="1" applyFill="1" applyBorder="1" applyAlignment="1" applyProtection="1">
      <alignment horizontal="centerContinuous"/>
    </xf>
    <xf numFmtId="0" fontId="3" fillId="3" borderId="5" xfId="0" applyFont="1" applyFill="1" applyBorder="1" applyAlignment="1" applyProtection="1">
      <alignment horizontal="centerContinuous"/>
    </xf>
    <xf numFmtId="0" fontId="3" fillId="3" borderId="6" xfId="0" applyFont="1" applyFill="1" applyBorder="1" applyAlignment="1" applyProtection="1">
      <alignment horizontal="centerContinuous"/>
    </xf>
    <xf numFmtId="37" fontId="3" fillId="3" borderId="7" xfId="0" applyNumberFormat="1" applyFont="1" applyFill="1" applyBorder="1" applyAlignment="1" applyProtection="1">
      <alignment horizontal="center"/>
    </xf>
    <xf numFmtId="37" fontId="3" fillId="3" borderId="1" xfId="0" applyNumberFormat="1" applyFont="1" applyFill="1" applyBorder="1" applyAlignment="1" applyProtection="1">
      <alignment horizontal="left"/>
    </xf>
    <xf numFmtId="37" fontId="3" fillId="3" borderId="2" xfId="0" applyNumberFormat="1" applyFont="1" applyFill="1" applyBorder="1" applyAlignment="1" applyProtection="1">
      <alignment horizontal="left"/>
    </xf>
    <xf numFmtId="37" fontId="3" fillId="3" borderId="2" xfId="0" applyNumberFormat="1" applyFont="1" applyFill="1" applyBorder="1" applyProtection="1"/>
    <xf numFmtId="37" fontId="3" fillId="3" borderId="1" xfId="0" applyNumberFormat="1" applyFont="1" applyFill="1" applyBorder="1" applyAlignment="1" applyProtection="1">
      <alignment horizontal="fill"/>
    </xf>
    <xf numFmtId="37" fontId="3" fillId="3" borderId="0" xfId="0" applyNumberFormat="1" applyFont="1" applyFill="1" applyProtection="1"/>
    <xf numFmtId="0" fontId="3" fillId="3" borderId="0" xfId="0" applyFont="1" applyFill="1"/>
    <xf numFmtId="0" fontId="3" fillId="3" borderId="8" xfId="0" applyFont="1" applyFill="1" applyBorder="1" applyAlignment="1" applyProtection="1">
      <alignment horizontal="center"/>
    </xf>
    <xf numFmtId="0" fontId="3" fillId="3" borderId="0" xfId="0" applyFont="1" applyFill="1" applyAlignment="1" applyProtection="1">
      <alignment horizontal="center"/>
    </xf>
    <xf numFmtId="37" fontId="3" fillId="3" borderId="0" xfId="0" quotePrefix="1" applyNumberFormat="1" applyFont="1" applyFill="1" applyAlignment="1" applyProtection="1">
      <alignment horizontal="right"/>
    </xf>
    <xf numFmtId="37" fontId="4" fillId="3" borderId="0" xfId="0" applyNumberFormat="1" applyFont="1" applyFill="1" applyAlignment="1" applyProtection="1">
      <alignment horizontal="centerContinuous"/>
    </xf>
    <xf numFmtId="0" fontId="3" fillId="3" borderId="7" xfId="0" applyFont="1" applyFill="1" applyBorder="1" applyAlignment="1" applyProtection="1">
      <alignment horizontal="centerContinuous"/>
    </xf>
    <xf numFmtId="1" fontId="3" fillId="3" borderId="4" xfId="0" applyNumberFormat="1" applyFont="1" applyFill="1" applyBorder="1" applyAlignment="1" applyProtection="1">
      <alignment horizontal="centerContinuous"/>
    </xf>
    <xf numFmtId="164" fontId="3" fillId="3" borderId="2" xfId="0" applyNumberFormat="1" applyFont="1" applyFill="1" applyBorder="1" applyProtection="1"/>
    <xf numFmtId="0" fontId="11" fillId="0" borderId="0" xfId="0" applyFont="1" applyAlignment="1">
      <alignment horizontal="center" vertical="top"/>
    </xf>
    <xf numFmtId="0" fontId="0" fillId="0" borderId="0" xfId="0" applyAlignment="1">
      <alignment vertical="top"/>
    </xf>
    <xf numFmtId="0" fontId="11" fillId="0" borderId="0" xfId="0" applyFont="1" applyAlignment="1">
      <alignment vertical="top"/>
    </xf>
    <xf numFmtId="0" fontId="9" fillId="0" borderId="0" xfId="341" applyAlignment="1">
      <alignment vertical="top"/>
    </xf>
    <xf numFmtId="0" fontId="9" fillId="0" borderId="0" xfId="341"/>
    <xf numFmtId="0" fontId="12" fillId="0" borderId="0" xfId="0" applyFont="1" applyAlignment="1">
      <alignment vertical="top"/>
    </xf>
    <xf numFmtId="0" fontId="7" fillId="0" borderId="0" xfId="0" applyFont="1" applyAlignment="1">
      <alignment horizontal="center" vertical="top"/>
    </xf>
    <xf numFmtId="0" fontId="11"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vertical="top"/>
    </xf>
    <xf numFmtId="0" fontId="13" fillId="0" borderId="0" xfId="0" applyFont="1" applyAlignment="1"/>
    <xf numFmtId="0" fontId="13" fillId="0" borderId="0" xfId="0" applyNumberFormat="1" applyFont="1" applyAlignment="1"/>
    <xf numFmtId="0" fontId="7" fillId="0" borderId="0" xfId="0" applyFont="1" applyAlignment="1"/>
    <xf numFmtId="0" fontId="7" fillId="0" borderId="0" xfId="0" applyFont="1"/>
    <xf numFmtId="0" fontId="14" fillId="0" borderId="0" xfId="0" applyFont="1"/>
    <xf numFmtId="0" fontId="3" fillId="3" borderId="0" xfId="0" applyNumberFormat="1" applyFont="1" applyFill="1" applyAlignment="1" applyProtection="1">
      <alignment horizontal="right"/>
    </xf>
    <xf numFmtId="37" fontId="3" fillId="3" borderId="0" xfId="0" applyNumberFormat="1" applyFont="1" applyFill="1" applyBorder="1" applyAlignment="1" applyProtection="1">
      <alignment horizontal="left"/>
    </xf>
    <xf numFmtId="0" fontId="3" fillId="3" borderId="0" xfId="0" applyFont="1" applyFill="1" applyAlignment="1">
      <alignment horizontal="center"/>
    </xf>
    <xf numFmtId="0" fontId="3" fillId="0" borderId="0" xfId="0" applyFont="1" applyAlignment="1">
      <alignment vertical="top"/>
    </xf>
    <xf numFmtId="0" fontId="3" fillId="0" borderId="0" xfId="341" applyFont="1" applyAlignment="1">
      <alignment vertical="top"/>
    </xf>
    <xf numFmtId="0" fontId="18" fillId="0" borderId="0" xfId="0" applyNumberFormat="1" applyFont="1" applyAlignment="1">
      <alignment vertical="top"/>
    </xf>
    <xf numFmtId="0" fontId="18" fillId="0" borderId="0" xfId="0" applyFont="1" applyAlignment="1"/>
    <xf numFmtId="0" fontId="3" fillId="0" borderId="0" xfId="341" applyFont="1"/>
    <xf numFmtId="164" fontId="3" fillId="3" borderId="2" xfId="0" applyNumberFormat="1" applyFont="1" applyFill="1" applyBorder="1" applyProtection="1">
      <protection locked="0"/>
    </xf>
    <xf numFmtId="0" fontId="3" fillId="0" borderId="0" xfId="0" applyFont="1" applyAlignment="1">
      <alignment horizontal="right"/>
    </xf>
    <xf numFmtId="166" fontId="3" fillId="3" borderId="0" xfId="0" applyNumberFormat="1" applyFont="1" applyFill="1" applyAlignment="1" applyProtection="1">
      <alignment horizontal="center"/>
    </xf>
    <xf numFmtId="37" fontId="3" fillId="3" borderId="1" xfId="0" applyNumberFormat="1" applyFont="1" applyFill="1" applyBorder="1" applyAlignment="1" applyProtection="1">
      <alignment horizontal="center"/>
    </xf>
    <xf numFmtId="37" fontId="3" fillId="3" borderId="0" xfId="0" applyNumberFormat="1" applyFont="1" applyFill="1" applyBorder="1" applyAlignment="1" applyProtection="1">
      <alignment horizontal="center"/>
    </xf>
    <xf numFmtId="165" fontId="3" fillId="4" borderId="1" xfId="0" applyNumberFormat="1" applyFont="1" applyFill="1" applyBorder="1" applyAlignment="1" applyProtection="1">
      <alignment horizontal="center"/>
    </xf>
    <xf numFmtId="165" fontId="3" fillId="3" borderId="0" xfId="0" applyNumberFormat="1" applyFont="1" applyFill="1" applyBorder="1" applyAlignment="1" applyProtection="1">
      <alignment horizontal="center"/>
    </xf>
    <xf numFmtId="0" fontId="3" fillId="3" borderId="0" xfId="0" applyFont="1" applyFill="1" applyAlignment="1">
      <alignment horizontal="left"/>
    </xf>
    <xf numFmtId="37" fontId="4" fillId="3" borderId="0" xfId="0" applyNumberFormat="1" applyFont="1" applyFill="1" applyAlignment="1" applyProtection="1">
      <alignment horizontal="center"/>
    </xf>
    <xf numFmtId="0" fontId="0" fillId="3" borderId="0" xfId="0" applyFill="1"/>
    <xf numFmtId="0" fontId="0" fillId="3" borderId="0" xfId="0" applyFill="1" applyAlignment="1"/>
    <xf numFmtId="171" fontId="3" fillId="3" borderId="0" xfId="0" applyNumberFormat="1" applyFont="1" applyFill="1" applyBorder="1" applyAlignment="1" applyProtection="1">
      <alignment horizont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pplyProtection="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pplyProtection="1">
      <alignment vertical="center" wrapText="1"/>
    </xf>
    <xf numFmtId="0" fontId="26" fillId="0" borderId="0" xfId="0" applyFont="1" applyAlignment="1">
      <alignment vertical="center" wrapText="1"/>
    </xf>
    <xf numFmtId="0" fontId="3" fillId="2" borderId="0" xfId="0" applyFont="1" applyFill="1" applyAlignment="1" applyProtection="1">
      <alignment vertical="center" wrapText="1"/>
    </xf>
    <xf numFmtId="0" fontId="3" fillId="0" borderId="0" xfId="0" applyFont="1" applyFill="1" applyAlignment="1" applyProtection="1">
      <alignment vertical="center" wrapText="1"/>
    </xf>
    <xf numFmtId="0" fontId="3" fillId="3" borderId="0" xfId="0" applyFont="1" applyFill="1" applyAlignment="1">
      <alignment vertical="center" wrapText="1"/>
    </xf>
    <xf numFmtId="0" fontId="3" fillId="5" borderId="0" xfId="0" applyFont="1" applyFill="1" applyAlignment="1">
      <alignment vertical="center" wrapText="1"/>
    </xf>
    <xf numFmtId="0" fontId="3" fillId="6" borderId="0" xfId="0" applyFont="1" applyFill="1" applyAlignment="1">
      <alignment vertical="center"/>
    </xf>
    <xf numFmtId="37" fontId="3" fillId="0" borderId="0" xfId="0" applyNumberFormat="1" applyFont="1" applyFill="1" applyAlignment="1" applyProtection="1">
      <alignment horizontal="left" vertical="center" wrapText="1"/>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2" borderId="1" xfId="0" applyFont="1" applyFill="1" applyBorder="1" applyAlignment="1" applyProtection="1">
      <alignment vertical="center"/>
    </xf>
    <xf numFmtId="37" fontId="3" fillId="2" borderId="1" xfId="0" applyNumberFormat="1" applyFont="1" applyFill="1" applyBorder="1" applyAlignment="1" applyProtection="1">
      <alignment horizontal="left" vertical="center"/>
      <protection locked="0"/>
    </xf>
    <xf numFmtId="0" fontId="3" fillId="3" borderId="0" xfId="0" applyFont="1" applyFill="1" applyBorder="1" applyAlignment="1" applyProtection="1">
      <alignment vertical="center"/>
    </xf>
    <xf numFmtId="37" fontId="3" fillId="3" borderId="0" xfId="0" applyNumberFormat="1" applyFont="1" applyFill="1" applyBorder="1" applyAlignment="1" applyProtection="1">
      <alignment horizontal="left" vertical="center"/>
      <protection locked="0"/>
    </xf>
    <xf numFmtId="0" fontId="4" fillId="2" borderId="2"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5" borderId="0" xfId="0" applyFont="1" applyFill="1" applyAlignment="1" applyProtection="1">
      <alignment vertical="center"/>
    </xf>
    <xf numFmtId="0" fontId="3" fillId="5" borderId="0" xfId="0" applyFont="1" applyFill="1" applyAlignment="1" applyProtection="1">
      <alignment vertical="center"/>
    </xf>
    <xf numFmtId="37" fontId="4" fillId="5" borderId="0" xfId="0" applyNumberFormat="1" applyFont="1" applyFill="1" applyAlignment="1" applyProtection="1">
      <alignment horizontal="left" vertical="center"/>
    </xf>
    <xf numFmtId="0" fontId="3" fillId="3" borderId="0" xfId="0" applyFont="1" applyFill="1" applyAlignment="1" applyProtection="1">
      <alignment horizontal="center" vertical="center"/>
    </xf>
    <xf numFmtId="0" fontId="3" fillId="5" borderId="7" xfId="0" applyFont="1" applyFill="1" applyBorder="1" applyAlignment="1" applyProtection="1">
      <alignment horizontal="center" vertical="center"/>
    </xf>
    <xf numFmtId="37" fontId="3" fillId="5" borderId="7" xfId="0" applyNumberFormat="1" applyFont="1" applyFill="1" applyBorder="1" applyAlignment="1" applyProtection="1">
      <alignment horizontal="center" vertical="center"/>
    </xf>
    <xf numFmtId="0" fontId="3" fillId="5"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center" vertical="center"/>
    </xf>
    <xf numFmtId="37" fontId="3" fillId="5" borderId="8"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left" vertical="center"/>
    </xf>
    <xf numFmtId="0" fontId="3" fillId="3" borderId="2" xfId="0" applyFont="1" applyFill="1" applyBorder="1" applyAlignment="1" applyProtection="1">
      <alignment vertical="center"/>
      <protection locked="0"/>
    </xf>
    <xf numFmtId="3" fontId="3" fillId="2" borderId="2" xfId="0" applyNumberFormat="1" applyFont="1" applyFill="1" applyBorder="1" applyAlignment="1" applyProtection="1">
      <alignment vertical="center"/>
      <protection locked="0"/>
    </xf>
    <xf numFmtId="3" fontId="3" fillId="7" borderId="2" xfId="0" applyNumberFormat="1" applyFont="1" applyFill="1" applyBorder="1" applyAlignment="1" applyProtection="1">
      <alignment vertical="center" wrapText="1"/>
      <protection locked="0"/>
    </xf>
    <xf numFmtId="164" fontId="3" fillId="7" borderId="2" xfId="0" applyNumberFormat="1" applyFont="1" applyFill="1" applyBorder="1" applyAlignment="1" applyProtection="1">
      <alignment vertical="center"/>
      <protection locked="0"/>
    </xf>
    <xf numFmtId="0" fontId="3" fillId="3" borderId="2" xfId="0" applyFont="1" applyFill="1" applyBorder="1" applyAlignment="1" applyProtection="1">
      <alignment vertical="center"/>
    </xf>
    <xf numFmtId="164" fontId="3" fillId="2" borderId="2" xfId="0" applyNumberFormat="1" applyFont="1" applyFill="1" applyBorder="1" applyAlignment="1" applyProtection="1">
      <alignment vertical="center"/>
      <protection locked="0"/>
    </xf>
    <xf numFmtId="0" fontId="3" fillId="7" borderId="2" xfId="0" applyFont="1" applyFill="1" applyBorder="1" applyAlignment="1" applyProtection="1">
      <alignment horizontal="left" vertical="center"/>
      <protection locked="0"/>
    </xf>
    <xf numFmtId="0" fontId="3" fillId="2" borderId="2" xfId="0" applyFont="1" applyFill="1" applyBorder="1" applyAlignment="1" applyProtection="1">
      <alignment vertical="center"/>
      <protection locked="0"/>
    </xf>
    <xf numFmtId="3" fontId="3" fillId="7" borderId="2" xfId="0" applyNumberFormat="1" applyFont="1" applyFill="1" applyBorder="1" applyAlignment="1" applyProtection="1">
      <alignment vertical="center"/>
      <protection locked="0"/>
    </xf>
    <xf numFmtId="37" fontId="3" fillId="3" borderId="1" xfId="0" applyNumberFormat="1" applyFont="1" applyFill="1" applyBorder="1" applyAlignment="1" applyProtection="1">
      <alignment horizontal="left" vertical="center"/>
    </xf>
    <xf numFmtId="0" fontId="3" fillId="3" borderId="1" xfId="0" applyFont="1" applyFill="1" applyBorder="1" applyAlignment="1" applyProtection="1">
      <alignment vertical="center"/>
    </xf>
    <xf numFmtId="0" fontId="3" fillId="3" borderId="6" xfId="0" applyFont="1" applyFill="1" applyBorder="1" applyAlignment="1" applyProtection="1">
      <alignment vertical="center"/>
    </xf>
    <xf numFmtId="3" fontId="3" fillId="4" borderId="6" xfId="0" applyNumberFormat="1" applyFont="1" applyFill="1" applyBorder="1" applyAlignment="1" applyProtection="1">
      <alignment vertical="center"/>
    </xf>
    <xf numFmtId="164" fontId="3" fillId="4" borderId="2" xfId="0" applyNumberFormat="1" applyFont="1" applyFill="1" applyBorder="1" applyAlignment="1" applyProtection="1">
      <alignment vertical="center"/>
    </xf>
    <xf numFmtId="164" fontId="3" fillId="3" borderId="1" xfId="0" applyNumberFormat="1" applyFont="1" applyFill="1" applyBorder="1" applyAlignment="1" applyProtection="1">
      <alignment vertical="center"/>
      <protection locked="0"/>
    </xf>
    <xf numFmtId="0" fontId="3" fillId="3" borderId="9" xfId="0" applyFont="1" applyFill="1" applyBorder="1" applyAlignment="1" applyProtection="1">
      <alignment vertical="center"/>
    </xf>
    <xf numFmtId="3" fontId="3" fillId="4" borderId="2" xfId="0" applyNumberFormat="1" applyFont="1" applyFill="1" applyBorder="1" applyAlignment="1" applyProtection="1">
      <alignment vertical="center"/>
    </xf>
    <xf numFmtId="37" fontId="3" fillId="3" borderId="0" xfId="0" applyNumberFormat="1" applyFont="1" applyFill="1" applyBorder="1" applyAlignment="1" applyProtection="1">
      <alignment horizontal="left" vertical="center"/>
    </xf>
    <xf numFmtId="164" fontId="3" fillId="3" borderId="0" xfId="0" applyNumberFormat="1" applyFont="1" applyFill="1" applyBorder="1" applyAlignment="1" applyProtection="1">
      <alignment vertical="center"/>
      <protection locked="0"/>
    </xf>
    <xf numFmtId="3" fontId="3" fillId="3" borderId="0" xfId="0" applyNumberFormat="1" applyFont="1" applyFill="1" applyBorder="1" applyAlignment="1" applyProtection="1">
      <alignment vertical="center"/>
    </xf>
    <xf numFmtId="37" fontId="4" fillId="8" borderId="0" xfId="0" applyNumberFormat="1" applyFont="1" applyFill="1" applyAlignment="1" applyProtection="1">
      <alignment horizontal="left" vertical="center"/>
    </xf>
    <xf numFmtId="0" fontId="3" fillId="3" borderId="0" xfId="0" applyFont="1" applyFill="1" applyAlignment="1">
      <alignment vertical="center"/>
    </xf>
    <xf numFmtId="0" fontId="3" fillId="8" borderId="0" xfId="0" applyFont="1" applyFill="1" applyAlignment="1" applyProtection="1">
      <alignment vertical="center"/>
    </xf>
    <xf numFmtId="37" fontId="3" fillId="3" borderId="2" xfId="0" applyNumberFormat="1" applyFont="1" applyFill="1" applyBorder="1" applyAlignment="1" applyProtection="1">
      <alignment vertical="center"/>
    </xf>
    <xf numFmtId="37" fontId="3" fillId="5" borderId="1" xfId="0" applyNumberFormat="1" applyFont="1" applyFill="1" applyBorder="1" applyAlignment="1" applyProtection="1">
      <alignment horizontal="left" vertical="center"/>
    </xf>
    <xf numFmtId="0" fontId="3" fillId="5" borderId="1" xfId="0" applyFont="1" applyFill="1" applyBorder="1" applyAlignment="1" applyProtection="1">
      <alignment vertical="center"/>
    </xf>
    <xf numFmtId="37" fontId="3" fillId="5" borderId="5" xfId="0" applyNumberFormat="1" applyFont="1" applyFill="1" applyBorder="1" applyAlignment="1" applyProtection="1">
      <alignment horizontal="left" vertical="center"/>
    </xf>
    <xf numFmtId="0" fontId="3" fillId="5" borderId="5" xfId="0" applyFont="1" applyFill="1" applyBorder="1" applyAlignment="1" applyProtection="1">
      <alignment vertical="center"/>
    </xf>
    <xf numFmtId="0" fontId="3" fillId="3" borderId="5" xfId="0" applyFont="1" applyFill="1" applyBorder="1" applyAlignment="1" applyProtection="1">
      <alignment vertical="center"/>
    </xf>
    <xf numFmtId="3" fontId="3" fillId="3" borderId="0" xfId="0" applyNumberFormat="1" applyFont="1" applyFill="1" applyBorder="1" applyAlignment="1" applyProtection="1">
      <alignment vertical="center"/>
      <protection locked="0"/>
    </xf>
    <xf numFmtId="37" fontId="20" fillId="8" borderId="0" xfId="0" applyNumberFormat="1" applyFont="1" applyFill="1" applyAlignment="1" applyProtection="1">
      <alignment horizontal="left" vertical="center"/>
    </xf>
    <xf numFmtId="0" fontId="5" fillId="5" borderId="0" xfId="0" applyFont="1" applyFill="1" applyAlignment="1">
      <alignment vertical="center"/>
    </xf>
    <xf numFmtId="0" fontId="3" fillId="8" borderId="0" xfId="0" applyFont="1" applyFill="1" applyAlignment="1" applyProtection="1">
      <alignment vertical="center"/>
      <protection locked="0"/>
    </xf>
    <xf numFmtId="0" fontId="3" fillId="3" borderId="0" xfId="0" applyFont="1" applyFill="1" applyAlignment="1" applyProtection="1">
      <alignment vertical="center"/>
      <protection locked="0"/>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3" fillId="8" borderId="1"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8" borderId="5" xfId="0" applyFont="1" applyFill="1" applyBorder="1" applyAlignment="1" applyProtection="1">
      <alignment vertical="center"/>
      <protection locked="0"/>
    </xf>
    <xf numFmtId="0" fontId="3" fillId="0" borderId="0" xfId="0" applyFont="1" applyAlignment="1" applyProtection="1">
      <alignment vertical="center"/>
      <protection locked="0"/>
    </xf>
    <xf numFmtId="37" fontId="3" fillId="3" borderId="0" xfId="0" applyNumberFormat="1" applyFont="1" applyFill="1" applyAlignment="1">
      <alignment vertical="center"/>
    </xf>
    <xf numFmtId="3" fontId="3" fillId="3" borderId="0" xfId="0" applyNumberFormat="1" applyFont="1" applyFill="1" applyAlignment="1" applyProtection="1">
      <alignment vertical="center"/>
    </xf>
    <xf numFmtId="37" fontId="3" fillId="3" borderId="5" xfId="0" applyNumberFormat="1" applyFont="1" applyFill="1" applyBorder="1" applyAlignment="1" applyProtection="1">
      <alignment horizontal="left" vertical="center"/>
    </xf>
    <xf numFmtId="37" fontId="3" fillId="2" borderId="2" xfId="0" applyNumberFormat="1" applyFont="1" applyFill="1" applyBorder="1" applyAlignment="1" applyProtection="1">
      <alignment vertical="center"/>
      <protection locked="0"/>
    </xf>
    <xf numFmtId="37" fontId="3" fillId="3" borderId="4" xfId="0" applyNumberFormat="1" applyFont="1" applyFill="1" applyBorder="1" applyAlignment="1" applyProtection="1">
      <alignment horizontal="left" vertical="center"/>
    </xf>
    <xf numFmtId="3" fontId="3" fillId="3" borderId="9" xfId="0" applyNumberFormat="1" applyFont="1" applyFill="1" applyBorder="1" applyAlignment="1" applyProtection="1">
      <alignment vertical="center"/>
    </xf>
    <xf numFmtId="3" fontId="3" fillId="3" borderId="6" xfId="0" applyNumberFormat="1" applyFont="1" applyFill="1" applyBorder="1" applyAlignment="1" applyProtection="1">
      <alignment vertical="center"/>
    </xf>
    <xf numFmtId="3" fontId="3" fillId="3" borderId="5" xfId="0" applyNumberFormat="1" applyFont="1" applyFill="1" applyBorder="1" applyAlignment="1" applyProtection="1">
      <alignment vertical="center"/>
    </xf>
    <xf numFmtId="0" fontId="4" fillId="3" borderId="0" xfId="0" applyFont="1" applyFill="1" applyAlignment="1" applyProtection="1">
      <alignment vertical="center"/>
    </xf>
    <xf numFmtId="37" fontId="3" fillId="3" borderId="1" xfId="0" applyNumberFormat="1" applyFont="1" applyFill="1" applyBorder="1" applyAlignment="1" applyProtection="1">
      <alignment vertical="center"/>
    </xf>
    <xf numFmtId="0" fontId="0" fillId="3" borderId="0" xfId="0" applyFill="1" applyAlignment="1">
      <alignment vertical="center"/>
    </xf>
    <xf numFmtId="0" fontId="3" fillId="5" borderId="7" xfId="0" applyFont="1" applyFill="1" applyBorder="1" applyAlignment="1">
      <alignment horizontal="center" vertical="center"/>
    </xf>
    <xf numFmtId="0" fontId="3" fillId="5" borderId="3" xfId="0" applyFont="1" applyFill="1" applyBorder="1" applyAlignment="1">
      <alignment horizontal="center" vertical="center"/>
    </xf>
    <xf numFmtId="0" fontId="21" fillId="3" borderId="0" xfId="0" applyFont="1" applyFill="1" applyAlignment="1">
      <alignment vertical="center"/>
    </xf>
    <xf numFmtId="0" fontId="27" fillId="3" borderId="0" xfId="0" applyFont="1" applyFill="1" applyAlignment="1">
      <alignment vertical="center"/>
    </xf>
    <xf numFmtId="0" fontId="3" fillId="5" borderId="8" xfId="0" applyFont="1" applyFill="1" applyBorder="1" applyAlignment="1">
      <alignment horizontal="center" vertical="center"/>
    </xf>
    <xf numFmtId="37" fontId="3" fillId="3" borderId="8" xfId="0" applyNumberFormat="1" applyFont="1" applyFill="1" applyBorder="1" applyAlignment="1">
      <alignment vertical="center"/>
    </xf>
    <xf numFmtId="3" fontId="3" fillId="2" borderId="8" xfId="0" applyNumberFormat="1" applyFont="1" applyFill="1" applyBorder="1" applyAlignment="1" applyProtection="1">
      <alignment vertical="center"/>
      <protection locked="0"/>
    </xf>
    <xf numFmtId="0" fontId="15" fillId="3" borderId="0" xfId="0" applyFont="1" applyFill="1" applyAlignment="1">
      <alignment vertical="center"/>
    </xf>
    <xf numFmtId="0" fontId="15" fillId="0" borderId="0" xfId="0" applyFont="1" applyAlignment="1">
      <alignment vertical="center"/>
    </xf>
    <xf numFmtId="0" fontId="15" fillId="3" borderId="0" xfId="0" applyFont="1" applyFill="1" applyAlignment="1" applyProtection="1">
      <alignment vertical="center"/>
    </xf>
    <xf numFmtId="0" fontId="0" fillId="0" borderId="0" xfId="0" applyAlignment="1">
      <alignment vertical="center"/>
    </xf>
    <xf numFmtId="37" fontId="15" fillId="3" borderId="0" xfId="0" applyNumberFormat="1" applyFont="1" applyFill="1" applyAlignment="1" applyProtection="1">
      <alignment horizontal="centerContinuous" vertical="center"/>
    </xf>
    <xf numFmtId="0" fontId="15" fillId="3" borderId="0" xfId="0" applyFont="1" applyFill="1" applyAlignment="1" applyProtection="1">
      <alignment horizontal="centerContinuous" vertical="center"/>
    </xf>
    <xf numFmtId="37" fontId="15" fillId="3" borderId="0" xfId="0" applyNumberFormat="1" applyFont="1" applyFill="1" applyAlignment="1" applyProtection="1">
      <alignment horizontal="left" vertical="center"/>
    </xf>
    <xf numFmtId="37" fontId="15" fillId="3" borderId="0" xfId="0" applyNumberFormat="1" applyFont="1" applyFill="1" applyAlignment="1" applyProtection="1">
      <alignment horizontal="fill" vertical="center"/>
    </xf>
    <xf numFmtId="37" fontId="15" fillId="3" borderId="4" xfId="0" applyNumberFormat="1" applyFont="1" applyFill="1" applyBorder="1" applyAlignment="1" applyProtection="1">
      <alignment horizontal="centerContinuous" vertical="center"/>
    </xf>
    <xf numFmtId="0" fontId="15" fillId="3" borderId="5" xfId="0" applyFont="1" applyFill="1" applyBorder="1" applyAlignment="1" applyProtection="1">
      <alignment horizontal="centerContinuous" vertical="center"/>
    </xf>
    <xf numFmtId="0" fontId="15" fillId="3" borderId="6" xfId="0" applyFont="1" applyFill="1" applyBorder="1" applyAlignment="1" applyProtection="1">
      <alignment horizontal="centerContinuous" vertical="center"/>
    </xf>
    <xf numFmtId="37" fontId="15" fillId="3" borderId="7" xfId="0" applyNumberFormat="1" applyFont="1" applyFill="1" applyBorder="1" applyAlignment="1" applyProtection="1">
      <alignment horizontal="center" vertical="center"/>
    </xf>
    <xf numFmtId="37" fontId="16" fillId="3" borderId="1" xfId="0" applyNumberFormat="1" applyFont="1" applyFill="1" applyBorder="1" applyAlignment="1" applyProtection="1">
      <alignment horizontal="left" vertical="center"/>
    </xf>
    <xf numFmtId="0" fontId="15" fillId="3" borderId="1" xfId="0" applyFont="1" applyFill="1" applyBorder="1" applyAlignment="1" applyProtection="1">
      <alignment vertical="center"/>
    </xf>
    <xf numFmtId="37" fontId="15" fillId="3" borderId="8" xfId="0" applyNumberFormat="1" applyFont="1" applyFill="1" applyBorder="1" applyAlignment="1" applyProtection="1">
      <alignment horizontal="center" vertical="center"/>
    </xf>
    <xf numFmtId="37" fontId="15" fillId="3" borderId="2" xfId="0" applyNumberFormat="1" applyFont="1" applyFill="1" applyBorder="1" applyAlignment="1" applyProtection="1">
      <alignment horizontal="left" vertical="center"/>
    </xf>
    <xf numFmtId="37" fontId="15" fillId="3" borderId="3" xfId="0" applyNumberFormat="1" applyFont="1" applyFill="1" applyBorder="1" applyAlignment="1" applyProtection="1">
      <alignment horizontal="center" vertical="center"/>
    </xf>
    <xf numFmtId="0" fontId="15" fillId="3" borderId="0" xfId="0" applyFont="1" applyFill="1" applyBorder="1" applyAlignment="1" applyProtection="1">
      <alignment vertical="center"/>
    </xf>
    <xf numFmtId="37" fontId="15" fillId="3" borderId="4" xfId="0" applyNumberFormat="1" applyFont="1" applyFill="1" applyBorder="1" applyAlignment="1" applyProtection="1">
      <alignment horizontal="left" vertical="center"/>
    </xf>
    <xf numFmtId="0" fontId="15" fillId="3" borderId="6" xfId="0" applyFont="1" applyFill="1" applyBorder="1" applyAlignment="1" applyProtection="1">
      <alignment vertical="center"/>
    </xf>
    <xf numFmtId="37" fontId="15" fillId="3" borderId="9" xfId="0" applyNumberFormat="1" applyFont="1" applyFill="1" applyBorder="1" applyAlignment="1" applyProtection="1">
      <alignment horizontal="center" vertical="center"/>
    </xf>
    <xf numFmtId="37" fontId="15" fillId="3" borderId="2" xfId="0" applyNumberFormat="1" applyFont="1" applyFill="1" applyBorder="1" applyAlignment="1" applyProtection="1">
      <alignment horizontal="center" vertical="center"/>
    </xf>
    <xf numFmtId="0" fontId="15" fillId="3" borderId="3" xfId="0" applyFont="1" applyFill="1" applyBorder="1" applyAlignment="1" applyProtection="1">
      <alignment vertical="center"/>
    </xf>
    <xf numFmtId="37" fontId="15" fillId="3" borderId="6" xfId="0" applyNumberFormat="1" applyFont="1" applyFill="1" applyBorder="1" applyAlignment="1" applyProtection="1">
      <alignment horizontal="center" vertical="center"/>
    </xf>
    <xf numFmtId="37" fontId="25" fillId="3" borderId="8" xfId="0" applyNumberFormat="1" applyFont="1" applyFill="1" applyBorder="1" applyAlignment="1" applyProtection="1">
      <alignment horizontal="left" vertical="center"/>
    </xf>
    <xf numFmtId="37" fontId="25" fillId="3" borderId="8" xfId="0" applyNumberFormat="1" applyFont="1" applyFill="1" applyBorder="1" applyAlignment="1" applyProtection="1">
      <alignment horizontal="center" vertical="center"/>
    </xf>
    <xf numFmtId="0" fontId="15" fillId="3" borderId="2" xfId="0" applyFont="1" applyFill="1" applyBorder="1" applyAlignment="1" applyProtection="1">
      <alignment vertical="center"/>
    </xf>
    <xf numFmtId="0" fontId="15" fillId="3" borderId="8" xfId="0" applyFont="1" applyFill="1" applyBorder="1" applyAlignment="1" applyProtection="1">
      <alignment vertical="center"/>
    </xf>
    <xf numFmtId="37" fontId="15" fillId="3" borderId="4" xfId="0" applyNumberFormat="1" applyFont="1" applyFill="1" applyBorder="1" applyAlignment="1" applyProtection="1">
      <alignment horizontal="center" vertical="center"/>
    </xf>
    <xf numFmtId="37" fontId="15" fillId="3" borderId="2" xfId="0" applyNumberFormat="1" applyFont="1" applyFill="1" applyBorder="1" applyAlignment="1" applyProtection="1">
      <alignment vertical="center"/>
    </xf>
    <xf numFmtId="172" fontId="3" fillId="3" borderId="2" xfId="0" applyNumberFormat="1" applyFont="1" applyFill="1" applyBorder="1" applyAlignment="1" applyProtection="1">
      <alignment vertical="center"/>
    </xf>
    <xf numFmtId="37" fontId="3" fillId="3" borderId="2" xfId="0" applyNumberFormat="1"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15" fillId="3" borderId="7" xfId="0" applyFont="1" applyFill="1" applyBorder="1" applyAlignment="1" applyProtection="1">
      <alignment vertical="center"/>
    </xf>
    <xf numFmtId="37" fontId="16" fillId="3" borderId="7" xfId="0" applyNumberFormat="1" applyFont="1" applyFill="1" applyBorder="1" applyAlignment="1" applyProtection="1">
      <alignment horizontal="left" vertical="center"/>
    </xf>
    <xf numFmtId="37" fontId="15" fillId="3" borderId="10" xfId="0" applyNumberFormat="1" applyFont="1" applyFill="1" applyBorder="1" applyAlignment="1" applyProtection="1">
      <alignment horizontal="left" vertical="center"/>
    </xf>
    <xf numFmtId="0" fontId="15" fillId="3" borderId="11" xfId="0" applyFont="1" applyFill="1" applyBorder="1" applyAlignment="1" applyProtection="1">
      <alignment vertical="center"/>
    </xf>
    <xf numFmtId="37" fontId="15" fillId="3" borderId="0" xfId="0" applyNumberFormat="1" applyFont="1" applyFill="1" applyBorder="1" applyAlignment="1" applyProtection="1">
      <alignment vertical="center"/>
    </xf>
    <xf numFmtId="0" fontId="15" fillId="3" borderId="0" xfId="0" applyFont="1" applyFill="1" applyAlignment="1" applyProtection="1">
      <alignment horizontal="center" vertical="center"/>
    </xf>
    <xf numFmtId="0" fontId="3" fillId="9" borderId="2" xfId="0" applyFont="1" applyFill="1" applyBorder="1" applyAlignment="1">
      <alignment horizontal="center" vertical="center" shrinkToFit="1"/>
    </xf>
    <xf numFmtId="0" fontId="21" fillId="9" borderId="6" xfId="0" applyFont="1" applyFill="1" applyBorder="1" applyAlignment="1" applyProtection="1">
      <alignment horizontal="center" vertical="center"/>
    </xf>
    <xf numFmtId="3" fontId="15" fillId="2" borderId="2" xfId="0" applyNumberFormat="1" applyFont="1" applyFill="1" applyBorder="1" applyAlignment="1" applyProtection="1">
      <alignment vertical="center"/>
      <protection locked="0"/>
    </xf>
    <xf numFmtId="37" fontId="15" fillId="3" borderId="6" xfId="0" applyNumberFormat="1" applyFont="1" applyFill="1" applyBorder="1" applyAlignment="1" applyProtection="1">
      <alignment horizontal="fill" vertical="center"/>
    </xf>
    <xf numFmtId="37" fontId="15" fillId="3" borderId="0" xfId="0" applyNumberFormat="1" applyFont="1" applyFill="1" applyAlignment="1" applyProtection="1">
      <alignment horizontal="right" vertical="center"/>
    </xf>
    <xf numFmtId="0" fontId="15" fillId="2" borderId="1" xfId="0" applyFont="1" applyFill="1" applyBorder="1" applyAlignment="1" applyProtection="1">
      <alignment vertical="center"/>
      <protection locked="0"/>
    </xf>
    <xf numFmtId="0" fontId="15" fillId="2" borderId="5" xfId="0" applyFont="1" applyFill="1" applyBorder="1" applyAlignment="1" applyProtection="1">
      <alignment vertical="center"/>
      <protection locked="0"/>
    </xf>
    <xf numFmtId="0" fontId="15" fillId="3" borderId="0" xfId="0" applyFont="1" applyFill="1" applyAlignment="1" applyProtection="1">
      <alignment horizontal="right" vertical="center"/>
    </xf>
    <xf numFmtId="0" fontId="15" fillId="3" borderId="0" xfId="0" applyFont="1" applyFill="1" applyAlignment="1" applyProtection="1">
      <alignment horizontal="left" vertical="center"/>
    </xf>
    <xf numFmtId="0" fontId="15" fillId="0" borderId="0" xfId="0" applyFont="1" applyAlignment="1" applyProtection="1">
      <alignment vertical="center"/>
      <protection locked="0"/>
    </xf>
    <xf numFmtId="37" fontId="3" fillId="3" borderId="0" xfId="0" applyNumberFormat="1" applyFont="1" applyFill="1" applyAlignment="1" applyProtection="1">
      <alignment horizontal="centerContinuous" vertical="center"/>
    </xf>
    <xf numFmtId="37" fontId="3" fillId="3" borderId="4" xfId="0" applyNumberFormat="1" applyFont="1" applyFill="1" applyBorder="1" applyAlignment="1" applyProtection="1">
      <alignment horizontal="centerContinuous" vertical="center"/>
    </xf>
    <xf numFmtId="0" fontId="3" fillId="3" borderId="5" xfId="0" applyFont="1" applyFill="1" applyBorder="1" applyAlignment="1" applyProtection="1">
      <alignment horizontal="centerContinuous" vertical="center"/>
    </xf>
    <xf numFmtId="0" fontId="3" fillId="3" borderId="6" xfId="0" applyFont="1" applyFill="1" applyBorder="1" applyAlignment="1" applyProtection="1">
      <alignment horizontal="centerContinuous" vertical="center"/>
    </xf>
    <xf numFmtId="37" fontId="3" fillId="3" borderId="7"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3" fillId="3" borderId="8" xfId="0" applyNumberFormat="1" applyFont="1" applyFill="1" applyBorder="1" applyAlignment="1" applyProtection="1">
      <alignment horizontal="center"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3" fillId="2" borderId="2" xfId="0" applyNumberFormat="1" applyFont="1" applyFill="1" applyBorder="1" applyAlignment="1" applyProtection="1">
      <alignment horizontal="left" vertical="center"/>
      <protection locked="0"/>
    </xf>
    <xf numFmtId="37" fontId="3" fillId="3" borderId="2" xfId="0" applyNumberFormat="1" applyFont="1" applyFill="1" applyBorder="1" applyAlignment="1" applyProtection="1">
      <alignment horizontal="fill" vertical="center"/>
    </xf>
    <xf numFmtId="37" fontId="3" fillId="4" borderId="12" xfId="0" applyNumberFormat="1" applyFont="1" applyFill="1" applyBorder="1" applyAlignment="1" applyProtection="1">
      <alignment vertical="center"/>
    </xf>
    <xf numFmtId="172" fontId="3" fillId="4" borderId="12" xfId="0" applyNumberFormat="1" applyFont="1" applyFill="1" applyBorder="1" applyAlignment="1" applyProtection="1">
      <alignment vertical="center"/>
    </xf>
    <xf numFmtId="37" fontId="3" fillId="3" borderId="0" xfId="0" applyNumberFormat="1" applyFont="1" applyFill="1" applyBorder="1" applyAlignment="1" applyProtection="1">
      <alignment vertical="center"/>
    </xf>
    <xf numFmtId="37" fontId="3" fillId="0" borderId="0" xfId="0" applyNumberFormat="1" applyFont="1" applyAlignment="1" applyProtection="1">
      <alignment horizontal="left" vertical="center"/>
      <protection locked="0"/>
    </xf>
    <xf numFmtId="0" fontId="3" fillId="0" borderId="0" xfId="0" applyFont="1" applyAlignment="1" applyProtection="1">
      <alignment horizontal="center" vertical="center"/>
      <protection locked="0"/>
    </xf>
    <xf numFmtId="37" fontId="3" fillId="0" borderId="0" xfId="0" applyNumberFormat="1" applyFont="1" applyAlignment="1" applyProtection="1">
      <alignment horizontal="fill" vertical="center"/>
      <protection locked="0"/>
    </xf>
    <xf numFmtId="37" fontId="3"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3" fillId="3" borderId="0" xfId="0" quotePrefix="1" applyFont="1" applyFill="1" applyAlignment="1" applyProtection="1">
      <alignment vertical="center"/>
    </xf>
    <xf numFmtId="3" fontId="3" fillId="3" borderId="0" xfId="0" quotePrefix="1" applyNumberFormat="1" applyFont="1" applyFill="1" applyAlignment="1" applyProtection="1">
      <alignment vertical="center"/>
    </xf>
    <xf numFmtId="3" fontId="3" fillId="3" borderId="1" xfId="0" applyNumberFormat="1" applyFont="1" applyFill="1" applyBorder="1" applyAlignment="1" applyProtection="1">
      <alignment vertical="center"/>
    </xf>
    <xf numFmtId="3" fontId="3" fillId="3" borderId="13" xfId="0" applyNumberFormat="1" applyFont="1" applyFill="1" applyBorder="1" applyAlignment="1" applyProtection="1">
      <alignment vertical="center"/>
    </xf>
    <xf numFmtId="0" fontId="3" fillId="3" borderId="13" xfId="0" applyFont="1" applyFill="1" applyBorder="1" applyAlignment="1" applyProtection="1">
      <alignment vertical="center"/>
    </xf>
    <xf numFmtId="167" fontId="3" fillId="3" borderId="1" xfId="0" applyNumberFormat="1" applyFont="1" applyFill="1" applyBorder="1" applyAlignment="1" applyProtection="1">
      <alignment vertical="center"/>
    </xf>
    <xf numFmtId="0" fontId="3" fillId="3" borderId="0" xfId="0" quotePrefix="1" applyFont="1" applyFill="1" applyBorder="1" applyAlignment="1" applyProtection="1">
      <alignment vertical="center"/>
    </xf>
    <xf numFmtId="3" fontId="3" fillId="3" borderId="14" xfId="0" applyNumberFormat="1" applyFont="1" applyFill="1" applyBorder="1" applyAlignment="1" applyProtection="1">
      <alignment vertical="center"/>
    </xf>
    <xf numFmtId="0" fontId="6" fillId="0" borderId="0" xfId="0" applyFont="1" applyAlignment="1">
      <alignment vertical="center"/>
    </xf>
    <xf numFmtId="37" fontId="3" fillId="3" borderId="0" xfId="0" applyNumberFormat="1" applyFont="1" applyFill="1" applyAlignment="1" applyProtection="1">
      <alignment horizontal="right" vertical="center"/>
    </xf>
    <xf numFmtId="0" fontId="4" fillId="3" borderId="1"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2" borderId="8" xfId="0" applyFont="1" applyFill="1" applyBorder="1" applyAlignment="1" applyProtection="1">
      <alignment vertical="center"/>
      <protection locked="0"/>
    </xf>
    <xf numFmtId="170" fontId="3" fillId="2" borderId="8" xfId="1" applyNumberFormat="1" applyFont="1" applyFill="1" applyBorder="1" applyAlignment="1" applyProtection="1">
      <alignment vertical="center"/>
      <protection locked="0"/>
    </xf>
    <xf numFmtId="170" fontId="3" fillId="2" borderId="2" xfId="1" applyNumberFormat="1" applyFont="1" applyFill="1" applyBorder="1" applyAlignment="1" applyProtection="1">
      <alignment vertical="center"/>
      <protection locked="0"/>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protection locked="0"/>
    </xf>
    <xf numFmtId="1" fontId="3" fillId="3" borderId="0" xfId="0" applyNumberFormat="1" applyFont="1" applyFill="1" applyBorder="1" applyAlignment="1" applyProtection="1">
      <alignment horizontal="right" vertical="center"/>
    </xf>
    <xf numFmtId="0" fontId="4" fillId="3" borderId="0" xfId="340" applyFont="1" applyFill="1" applyAlignment="1" applyProtection="1">
      <alignment horizontal="centerContinuous" vertical="center"/>
    </xf>
    <xf numFmtId="0" fontId="3" fillId="3" borderId="1" xfId="0" applyFont="1" applyFill="1" applyBorder="1" applyAlignment="1" applyProtection="1">
      <alignment horizontal="fill" vertical="center"/>
    </xf>
    <xf numFmtId="0" fontId="3" fillId="3" borderId="7" xfId="0" applyFont="1" applyFill="1" applyBorder="1" applyAlignment="1" applyProtection="1">
      <alignment horizontal="center" vertical="center"/>
    </xf>
    <xf numFmtId="0" fontId="3" fillId="3" borderId="10" xfId="0" applyFont="1" applyFill="1" applyBorder="1" applyAlignment="1" applyProtection="1">
      <alignment horizontal="centerContinuous" vertical="center"/>
    </xf>
    <xf numFmtId="0" fontId="3" fillId="3" borderId="11" xfId="0" applyFont="1" applyFill="1" applyBorder="1" applyAlignment="1" applyProtection="1">
      <alignment horizontal="centerContinuous" vertical="center"/>
    </xf>
    <xf numFmtId="0" fontId="3" fillId="3" borderId="3" xfId="0" applyFont="1" applyFill="1" applyBorder="1" applyAlignment="1" applyProtection="1">
      <alignment horizontal="center" vertical="center"/>
    </xf>
    <xf numFmtId="1" fontId="3" fillId="3" borderId="18" xfId="0" applyNumberFormat="1" applyFont="1" applyFill="1" applyBorder="1" applyAlignment="1" applyProtection="1">
      <alignment horizontal="center" vertical="center"/>
    </xf>
    <xf numFmtId="0" fontId="3" fillId="3" borderId="2" xfId="0" applyFont="1" applyFill="1" applyBorder="1" applyAlignment="1" applyProtection="1">
      <alignment horizontal="left" vertical="center"/>
    </xf>
    <xf numFmtId="0" fontId="3" fillId="3" borderId="8" xfId="0" applyFont="1" applyFill="1" applyBorder="1" applyAlignment="1" applyProtection="1">
      <alignment horizontal="center" vertical="center"/>
    </xf>
    <xf numFmtId="2" fontId="3" fillId="3" borderId="2" xfId="0" applyNumberFormat="1" applyFont="1" applyFill="1" applyBorder="1" applyAlignment="1" applyProtection="1">
      <alignment vertical="center"/>
    </xf>
    <xf numFmtId="3" fontId="3" fillId="3" borderId="2" xfId="0" applyNumberFormat="1" applyFont="1" applyFill="1" applyBorder="1" applyAlignment="1" applyProtection="1">
      <alignment vertical="center"/>
    </xf>
    <xf numFmtId="0" fontId="3" fillId="7" borderId="2" xfId="0" applyFont="1" applyFill="1" applyBorder="1" applyAlignment="1" applyProtection="1">
      <alignment horizontal="center" vertical="center"/>
      <protection locked="0"/>
    </xf>
    <xf numFmtId="2" fontId="3" fillId="7" borderId="2" xfId="0" applyNumberFormat="1" applyFont="1" applyFill="1" applyBorder="1" applyAlignment="1" applyProtection="1">
      <alignment horizontal="center" vertical="center"/>
      <protection locked="0"/>
    </xf>
    <xf numFmtId="3" fontId="3" fillId="7" borderId="2" xfId="0" applyNumberFormat="1" applyFont="1" applyFill="1" applyBorder="1" applyAlignment="1" applyProtection="1">
      <alignment horizontal="center" vertical="center"/>
      <protection locked="0"/>
    </xf>
    <xf numFmtId="37" fontId="3" fillId="7" borderId="2" xfId="0" applyNumberFormat="1" applyFont="1" applyFill="1" applyBorder="1" applyAlignment="1" applyProtection="1">
      <alignment horizontal="center" vertical="center"/>
      <protection locked="0"/>
    </xf>
    <xf numFmtId="169" fontId="3" fillId="7"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xf>
    <xf numFmtId="168" fontId="4" fillId="3" borderId="2" xfId="0" applyNumberFormat="1" applyFont="1" applyFill="1" applyBorder="1" applyAlignment="1" applyProtection="1">
      <alignment horizontal="center" vertical="center"/>
    </xf>
    <xf numFmtId="2" fontId="4" fillId="3" borderId="2" xfId="0" applyNumberFormat="1" applyFont="1" applyFill="1" applyBorder="1" applyAlignment="1" applyProtection="1">
      <alignment horizontal="center" vertical="center"/>
    </xf>
    <xf numFmtId="3" fontId="4" fillId="3" borderId="2" xfId="0" applyNumberFormat="1" applyFont="1" applyFill="1" applyBorder="1" applyAlignment="1" applyProtection="1">
      <alignment horizontal="center" vertical="center"/>
    </xf>
    <xf numFmtId="37" fontId="4" fillId="4" borderId="2" xfId="0" applyNumberFormat="1" applyFont="1" applyFill="1" applyBorder="1" applyAlignment="1" applyProtection="1">
      <alignment horizontal="center" vertical="center"/>
    </xf>
    <xf numFmtId="169" fontId="4" fillId="3" borderId="2" xfId="0" applyNumberFormat="1" applyFont="1" applyFill="1" applyBorder="1" applyAlignment="1" applyProtection="1">
      <alignment horizontal="center" vertical="center"/>
    </xf>
    <xf numFmtId="168" fontId="3" fillId="3" borderId="2" xfId="0" applyNumberFormat="1" applyFont="1" applyFill="1" applyBorder="1" applyAlignment="1" applyProtection="1">
      <alignment horizontal="center" vertical="center"/>
    </xf>
    <xf numFmtId="2" fontId="3" fillId="3" borderId="2" xfId="0" applyNumberFormat="1" applyFont="1" applyFill="1" applyBorder="1" applyAlignment="1" applyProtection="1">
      <alignment horizontal="center" vertical="center"/>
    </xf>
    <xf numFmtId="3" fontId="3" fillId="3" borderId="2" xfId="0" applyNumberFormat="1" applyFont="1" applyFill="1" applyBorder="1" applyAlignment="1" applyProtection="1">
      <alignment horizontal="center" vertical="center"/>
    </xf>
    <xf numFmtId="169" fontId="3" fillId="3" borderId="2" xfId="0" applyNumberFormat="1" applyFont="1" applyFill="1" applyBorder="1" applyAlignment="1" applyProtection="1">
      <alignment horizontal="center" vertical="center"/>
    </xf>
    <xf numFmtId="1" fontId="4" fillId="3" borderId="2" xfId="0" applyNumberFormat="1" applyFont="1" applyFill="1" applyBorder="1" applyAlignment="1" applyProtection="1">
      <alignment horizontal="center" vertical="center"/>
    </xf>
    <xf numFmtId="3" fontId="4" fillId="4" borderId="2" xfId="0" applyNumberFormat="1" applyFont="1" applyFill="1" applyBorder="1" applyAlignment="1" applyProtection="1">
      <alignment horizontal="center" vertical="center"/>
    </xf>
    <xf numFmtId="1" fontId="3" fillId="3" borderId="2" xfId="0" applyNumberFormat="1" applyFont="1" applyFill="1" applyBorder="1" applyAlignment="1" applyProtection="1">
      <alignment horizontal="center" vertical="center"/>
    </xf>
    <xf numFmtId="37" fontId="3" fillId="0" borderId="0" xfId="0" applyNumberFormat="1" applyFont="1" applyAlignment="1" applyProtection="1">
      <alignment vertical="center"/>
      <protection locked="0"/>
    </xf>
    <xf numFmtId="0" fontId="3" fillId="0" borderId="0" xfId="0" applyFont="1" applyAlignment="1" applyProtection="1">
      <alignment horizontal="left" vertical="center"/>
      <protection locked="0"/>
    </xf>
    <xf numFmtId="0" fontId="3" fillId="3" borderId="0" xfId="0" applyNumberFormat="1" applyFont="1" applyFill="1" applyAlignment="1" applyProtection="1">
      <alignment horizontal="right" vertical="center"/>
    </xf>
    <xf numFmtId="0" fontId="3" fillId="3" borderId="0" xfId="0" applyFont="1" applyFill="1" applyAlignment="1" applyProtection="1">
      <alignment horizontal="right" vertical="center"/>
    </xf>
    <xf numFmtId="0" fontId="3" fillId="3" borderId="19"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18" xfId="0" applyFont="1" applyFill="1" applyBorder="1" applyAlignment="1" applyProtection="1">
      <alignment horizontal="left" vertical="center"/>
    </xf>
    <xf numFmtId="0" fontId="7" fillId="3" borderId="8" xfId="0" applyFont="1" applyFill="1" applyBorder="1" applyAlignment="1" applyProtection="1">
      <alignment horizontal="center" vertical="center"/>
    </xf>
    <xf numFmtId="14" fontId="3" fillId="3" borderId="8" xfId="0" quotePrefix="1" applyNumberFormat="1" applyFont="1" applyFill="1" applyBorder="1" applyAlignment="1" applyProtection="1">
      <alignment horizontal="center" vertical="center"/>
    </xf>
    <xf numFmtId="0" fontId="3" fillId="7" borderId="2" xfId="0" applyFont="1" applyFill="1" applyBorder="1" applyAlignment="1" applyProtection="1">
      <alignment vertical="center"/>
      <protection locked="0"/>
    </xf>
    <xf numFmtId="1" fontId="3" fillId="7" borderId="2" xfId="0" applyNumberFormat="1" applyFont="1" applyFill="1" applyBorder="1" applyAlignment="1" applyProtection="1">
      <alignment vertical="center"/>
      <protection locked="0"/>
    </xf>
    <xf numFmtId="2" fontId="3" fillId="7" borderId="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xf>
    <xf numFmtId="0" fontId="3" fillId="0" borderId="0" xfId="0" applyFont="1" applyBorder="1" applyAlignment="1">
      <alignment vertical="center"/>
    </xf>
    <xf numFmtId="0" fontId="3" fillId="6" borderId="0" xfId="339" applyFont="1" applyFill="1" applyAlignment="1" applyProtection="1">
      <alignment vertical="center"/>
    </xf>
    <xf numFmtId="0" fontId="3" fillId="6" borderId="0" xfId="0" applyFont="1" applyFill="1" applyAlignment="1" applyProtection="1">
      <alignment vertical="center"/>
    </xf>
    <xf numFmtId="0" fontId="3" fillId="3" borderId="0" xfId="0" quotePrefix="1" applyFont="1" applyFill="1" applyAlignment="1" applyProtection="1">
      <alignment horizontal="right" vertical="center"/>
    </xf>
    <xf numFmtId="0" fontId="3" fillId="3" borderId="0" xfId="0" applyFont="1" applyFill="1" applyAlignment="1" applyProtection="1">
      <alignment horizontal="left" vertical="center"/>
    </xf>
    <xf numFmtId="1" fontId="3" fillId="3" borderId="8" xfId="0" applyNumberFormat="1" applyFont="1" applyFill="1" applyBorder="1" applyAlignment="1" applyProtection="1">
      <alignment horizontal="center" vertical="center"/>
    </xf>
    <xf numFmtId="0" fontId="3" fillId="3" borderId="4" xfId="0" applyFont="1" applyFill="1" applyBorder="1" applyAlignment="1" applyProtection="1">
      <alignment horizontal="left" vertical="center"/>
    </xf>
    <xf numFmtId="3" fontId="3" fillId="7" borderId="6" xfId="0" applyNumberFormat="1" applyFont="1" applyFill="1" applyBorder="1" applyAlignment="1" applyProtection="1">
      <alignment vertical="center"/>
      <protection locked="0"/>
    </xf>
    <xf numFmtId="37" fontId="3" fillId="3" borderId="4" xfId="0" applyNumberFormat="1" applyFont="1" applyFill="1" applyBorder="1" applyAlignment="1" applyProtection="1">
      <alignment vertical="center"/>
    </xf>
    <xf numFmtId="37" fontId="3" fillId="7" borderId="2" xfId="0" applyNumberFormat="1" applyFont="1" applyFill="1" applyBorder="1" applyAlignment="1" applyProtection="1">
      <alignment vertical="center"/>
      <protection locked="0"/>
    </xf>
    <xf numFmtId="37" fontId="3" fillId="7" borderId="4" xfId="0" applyNumberFormat="1" applyFont="1" applyFill="1" applyBorder="1" applyAlignment="1" applyProtection="1">
      <alignment vertical="center"/>
      <protection locked="0"/>
    </xf>
    <xf numFmtId="0" fontId="3" fillId="7" borderId="4" xfId="0" applyFont="1" applyFill="1" applyBorder="1" applyAlignment="1" applyProtection="1">
      <alignment horizontal="left" vertical="center"/>
      <protection locked="0"/>
    </xf>
    <xf numFmtId="0" fontId="3" fillId="3" borderId="4" xfId="0" applyFont="1" applyFill="1" applyBorder="1" applyAlignment="1" applyProtection="1">
      <alignment vertical="center"/>
    </xf>
    <xf numFmtId="3" fontId="21" fillId="10" borderId="11"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4" fillId="4" borderId="2" xfId="0" applyNumberFormat="1" applyFont="1" applyFill="1" applyBorder="1" applyAlignment="1" applyProtection="1">
      <alignment vertical="center"/>
    </xf>
    <xf numFmtId="0" fontId="4" fillId="3" borderId="0" xfId="0" applyFont="1" applyFill="1" applyAlignment="1" applyProtection="1">
      <alignment horizontal="left" vertical="center"/>
    </xf>
    <xf numFmtId="0" fontId="3" fillId="3" borderId="0" xfId="0" applyFont="1" applyFill="1" applyAlignment="1" applyProtection="1">
      <alignment horizontal="fill" vertical="center"/>
    </xf>
    <xf numFmtId="0" fontId="3" fillId="3" borderId="8"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vertical="center"/>
    </xf>
    <xf numFmtId="37" fontId="3" fillId="9" borderId="2" xfId="0" applyNumberFormat="1" applyFont="1" applyFill="1" applyBorder="1" applyAlignment="1" applyProtection="1">
      <alignment vertical="center"/>
    </xf>
    <xf numFmtId="0" fontId="3" fillId="7" borderId="4" xfId="0" applyFont="1" applyFill="1" applyBorder="1" applyAlignment="1" applyProtection="1">
      <alignment vertical="center"/>
      <protection locked="0"/>
    </xf>
    <xf numFmtId="37" fontId="3" fillId="4" borderId="2" xfId="0" applyNumberFormat="1" applyFont="1" applyFill="1" applyBorder="1" applyAlignment="1" applyProtection="1">
      <alignment vertical="center"/>
    </xf>
    <xf numFmtId="0" fontId="21" fillId="0" borderId="0" xfId="0" applyFont="1" applyAlignment="1">
      <alignment vertical="center"/>
    </xf>
    <xf numFmtId="0" fontId="22" fillId="3" borderId="0" xfId="0" applyFont="1" applyFill="1" applyAlignment="1" applyProtection="1">
      <alignment horizontal="center" vertical="center"/>
    </xf>
    <xf numFmtId="0" fontId="3" fillId="3" borderId="0" xfId="0" applyFont="1" applyFill="1" applyAlignment="1">
      <alignment horizontal="right" vertical="center"/>
    </xf>
    <xf numFmtId="1" fontId="3" fillId="3" borderId="7" xfId="0" applyNumberFormat="1" applyFont="1" applyFill="1" applyBorder="1" applyAlignment="1" applyProtection="1">
      <alignment horizontal="center" vertical="center"/>
    </xf>
    <xf numFmtId="0" fontId="3" fillId="2" borderId="2" xfId="0" applyFont="1" applyFill="1" applyBorder="1" applyAlignment="1" applyProtection="1">
      <alignment horizontal="left" vertical="center"/>
      <protection locked="0"/>
    </xf>
    <xf numFmtId="37" fontId="3" fillId="4" borderId="7" xfId="0" applyNumberFormat="1" applyFont="1" applyFill="1" applyBorder="1" applyAlignment="1" applyProtection="1">
      <alignment vertical="center"/>
    </xf>
    <xf numFmtId="0" fontId="3" fillId="3" borderId="0" xfId="0" applyNumberFormat="1" applyFont="1" applyFill="1" applyAlignment="1" applyProtection="1">
      <alignment vertical="center"/>
    </xf>
    <xf numFmtId="37" fontId="3" fillId="3" borderId="0" xfId="0" applyNumberFormat="1" applyFont="1" applyFill="1" applyAlignment="1" applyProtection="1">
      <alignment horizontal="fill" vertical="center"/>
    </xf>
    <xf numFmtId="0" fontId="3" fillId="4" borderId="0" xfId="0" applyFont="1" applyFill="1" applyAlignment="1" applyProtection="1">
      <alignment horizontal="left" vertical="center"/>
    </xf>
    <xf numFmtId="37" fontId="4" fillId="9" borderId="12" xfId="0" applyNumberFormat="1" applyFont="1" applyFill="1" applyBorder="1" applyAlignment="1" applyProtection="1">
      <alignment vertical="center"/>
    </xf>
    <xf numFmtId="0" fontId="21" fillId="6" borderId="0" xfId="0" applyFont="1" applyFill="1" applyAlignment="1">
      <alignment vertical="center"/>
    </xf>
    <xf numFmtId="37" fontId="3" fillId="6" borderId="0" xfId="0" applyNumberFormat="1" applyFont="1" applyFill="1" applyAlignment="1">
      <alignment vertical="center"/>
    </xf>
    <xf numFmtId="37" fontId="3" fillId="0" borderId="0" xfId="0" applyNumberFormat="1" applyFont="1" applyAlignment="1">
      <alignment vertical="center"/>
    </xf>
    <xf numFmtId="166" fontId="3" fillId="3" borderId="0" xfId="0" applyNumberFormat="1" applyFont="1" applyFill="1" applyAlignment="1" applyProtection="1">
      <alignment vertical="center"/>
    </xf>
    <xf numFmtId="37" fontId="3" fillId="3" borderId="0" xfId="0" quotePrefix="1" applyNumberFormat="1" applyFont="1" applyFill="1" applyAlignment="1" applyProtection="1">
      <alignment horizontal="right" vertical="center"/>
    </xf>
    <xf numFmtId="3" fontId="3" fillId="3" borderId="2" xfId="1" applyNumberFormat="1" applyFont="1" applyFill="1" applyBorder="1" applyAlignment="1" applyProtection="1">
      <alignment horizontal="right" vertical="center"/>
    </xf>
    <xf numFmtId="37" fontId="3" fillId="3" borderId="18" xfId="0" applyNumberFormat="1" applyFont="1" applyFill="1" applyBorder="1" applyAlignment="1" applyProtection="1">
      <alignment horizontal="left" vertical="center"/>
    </xf>
    <xf numFmtId="3" fontId="3" fillId="3" borderId="2" xfId="0" applyNumberFormat="1" applyFont="1" applyFill="1" applyBorder="1" applyAlignment="1" applyProtection="1">
      <alignment horizontal="fill" vertical="center"/>
    </xf>
    <xf numFmtId="3" fontId="3" fillId="7" borderId="2" xfId="0" applyNumberFormat="1" applyFont="1" applyFill="1" applyBorder="1" applyAlignment="1" applyProtection="1">
      <alignment horizontal="right" vertical="center"/>
      <protection locked="0"/>
    </xf>
    <xf numFmtId="3" fontId="3" fillId="3" borderId="2" xfId="0" applyNumberFormat="1" applyFont="1" applyFill="1" applyBorder="1" applyAlignment="1" applyProtection="1">
      <alignment horizontal="right" vertical="center"/>
    </xf>
    <xf numFmtId="0" fontId="3" fillId="3" borderId="4" xfId="0" applyNumberFormat="1" applyFont="1" applyFill="1" applyBorder="1" applyAlignment="1" applyProtection="1">
      <alignment horizontal="left" vertical="center"/>
    </xf>
    <xf numFmtId="0" fontId="3" fillId="7" borderId="4" xfId="0" applyNumberFormat="1" applyFont="1" applyFill="1" applyBorder="1" applyAlignment="1" applyProtection="1">
      <alignment horizontal="left" vertical="center"/>
      <protection locked="0"/>
    </xf>
    <xf numFmtId="3" fontId="3" fillId="2" borderId="2" xfId="0" applyNumberFormat="1" applyFont="1" applyFill="1" applyBorder="1" applyAlignment="1" applyProtection="1">
      <alignment horizontal="right" vertical="center"/>
      <protection locked="0"/>
    </xf>
    <xf numFmtId="0" fontId="3" fillId="7" borderId="10" xfId="0" applyNumberFormat="1" applyFont="1" applyFill="1" applyBorder="1" applyAlignment="1" applyProtection="1">
      <alignment horizontal="left" vertical="center"/>
      <protection locked="0"/>
    </xf>
    <xf numFmtId="3" fontId="21" fillId="10" borderId="2" xfId="0" applyNumberFormat="1" applyFont="1" applyFill="1" applyBorder="1" applyAlignment="1" applyProtection="1">
      <alignment horizontal="center" vertical="center"/>
    </xf>
    <xf numFmtId="3" fontId="4" fillId="4" borderId="8" xfId="0" applyNumberFormat="1" applyFont="1" applyFill="1" applyBorder="1" applyAlignment="1" applyProtection="1">
      <alignment horizontal="right" vertical="center"/>
    </xf>
    <xf numFmtId="3" fontId="4" fillId="4" borderId="2" xfId="0" applyNumberFormat="1" applyFont="1" applyFill="1" applyBorder="1" applyAlignment="1" applyProtection="1">
      <alignment horizontal="right" vertical="center"/>
    </xf>
    <xf numFmtId="0" fontId="21" fillId="0" borderId="0" xfId="0" applyFont="1" applyAlignment="1" applyProtection="1">
      <alignment vertical="center"/>
    </xf>
    <xf numFmtId="3" fontId="3" fillId="9" borderId="2" xfId="0" applyNumberFormat="1" applyFont="1" applyFill="1" applyBorder="1" applyAlignment="1" applyProtection="1">
      <alignment vertical="center"/>
    </xf>
    <xf numFmtId="0" fontId="3" fillId="2" borderId="0" xfId="0" applyFont="1" applyFill="1" applyAlignment="1" applyProtection="1">
      <alignment horizontal="left" vertical="center"/>
      <protection locked="0"/>
    </xf>
    <xf numFmtId="0" fontId="3" fillId="2" borderId="4" xfId="0" applyFont="1" applyFill="1" applyBorder="1" applyAlignment="1" applyProtection="1">
      <alignment horizontal="left" vertical="center"/>
    </xf>
    <xf numFmtId="0" fontId="3" fillId="2" borderId="4" xfId="0" applyFont="1" applyFill="1" applyBorder="1" applyAlignment="1">
      <alignment vertical="center"/>
    </xf>
    <xf numFmtId="3" fontId="4" fillId="4" borderId="2" xfId="0" applyNumberFormat="1" applyFont="1" applyFill="1" applyBorder="1" applyAlignment="1" applyProtection="1">
      <alignment vertical="center"/>
    </xf>
    <xf numFmtId="0" fontId="3" fillId="3" borderId="0" xfId="0" applyFont="1" applyFill="1" applyAlignment="1" applyProtection="1">
      <alignment horizontal="center" vertical="center"/>
      <protection locked="0"/>
    </xf>
    <xf numFmtId="37" fontId="3" fillId="2" borderId="4" xfId="0" applyNumberFormat="1" applyFont="1" applyFill="1" applyBorder="1" applyAlignment="1" applyProtection="1">
      <alignment vertical="center"/>
    </xf>
    <xf numFmtId="0" fontId="21" fillId="6" borderId="0" xfId="0" applyFont="1" applyFill="1" applyAlignment="1" applyProtection="1">
      <alignment vertical="center"/>
    </xf>
    <xf numFmtId="37" fontId="3" fillId="6" borderId="0" xfId="0" applyNumberFormat="1" applyFont="1" applyFill="1" applyAlignment="1" applyProtection="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28" fillId="3" borderId="0" xfId="0" applyFont="1" applyFill="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vertical="center"/>
    </xf>
    <xf numFmtId="0" fontId="19" fillId="3" borderId="7" xfId="0" applyFont="1" applyFill="1" applyBorder="1" applyAlignment="1">
      <alignment vertical="center"/>
    </xf>
    <xf numFmtId="0" fontId="19" fillId="3" borderId="6" xfId="0" applyFont="1" applyFill="1" applyBorder="1" applyAlignment="1">
      <alignment horizontal="center" vertical="center"/>
    </xf>
    <xf numFmtId="0" fontId="19" fillId="3" borderId="11" xfId="0" applyFont="1" applyFill="1" applyBorder="1" applyAlignment="1">
      <alignment vertical="center"/>
    </xf>
    <xf numFmtId="0" fontId="19" fillId="3" borderId="2" xfId="0" applyFont="1" applyFill="1" applyBorder="1" applyAlignment="1">
      <alignment horizontal="center" vertical="center"/>
    </xf>
    <xf numFmtId="0" fontId="3" fillId="3" borderId="6" xfId="0" applyFont="1" applyFill="1" applyBorder="1" applyAlignment="1">
      <alignment vertical="center"/>
    </xf>
    <xf numFmtId="0" fontId="3" fillId="3" borderId="2" xfId="0" applyFont="1" applyFill="1" applyBorder="1" applyAlignment="1">
      <alignment horizontal="center" vertical="center"/>
    </xf>
    <xf numFmtId="0" fontId="19" fillId="3" borderId="18" xfId="0" applyFont="1" applyFill="1" applyBorder="1" applyAlignment="1">
      <alignment vertical="center"/>
    </xf>
    <xf numFmtId="3" fontId="19" fillId="2" borderId="2" xfId="0" applyNumberFormat="1" applyFont="1" applyFill="1" applyBorder="1" applyAlignment="1" applyProtection="1">
      <alignment horizontal="center" vertical="center"/>
      <protection locked="0"/>
    </xf>
    <xf numFmtId="0" fontId="19" fillId="3" borderId="1" xfId="0" applyFont="1" applyFill="1" applyBorder="1" applyAlignment="1">
      <alignment vertical="center"/>
    </xf>
    <xf numFmtId="3" fontId="19" fillId="4" borderId="2" xfId="0" applyNumberFormat="1" applyFont="1" applyFill="1" applyBorder="1" applyAlignment="1">
      <alignment horizontal="center" vertical="center"/>
    </xf>
    <xf numFmtId="0" fontId="19" fillId="3" borderId="0" xfId="0" applyFont="1" applyFill="1" applyAlignment="1">
      <alignment vertical="center"/>
    </xf>
    <xf numFmtId="3" fontId="19" fillId="3" borderId="0" xfId="0" applyNumberFormat="1" applyFont="1" applyFill="1" applyAlignment="1">
      <alignment horizontal="center" vertical="center"/>
    </xf>
    <xf numFmtId="0" fontId="19" fillId="3" borderId="0" xfId="0" applyFont="1" applyFill="1" applyAlignment="1">
      <alignment horizontal="center" vertical="center"/>
    </xf>
    <xf numFmtId="0" fontId="19" fillId="2" borderId="2" xfId="0" applyFont="1" applyFill="1" applyBorder="1" applyAlignment="1" applyProtection="1">
      <alignment vertical="center"/>
      <protection locked="0"/>
    </xf>
    <xf numFmtId="0" fontId="19" fillId="2" borderId="11" xfId="0" applyFont="1" applyFill="1" applyBorder="1" applyAlignment="1" applyProtection="1">
      <alignment vertical="center"/>
      <protection locked="0"/>
    </xf>
    <xf numFmtId="0" fontId="19" fillId="2" borderId="0" xfId="0" applyFont="1" applyFill="1" applyAlignment="1" applyProtection="1">
      <alignment vertical="center"/>
      <protection locked="0"/>
    </xf>
    <xf numFmtId="0" fontId="19" fillId="2" borderId="6" xfId="0" applyFont="1" applyFill="1" applyBorder="1" applyAlignment="1" applyProtection="1">
      <alignment vertical="center"/>
      <protection locked="0"/>
    </xf>
    <xf numFmtId="0" fontId="19" fillId="2" borderId="8" xfId="0" applyFont="1" applyFill="1" applyBorder="1" applyAlignment="1" applyProtection="1">
      <alignment vertical="center"/>
      <protection locked="0"/>
    </xf>
    <xf numFmtId="0" fontId="19" fillId="2" borderId="15" xfId="0" applyFont="1" applyFill="1" applyBorder="1" applyAlignment="1" applyProtection="1">
      <alignment vertical="center"/>
      <protection locked="0"/>
    </xf>
    <xf numFmtId="3" fontId="19" fillId="3" borderId="2" xfId="0" applyNumberFormat="1" applyFont="1" applyFill="1" applyBorder="1" applyAlignment="1">
      <alignment horizontal="center" vertical="center"/>
    </xf>
    <xf numFmtId="3" fontId="24" fillId="9" borderId="2" xfId="0" applyNumberFormat="1" applyFont="1" applyFill="1" applyBorder="1" applyAlignment="1">
      <alignment horizontal="center" vertical="center"/>
    </xf>
    <xf numFmtId="3" fontId="3" fillId="3" borderId="0" xfId="0" applyNumberFormat="1" applyFont="1" applyFill="1" applyAlignment="1">
      <alignment vertical="center"/>
    </xf>
    <xf numFmtId="3" fontId="3" fillId="0" borderId="0" xfId="0" applyNumberFormat="1" applyFont="1" applyAlignment="1">
      <alignment vertical="center"/>
    </xf>
    <xf numFmtId="3" fontId="24" fillId="4" borderId="2" xfId="0" applyNumberFormat="1" applyFont="1" applyFill="1" applyBorder="1" applyAlignment="1">
      <alignment horizontal="center" vertical="center"/>
    </xf>
    <xf numFmtId="0" fontId="3" fillId="0" borderId="0" xfId="0" applyFont="1" applyAlignment="1">
      <alignment horizontal="centerContinuous" vertical="center"/>
    </xf>
    <xf numFmtId="0" fontId="3" fillId="3" borderId="7" xfId="0" applyFont="1" applyFill="1" applyBorder="1" applyAlignment="1" applyProtection="1">
      <alignment horizontal="centerContinuous" vertical="center"/>
    </xf>
    <xf numFmtId="1" fontId="3" fillId="3" borderId="4" xfId="0" applyNumberFormat="1" applyFont="1" applyFill="1" applyBorder="1" applyAlignment="1" applyProtection="1">
      <alignment horizontal="centerContinuous" vertical="center"/>
    </xf>
    <xf numFmtId="164" fontId="3" fillId="3" borderId="2" xfId="0" applyNumberFormat="1" applyFont="1" applyFill="1" applyBorder="1" applyAlignment="1" applyProtection="1">
      <alignment vertical="center"/>
    </xf>
    <xf numFmtId="37" fontId="3" fillId="3" borderId="2" xfId="0" applyNumberFormat="1" applyFont="1" applyFill="1" applyBorder="1" applyAlignment="1" applyProtection="1">
      <alignment vertical="center"/>
      <protection locked="0"/>
    </xf>
    <xf numFmtId="1" fontId="3" fillId="3" borderId="0" xfId="0" applyNumberFormat="1" applyFont="1" applyFill="1" applyAlignment="1" applyProtection="1">
      <alignment vertical="center"/>
    </xf>
    <xf numFmtId="1" fontId="5" fillId="3" borderId="0" xfId="0" applyNumberFormat="1" applyFont="1" applyFill="1" applyAlignment="1" applyProtection="1">
      <alignment horizontal="center" vertical="center"/>
    </xf>
    <xf numFmtId="37" fontId="3" fillId="3" borderId="12" xfId="0" applyNumberFormat="1" applyFont="1" applyFill="1" applyBorder="1" applyAlignment="1" applyProtection="1">
      <alignment vertical="center"/>
    </xf>
    <xf numFmtId="0" fontId="3" fillId="2" borderId="0" xfId="0" applyFont="1" applyFill="1" applyAlignment="1" applyProtection="1">
      <alignment vertical="center"/>
      <protection locked="0"/>
    </xf>
    <xf numFmtId="0" fontId="3" fillId="3" borderId="7"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3" fontId="3" fillId="2" borderId="2" xfId="0" applyNumberFormat="1" applyFont="1" applyFill="1" applyBorder="1" applyAlignment="1" applyProtection="1">
      <alignment horizontal="center" vertical="center"/>
      <protection locked="0"/>
    </xf>
    <xf numFmtId="173" fontId="3" fillId="3" borderId="2" xfId="0" applyNumberFormat="1" applyFont="1" applyFill="1" applyBorder="1" applyAlignment="1" applyProtection="1">
      <alignment horizontal="center" vertical="center"/>
    </xf>
    <xf numFmtId="3" fontId="3" fillId="2" borderId="7" xfId="0" applyNumberFormat="1" applyFont="1" applyFill="1" applyBorder="1" applyAlignment="1" applyProtection="1">
      <alignment horizontal="center" vertical="center"/>
      <protection locked="0"/>
    </xf>
    <xf numFmtId="3" fontId="3" fillId="3" borderId="12" xfId="0" applyNumberFormat="1" applyFont="1" applyFill="1" applyBorder="1" applyAlignment="1" applyProtection="1">
      <alignment horizontal="center" vertical="center"/>
    </xf>
    <xf numFmtId="173" fontId="3" fillId="3" borderId="12"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173" fontId="3" fillId="3" borderId="1" xfId="0" applyNumberFormat="1" applyFont="1" applyFill="1" applyBorder="1" applyAlignment="1" applyProtection="1">
      <alignment horizontal="center" vertical="center"/>
    </xf>
    <xf numFmtId="173" fontId="3" fillId="3" borderId="0" xfId="0" applyNumberFormat="1" applyFont="1" applyFill="1" applyBorder="1" applyAlignment="1" applyProtection="1">
      <alignment horizontal="center" vertical="center"/>
    </xf>
    <xf numFmtId="3" fontId="3" fillId="3" borderId="1" xfId="0" applyNumberFormat="1" applyFont="1" applyFill="1" applyBorder="1" applyAlignment="1">
      <alignment horizontal="center" vertical="center"/>
    </xf>
    <xf numFmtId="0" fontId="0" fillId="3" borderId="0" xfId="0" applyFill="1" applyAlignment="1">
      <alignment horizontal="center" vertical="center"/>
    </xf>
    <xf numFmtId="173" fontId="3" fillId="3" borderId="1" xfId="0" applyNumberFormat="1" applyFont="1" applyFill="1" applyBorder="1" applyAlignment="1">
      <alignment horizontal="center" vertical="center"/>
    </xf>
    <xf numFmtId="172" fontId="3" fillId="3" borderId="0" xfId="0" applyNumberFormat="1" applyFont="1" applyFill="1" applyBorder="1" applyAlignment="1" applyProtection="1">
      <alignment vertical="center"/>
    </xf>
    <xf numFmtId="0" fontId="5" fillId="0" borderId="0" xfId="0" applyFont="1" applyAlignment="1">
      <alignment vertical="center"/>
    </xf>
    <xf numFmtId="0" fontId="30" fillId="0" borderId="0" xfId="0" applyFont="1" applyAlignment="1">
      <alignment horizontal="center" vertical="center"/>
    </xf>
    <xf numFmtId="0" fontId="4" fillId="0" borderId="0" xfId="0" applyFont="1" applyAlignment="1">
      <alignment vertical="center" wrapText="1"/>
    </xf>
    <xf numFmtId="3" fontId="35" fillId="9" borderId="0" xfId="0" applyNumberFormat="1" applyFont="1" applyFill="1" applyAlignment="1">
      <alignment horizontal="center" vertical="center"/>
    </xf>
    <xf numFmtId="0" fontId="3" fillId="0" borderId="0" xfId="296" applyNumberFormat="1" applyFont="1" applyAlignment="1">
      <alignment vertical="center" wrapText="1"/>
    </xf>
    <xf numFmtId="0" fontId="3" fillId="0" borderId="0" xfId="305" applyNumberFormat="1" applyFont="1" applyAlignment="1">
      <alignment vertical="center" wrapText="1"/>
    </xf>
    <xf numFmtId="0" fontId="3" fillId="0" borderId="0" xfId="312" applyFont="1" applyAlignment="1">
      <alignment vertical="center" wrapText="1"/>
    </xf>
    <xf numFmtId="0" fontId="3" fillId="0" borderId="0" xfId="124" applyFont="1" applyAlignment="1">
      <alignment vertical="center" wrapText="1"/>
    </xf>
    <xf numFmtId="0" fontId="0" fillId="0" borderId="0" xfId="0" applyAlignment="1"/>
    <xf numFmtId="37" fontId="15" fillId="3" borderId="0" xfId="0" applyNumberFormat="1" applyFont="1" applyFill="1" applyBorder="1" applyAlignment="1" applyProtection="1">
      <alignment horizontal="left" vertical="center"/>
    </xf>
    <xf numFmtId="0" fontId="3" fillId="0" borderId="0" xfId="331" applyFont="1" applyAlignment="1">
      <alignment vertical="center"/>
    </xf>
    <xf numFmtId="37" fontId="15" fillId="3" borderId="0" xfId="0" applyNumberFormat="1" applyFont="1" applyFill="1" applyBorder="1" applyAlignment="1" applyProtection="1">
      <alignment horizontal="fill" vertical="center"/>
    </xf>
    <xf numFmtId="0" fontId="39" fillId="0" borderId="0" xfId="319" applyFont="1"/>
    <xf numFmtId="0" fontId="3" fillId="0" borderId="0" xfId="319" applyFont="1" applyAlignment="1">
      <alignment horizontal="left" vertical="center"/>
    </xf>
    <xf numFmtId="49" fontId="3" fillId="2" borderId="0" xfId="319" applyNumberFormat="1" applyFont="1" applyFill="1" applyAlignment="1" applyProtection="1">
      <alignment horizontal="left" vertical="center"/>
      <protection locked="0"/>
    </xf>
    <xf numFmtId="174" fontId="19" fillId="0" borderId="0" xfId="319" applyNumberFormat="1" applyFont="1" applyAlignment="1">
      <alignment horizontal="left" vertical="center"/>
    </xf>
    <xf numFmtId="49" fontId="3" fillId="0" borderId="0" xfId="319" applyNumberFormat="1" applyFont="1" applyAlignment="1">
      <alignment horizontal="left" vertical="center"/>
    </xf>
    <xf numFmtId="0" fontId="19" fillId="0" borderId="0" xfId="319" applyFont="1" applyAlignment="1">
      <alignment horizontal="left" vertical="center"/>
    </xf>
    <xf numFmtId="175" fontId="19" fillId="0" borderId="0" xfId="319" applyNumberFormat="1" applyFont="1" applyAlignment="1">
      <alignment horizontal="left" vertical="center"/>
    </xf>
    <xf numFmtId="0" fontId="3" fillId="2" borderId="0" xfId="319" applyFont="1" applyFill="1" applyAlignment="1" applyProtection="1">
      <alignment horizontal="left" vertical="center"/>
      <protection locked="0"/>
    </xf>
    <xf numFmtId="0" fontId="39" fillId="2" borderId="0" xfId="319" applyFont="1" applyFill="1" applyAlignment="1" applyProtection="1">
      <alignment horizontal="left" vertical="center"/>
      <protection locked="0"/>
    </xf>
    <xf numFmtId="0" fontId="5" fillId="0" borderId="0" xfId="61" applyFont="1" applyAlignment="1">
      <alignment vertical="center"/>
    </xf>
    <xf numFmtId="0" fontId="3" fillId="0" borderId="0" xfId="65" applyFont="1" applyAlignment="1">
      <alignment vertical="center"/>
    </xf>
    <xf numFmtId="0" fontId="23" fillId="0" borderId="0" xfId="0" applyFont="1" applyAlignment="1">
      <alignment horizontal="center"/>
    </xf>
    <xf numFmtId="0" fontId="2" fillId="0" borderId="0" xfId="0" applyFont="1"/>
    <xf numFmtId="0" fontId="40" fillId="0" borderId="0" xfId="0" applyFont="1"/>
    <xf numFmtId="0" fontId="40" fillId="0" borderId="0" xfId="0" applyFont="1" applyAlignment="1"/>
    <xf numFmtId="0" fontId="2" fillId="0" borderId="0" xfId="0" quotePrefix="1" applyFont="1"/>
    <xf numFmtId="0" fontId="2" fillId="0" borderId="0" xfId="141" applyFont="1"/>
    <xf numFmtId="0" fontId="2" fillId="0" borderId="0" xfId="141" applyFont="1" applyFill="1"/>
    <xf numFmtId="0" fontId="2" fillId="0" borderId="0" xfId="0" applyFont="1" applyAlignment="1"/>
    <xf numFmtId="0" fontId="40" fillId="0" borderId="0" xfId="0" applyFont="1" applyAlignment="1">
      <alignment horizontal="center"/>
    </xf>
    <xf numFmtId="0" fontId="3" fillId="0" borderId="0" xfId="336" applyFont="1" applyAlignment="1">
      <alignment vertical="center" wrapText="1"/>
    </xf>
    <xf numFmtId="0" fontId="3" fillId="0" borderId="0" xfId="14" applyFont="1" applyAlignment="1">
      <alignment vertical="center" wrapText="1"/>
    </xf>
    <xf numFmtId="0" fontId="5" fillId="0" borderId="0" xfId="60" applyFont="1" applyAlignment="1">
      <alignment vertical="center"/>
    </xf>
    <xf numFmtId="0" fontId="53"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3" fontId="19" fillId="4" borderId="8" xfId="0" applyNumberFormat="1" applyFont="1" applyFill="1" applyBorder="1" applyAlignment="1">
      <alignment horizontal="center" vertical="center"/>
    </xf>
    <xf numFmtId="0" fontId="3" fillId="2" borderId="1" xfId="0" applyFont="1" applyFill="1" applyBorder="1" applyAlignment="1" applyProtection="1">
      <alignment vertical="center"/>
      <protection locked="0"/>
    </xf>
    <xf numFmtId="14" fontId="3" fillId="7" borderId="2" xfId="0" applyNumberFormat="1" applyFont="1" applyFill="1" applyBorder="1" applyAlignment="1" applyProtection="1">
      <alignment vertical="center"/>
      <protection locked="0"/>
    </xf>
    <xf numFmtId="14" fontId="3" fillId="7" borderId="2" xfId="0" applyNumberFormat="1" applyFont="1" applyFill="1" applyBorder="1" applyAlignment="1" applyProtection="1">
      <alignment horizontal="center" vertical="center"/>
      <protection locked="0"/>
    </xf>
    <xf numFmtId="37" fontId="3" fillId="11" borderId="2" xfId="0" applyNumberFormat="1" applyFont="1" applyFill="1" applyBorder="1" applyAlignment="1" applyProtection="1">
      <alignment vertical="center"/>
      <protection locked="0"/>
    </xf>
    <xf numFmtId="3" fontId="3" fillId="7" borderId="4" xfId="0" applyNumberFormat="1" applyFont="1" applyFill="1" applyBorder="1" applyAlignment="1" applyProtection="1">
      <alignment vertical="center"/>
      <protection locked="0"/>
    </xf>
    <xf numFmtId="3" fontId="21" fillId="10" borderId="4" xfId="0" applyNumberFormat="1" applyFont="1" applyFill="1" applyBorder="1" applyAlignment="1" applyProtection="1">
      <alignment horizontal="center" vertical="center"/>
    </xf>
    <xf numFmtId="3" fontId="4" fillId="4" borderId="4" xfId="0" applyNumberFormat="1" applyFont="1" applyFill="1" applyBorder="1" applyAlignment="1" applyProtection="1">
      <alignment vertical="center"/>
    </xf>
    <xf numFmtId="0" fontId="3" fillId="3" borderId="18" xfId="0" applyNumberFormat="1" applyFont="1" applyFill="1" applyBorder="1" applyAlignment="1" applyProtection="1">
      <alignment horizontal="center" vertical="center"/>
    </xf>
    <xf numFmtId="3" fontId="3" fillId="3" borderId="4" xfId="0" applyNumberFormat="1" applyFont="1" applyFill="1" applyBorder="1" applyAlignment="1" applyProtection="1">
      <alignment vertical="center"/>
    </xf>
    <xf numFmtId="3" fontId="3" fillId="4" borderId="4" xfId="0" applyNumberFormat="1" applyFont="1" applyFill="1" applyBorder="1" applyAlignment="1" applyProtection="1">
      <alignment vertical="center"/>
    </xf>
    <xf numFmtId="3" fontId="3" fillId="3" borderId="4" xfId="0" applyNumberFormat="1" applyFont="1" applyFill="1" applyBorder="1" applyAlignment="1" applyProtection="1">
      <alignment horizontal="right" vertical="center"/>
      <protection locked="0"/>
    </xf>
    <xf numFmtId="3" fontId="3" fillId="7" borderId="4" xfId="0" applyNumberFormat="1" applyFont="1" applyFill="1" applyBorder="1" applyAlignment="1" applyProtection="1">
      <alignment horizontal="right" vertical="center"/>
      <protection locked="0"/>
    </xf>
    <xf numFmtId="3" fontId="3" fillId="3" borderId="4" xfId="0" applyNumberFormat="1" applyFont="1" applyFill="1" applyBorder="1" applyAlignment="1" applyProtection="1">
      <alignment horizontal="right" vertical="center"/>
    </xf>
    <xf numFmtId="3" fontId="3" fillId="3" borderId="4" xfId="1" applyNumberFormat="1" applyFont="1" applyFill="1" applyBorder="1" applyAlignment="1" applyProtection="1">
      <alignment horizontal="right" vertical="center"/>
    </xf>
    <xf numFmtId="3" fontId="4" fillId="4" borderId="18" xfId="0" applyNumberFormat="1" applyFont="1" applyFill="1" applyBorder="1" applyAlignment="1" applyProtection="1">
      <alignment horizontal="right" vertical="center"/>
    </xf>
    <xf numFmtId="3" fontId="4" fillId="4" borderId="4" xfId="0" applyNumberFormat="1" applyFont="1" applyFill="1" applyBorder="1" applyAlignment="1" applyProtection="1">
      <alignment horizontal="right" vertical="center"/>
    </xf>
    <xf numFmtId="3" fontId="3" fillId="4" borderId="4" xfId="0" applyNumberFormat="1" applyFont="1" applyFill="1" applyBorder="1" applyAlignment="1" applyProtection="1">
      <alignment horizontal="right" vertical="center"/>
    </xf>
    <xf numFmtId="49" fontId="3" fillId="2" borderId="2" xfId="0" applyNumberFormat="1" applyFont="1" applyFill="1" applyBorder="1" applyAlignment="1" applyProtection="1">
      <alignment horizontal="center" vertical="center"/>
      <protection locked="0"/>
    </xf>
    <xf numFmtId="37" fontId="15" fillId="3" borderId="0" xfId="0" applyNumberFormat="1" applyFont="1" applyFill="1" applyAlignment="1" applyProtection="1">
      <alignment horizontal="center" vertical="center"/>
      <protection locked="0"/>
    </xf>
    <xf numFmtId="37" fontId="15" fillId="3" borderId="0" xfId="0" applyNumberFormat="1" applyFont="1" applyFill="1" applyAlignment="1" applyProtection="1">
      <alignment horizontal="left" vertical="center"/>
      <protection locked="0"/>
    </xf>
    <xf numFmtId="0" fontId="15" fillId="5" borderId="2" xfId="0" applyFont="1" applyFill="1" applyBorder="1" applyAlignment="1" applyProtection="1">
      <alignment horizontal="center" vertical="center"/>
    </xf>
    <xf numFmtId="37" fontId="15" fillId="3" borderId="13" xfId="0" applyNumberFormat="1" applyFont="1" applyFill="1" applyBorder="1" applyAlignment="1" applyProtection="1">
      <alignment horizontal="center" vertical="center"/>
    </xf>
    <xf numFmtId="0" fontId="47" fillId="0" borderId="0" xfId="0" applyFont="1" applyAlignment="1" applyProtection="1">
      <alignment vertical="center"/>
    </xf>
    <xf numFmtId="0" fontId="15" fillId="9" borderId="1" xfId="16" applyFont="1" applyFill="1" applyBorder="1" applyAlignment="1" applyProtection="1">
      <alignment vertical="center"/>
    </xf>
    <xf numFmtId="0" fontId="15" fillId="3" borderId="19" xfId="16" applyFont="1" applyFill="1" applyBorder="1" applyAlignment="1" applyProtection="1">
      <alignment vertical="center"/>
    </xf>
    <xf numFmtId="0" fontId="3" fillId="9" borderId="9" xfId="16" applyFont="1" applyFill="1" applyBorder="1" applyAlignment="1" applyProtection="1">
      <alignment vertical="center"/>
    </xf>
    <xf numFmtId="0" fontId="15" fillId="9" borderId="9" xfId="16" applyFont="1" applyFill="1" applyBorder="1" applyAlignment="1" applyProtection="1">
      <alignment vertical="center"/>
    </xf>
    <xf numFmtId="37" fontId="15" fillId="3" borderId="8" xfId="25" applyNumberFormat="1" applyFont="1" applyFill="1" applyBorder="1" applyAlignment="1" applyProtection="1">
      <alignment horizontal="center" vertical="center"/>
    </xf>
    <xf numFmtId="37" fontId="15" fillId="3" borderId="3" xfId="25" applyNumberFormat="1" applyFont="1" applyFill="1" applyBorder="1" applyAlignment="1" applyProtection="1">
      <alignment horizontal="center" vertical="center"/>
    </xf>
    <xf numFmtId="3" fontId="21" fillId="2" borderId="2" xfId="0" applyNumberFormat="1" applyFont="1" applyFill="1" applyBorder="1" applyAlignment="1" applyProtection="1">
      <alignment horizontal="center" vertical="center"/>
    </xf>
    <xf numFmtId="0" fontId="22" fillId="3" borderId="2" xfId="0" applyFont="1" applyFill="1" applyBorder="1" applyAlignment="1" applyProtection="1">
      <alignment horizontal="center" vertical="center"/>
    </xf>
    <xf numFmtId="3" fontId="22" fillId="3" borderId="2" xfId="0" applyNumberFormat="1" applyFont="1" applyFill="1" applyBorder="1" applyAlignment="1" applyProtection="1">
      <alignment horizontal="center" vertical="center"/>
    </xf>
    <xf numFmtId="3" fontId="21" fillId="10" borderId="7" xfId="0" applyNumberFormat="1" applyFont="1" applyFill="1" applyBorder="1" applyAlignment="1" applyProtection="1">
      <alignment horizontal="center" vertical="center"/>
    </xf>
    <xf numFmtId="0" fontId="4" fillId="3" borderId="9"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3" fillId="9" borderId="4" xfId="0" applyNumberFormat="1" applyFont="1" applyFill="1" applyBorder="1" applyAlignment="1" applyProtection="1">
      <alignment vertical="center"/>
    </xf>
    <xf numFmtId="0" fontId="32" fillId="0" borderId="0" xfId="0" applyFont="1"/>
    <xf numFmtId="0" fontId="31" fillId="0" borderId="0" xfId="0" applyFont="1" applyAlignment="1">
      <alignment wrapText="1"/>
    </xf>
    <xf numFmtId="0" fontId="0" fillId="0" borderId="0" xfId="0" applyAlignment="1">
      <alignment vertical="center" wrapText="1"/>
    </xf>
    <xf numFmtId="0" fontId="4" fillId="0" borderId="0" xfId="0" applyFont="1" applyAlignment="1">
      <alignment wrapText="1"/>
    </xf>
    <xf numFmtId="0" fontId="12" fillId="0" borderId="0" xfId="0" applyFont="1" applyAlignment="1">
      <alignment wrapText="1"/>
    </xf>
    <xf numFmtId="0" fontId="36" fillId="0" borderId="0" xfId="0" applyFont="1" applyAlignment="1">
      <alignment vertical="center"/>
    </xf>
    <xf numFmtId="0" fontId="37" fillId="0" borderId="0" xfId="0" applyFont="1" applyAlignment="1">
      <alignment horizontal="center"/>
    </xf>
    <xf numFmtId="37" fontId="3" fillId="3" borderId="3" xfId="16" applyNumberFormat="1" applyFont="1" applyFill="1" applyBorder="1" applyAlignment="1" applyProtection="1">
      <alignment horizontal="center" vertical="center"/>
    </xf>
    <xf numFmtId="37" fontId="3" fillId="3" borderId="8" xfId="16" applyNumberFormat="1" applyFont="1" applyFill="1" applyBorder="1" applyAlignment="1" applyProtection="1">
      <alignment horizontal="center" vertical="center"/>
    </xf>
    <xf numFmtId="0" fontId="16" fillId="9" borderId="1" xfId="16" applyFont="1" applyFill="1" applyBorder="1" applyAlignment="1" applyProtection="1">
      <alignment vertical="center"/>
    </xf>
    <xf numFmtId="176" fontId="16" fillId="9" borderId="18" xfId="16" applyNumberFormat="1" applyFont="1" applyFill="1" applyBorder="1" applyAlignment="1" applyProtection="1">
      <alignment horizontal="center" vertical="center"/>
    </xf>
    <xf numFmtId="176" fontId="15" fillId="3" borderId="19" xfId="16" applyNumberFormat="1" applyFont="1" applyFill="1" applyBorder="1" applyAlignment="1" applyProtection="1">
      <alignment vertical="center"/>
    </xf>
    <xf numFmtId="176" fontId="15" fillId="3" borderId="18" xfId="16" applyNumberFormat="1" applyFont="1" applyFill="1" applyBorder="1" applyAlignment="1" applyProtection="1">
      <alignment horizontal="center" vertical="center"/>
    </xf>
    <xf numFmtId="0" fontId="15" fillId="3" borderId="0" xfId="16" applyFont="1" applyFill="1" applyBorder="1" applyAlignment="1" applyProtection="1">
      <alignment vertical="center"/>
    </xf>
    <xf numFmtId="0" fontId="15" fillId="3" borderId="15" xfId="16" applyFont="1" applyFill="1" applyBorder="1" applyAlignment="1" applyProtection="1">
      <alignment vertical="center"/>
    </xf>
    <xf numFmtId="0" fontId="15" fillId="3" borderId="0" xfId="16" applyFont="1" applyFill="1" applyBorder="1" applyAlignment="1" applyProtection="1">
      <alignment horizontal="left" vertical="center"/>
    </xf>
    <xf numFmtId="0" fontId="47" fillId="0" borderId="0" xfId="0" applyFont="1" applyAlignment="1">
      <alignment vertical="center"/>
    </xf>
    <xf numFmtId="176" fontId="15" fillId="3" borderId="19" xfId="16" applyNumberFormat="1" applyFont="1" applyFill="1" applyBorder="1" applyAlignment="1" applyProtection="1">
      <alignment horizontal="center" vertical="center"/>
    </xf>
    <xf numFmtId="0" fontId="3" fillId="3" borderId="0" xfId="28" applyFont="1" applyFill="1" applyAlignment="1" applyProtection="1">
      <alignment horizontal="right" vertical="center"/>
    </xf>
    <xf numFmtId="0" fontId="54" fillId="3" borderId="0" xfId="0" applyFont="1" applyFill="1" applyBorder="1" applyAlignment="1" applyProtection="1">
      <alignment horizontal="center" vertical="center"/>
    </xf>
    <xf numFmtId="0" fontId="54" fillId="3" borderId="0" xfId="0" applyFont="1" applyFill="1" applyAlignment="1" applyProtection="1">
      <alignment horizontal="center" vertical="center"/>
    </xf>
    <xf numFmtId="0" fontId="3" fillId="3" borderId="20" xfId="0" applyFont="1" applyFill="1" applyBorder="1" applyAlignment="1" applyProtection="1">
      <alignment vertical="center"/>
      <protection locked="0"/>
    </xf>
    <xf numFmtId="0" fontId="3" fillId="3" borderId="20" xfId="0" applyFont="1" applyFill="1" applyBorder="1" applyAlignment="1" applyProtection="1">
      <alignment vertical="center"/>
    </xf>
    <xf numFmtId="37" fontId="3" fillId="3" borderId="20" xfId="0" applyNumberFormat="1" applyFont="1" applyFill="1" applyBorder="1" applyAlignment="1" applyProtection="1">
      <alignment vertical="center"/>
    </xf>
    <xf numFmtId="164" fontId="3" fillId="3" borderId="8" xfId="0" applyNumberFormat="1" applyFont="1" applyFill="1" applyBorder="1" applyAlignment="1" applyProtection="1">
      <alignment vertical="center"/>
    </xf>
    <xf numFmtId="37" fontId="3" fillId="3" borderId="8" xfId="0" applyNumberFormat="1" applyFont="1" applyFill="1" applyBorder="1" applyAlignment="1" applyProtection="1">
      <alignment horizontal="fill" vertical="center"/>
    </xf>
    <xf numFmtId="37" fontId="3" fillId="3" borderId="8" xfId="0" applyNumberFormat="1" applyFont="1" applyFill="1" applyBorder="1" applyAlignment="1" applyProtection="1">
      <alignment vertical="center"/>
    </xf>
    <xf numFmtId="0" fontId="2" fillId="0" borderId="0" xfId="16"/>
    <xf numFmtId="37" fontId="3" fillId="3" borderId="7" xfId="16" applyNumberFormat="1" applyFont="1" applyFill="1" applyBorder="1" applyAlignment="1" applyProtection="1">
      <alignment horizontal="center"/>
    </xf>
    <xf numFmtId="37" fontId="3" fillId="3" borderId="8" xfId="16" applyNumberFormat="1" applyFont="1" applyFill="1" applyBorder="1" applyAlignment="1" applyProtection="1">
      <alignment horizontal="center"/>
    </xf>
    <xf numFmtId="0" fontId="3" fillId="3" borderId="0" xfId="16" applyFont="1" applyFill="1" applyBorder="1" applyAlignment="1" applyProtection="1">
      <alignment vertical="center"/>
    </xf>
    <xf numFmtId="0" fontId="3" fillId="3" borderId="19" xfId="16" applyFont="1" applyFill="1" applyBorder="1" applyAlignment="1" applyProtection="1">
      <alignment vertical="center"/>
    </xf>
    <xf numFmtId="0" fontId="3" fillId="3" borderId="15" xfId="16" applyFont="1" applyFill="1" applyBorder="1" applyAlignment="1" applyProtection="1">
      <alignment vertical="center"/>
    </xf>
    <xf numFmtId="0" fontId="3" fillId="0" borderId="0" xfId="16" applyFont="1" applyFill="1" applyBorder="1" applyAlignment="1" applyProtection="1">
      <alignment vertical="center"/>
    </xf>
    <xf numFmtId="0" fontId="15" fillId="12" borderId="19" xfId="25" applyFont="1" applyFill="1" applyBorder="1" applyProtection="1"/>
    <xf numFmtId="0" fontId="3" fillId="12" borderId="0" xfId="25" applyFont="1" applyFill="1" applyBorder="1" applyProtection="1"/>
    <xf numFmtId="176" fontId="3" fillId="12" borderId="15" xfId="25" applyNumberFormat="1" applyFont="1" applyFill="1" applyBorder="1" applyAlignment="1" applyProtection="1">
      <alignment horizontal="center"/>
    </xf>
    <xf numFmtId="0" fontId="3" fillId="12" borderId="18" xfId="25" applyFont="1" applyFill="1" applyBorder="1" applyProtection="1"/>
    <xf numFmtId="0" fontId="3" fillId="12" borderId="1" xfId="25" applyFont="1" applyFill="1" applyBorder="1" applyProtection="1"/>
    <xf numFmtId="176" fontId="3" fillId="13" borderId="9" xfId="25" applyNumberFormat="1" applyFont="1" applyFill="1" applyBorder="1" applyAlignment="1" applyProtection="1">
      <alignment horizontal="center"/>
    </xf>
    <xf numFmtId="0" fontId="3" fillId="0" borderId="0" xfId="25" applyFont="1" applyFill="1" applyBorder="1" applyProtection="1"/>
    <xf numFmtId="0" fontId="3" fillId="12" borderId="19" xfId="25" applyFont="1" applyFill="1" applyBorder="1" applyProtection="1"/>
    <xf numFmtId="0" fontId="3" fillId="12" borderId="15" xfId="25" applyFont="1" applyFill="1" applyBorder="1" applyProtection="1"/>
    <xf numFmtId="172" fontId="3" fillId="12" borderId="15" xfId="25" applyNumberFormat="1" applyFont="1" applyFill="1" applyBorder="1" applyAlignment="1" applyProtection="1">
      <alignment horizontal="center"/>
    </xf>
    <xf numFmtId="0" fontId="3" fillId="13" borderId="19" xfId="25" applyFont="1" applyFill="1" applyBorder="1" applyProtection="1"/>
    <xf numFmtId="0" fontId="3" fillId="13" borderId="0" xfId="25" applyFont="1" applyFill="1" applyBorder="1" applyProtection="1"/>
    <xf numFmtId="0" fontId="3" fillId="13" borderId="18" xfId="25" applyFont="1" applyFill="1" applyBorder="1" applyProtection="1"/>
    <xf numFmtId="0" fontId="3" fillId="13" borderId="1" xfId="25" applyFont="1" applyFill="1" applyBorder="1" applyProtection="1"/>
    <xf numFmtId="0" fontId="3" fillId="0" borderId="0" xfId="25" applyFont="1" applyProtection="1"/>
    <xf numFmtId="176" fontId="3" fillId="12" borderId="9" xfId="25" applyNumberFormat="1" applyFont="1" applyFill="1" applyBorder="1" applyAlignment="1" applyProtection="1">
      <alignment horizontal="center"/>
    </xf>
    <xf numFmtId="173" fontId="3" fillId="11" borderId="15" xfId="25" applyNumberFormat="1" applyFont="1" applyFill="1" applyBorder="1" applyAlignment="1" applyProtection="1">
      <alignment horizontal="center"/>
      <protection locked="0"/>
    </xf>
    <xf numFmtId="37" fontId="3" fillId="14" borderId="12" xfId="0" applyNumberFormat="1" applyFont="1" applyFill="1" applyBorder="1" applyAlignment="1" applyProtection="1">
      <alignment vertical="center"/>
    </xf>
    <xf numFmtId="0" fontId="32" fillId="0" borderId="0" xfId="0" applyFont="1" applyAlignment="1">
      <alignment vertical="center"/>
    </xf>
    <xf numFmtId="0" fontId="49" fillId="0" borderId="0" xfId="0" applyFont="1" applyBorder="1" applyAlignment="1">
      <alignment horizontal="centerContinuous"/>
    </xf>
    <xf numFmtId="0" fontId="49" fillId="0" borderId="0" xfId="0" applyFont="1" applyBorder="1"/>
    <xf numFmtId="0" fontId="49" fillId="0" borderId="0" xfId="0" applyFont="1"/>
    <xf numFmtId="0" fontId="3" fillId="0" borderId="0" xfId="16" applyFont="1" applyAlignment="1">
      <alignment vertical="center"/>
    </xf>
    <xf numFmtId="0" fontId="3" fillId="0" borderId="0" xfId="28" applyFont="1" applyAlignment="1">
      <alignment vertical="center"/>
    </xf>
    <xf numFmtId="0" fontId="3" fillId="0" borderId="0" xfId="16" applyFont="1"/>
    <xf numFmtId="0" fontId="50" fillId="0" borderId="0" xfId="16" applyFont="1" applyAlignment="1">
      <alignment horizontal="center"/>
    </xf>
    <xf numFmtId="0" fontId="3" fillId="0" borderId="0" xfId="16" applyFont="1" applyAlignment="1">
      <alignment wrapText="1"/>
    </xf>
    <xf numFmtId="0" fontId="51" fillId="0" borderId="0" xfId="8" applyFont="1" applyAlignment="1" applyProtection="1"/>
    <xf numFmtId="0" fontId="7" fillId="3" borderId="8" xfId="0" applyNumberFormat="1" applyFont="1" applyFill="1" applyBorder="1" applyAlignment="1" applyProtection="1">
      <alignment horizontal="center" vertical="center"/>
    </xf>
    <xf numFmtId="0" fontId="3" fillId="0" borderId="0" xfId="28" applyFont="1" applyAlignment="1">
      <alignment vertical="center" wrapText="1"/>
    </xf>
    <xf numFmtId="0" fontId="55" fillId="12" borderId="0" xfId="0" applyFont="1" applyFill="1"/>
    <xf numFmtId="0" fontId="55" fillId="12" borderId="21" xfId="0" applyFont="1" applyFill="1" applyBorder="1"/>
    <xf numFmtId="0" fontId="56" fillId="0" borderId="0" xfId="0" applyFont="1" applyBorder="1"/>
    <xf numFmtId="0" fontId="55" fillId="0" borderId="0" xfId="0" applyFont="1" applyBorder="1" applyAlignment="1">
      <alignment horizontal="centerContinuous"/>
    </xf>
    <xf numFmtId="0" fontId="55" fillId="12" borderId="21" xfId="0" applyFont="1" applyFill="1" applyBorder="1" applyAlignment="1"/>
    <xf numFmtId="0" fontId="55" fillId="12" borderId="22" xfId="0" applyFont="1" applyFill="1" applyBorder="1" applyAlignment="1">
      <alignment horizontal="centerContinuous" vertical="center"/>
    </xf>
    <xf numFmtId="176" fontId="55" fillId="12" borderId="0" xfId="0" applyNumberFormat="1" applyFont="1" applyFill="1" applyBorder="1" applyAlignment="1">
      <alignment horizontal="centerContinuous" vertical="center"/>
    </xf>
    <xf numFmtId="0" fontId="55" fillId="12" borderId="0" xfId="0" applyFont="1" applyFill="1" applyBorder="1" applyAlignment="1">
      <alignment horizontal="centerContinuous" vertical="center"/>
    </xf>
    <xf numFmtId="173" fontId="55" fillId="12" borderId="0" xfId="0" applyNumberFormat="1" applyFont="1" applyFill="1" applyBorder="1" applyAlignment="1" applyProtection="1">
      <alignment horizontal="centerContinuous" vertical="center"/>
      <protection locked="0"/>
    </xf>
    <xf numFmtId="177" fontId="55" fillId="12" borderId="0" xfId="0" applyNumberFormat="1" applyFont="1" applyFill="1" applyBorder="1" applyAlignment="1">
      <alignment horizontal="centerContinuous" vertical="center"/>
    </xf>
    <xf numFmtId="0" fontId="55" fillId="12" borderId="23" xfId="0" applyFont="1" applyFill="1" applyBorder="1" applyAlignment="1">
      <alignment horizontal="centerContinuous" vertical="center"/>
    </xf>
    <xf numFmtId="0" fontId="55" fillId="12" borderId="22" xfId="0" applyFont="1" applyFill="1" applyBorder="1" applyAlignment="1">
      <alignment horizontal="centerContinuous"/>
    </xf>
    <xf numFmtId="176" fontId="55" fillId="12" borderId="0" xfId="0" applyNumberFormat="1" applyFont="1" applyFill="1" applyBorder="1" applyAlignment="1">
      <alignment horizontal="centerContinuous"/>
    </xf>
    <xf numFmtId="0" fontId="55" fillId="12" borderId="0" xfId="0" applyFont="1" applyFill="1" applyBorder="1" applyAlignment="1">
      <alignment horizontal="centerContinuous"/>
    </xf>
    <xf numFmtId="173" fontId="55" fillId="12" borderId="0" xfId="0" applyNumberFormat="1" applyFont="1" applyFill="1" applyBorder="1" applyAlignment="1" applyProtection="1">
      <alignment horizontal="centerContinuous"/>
      <protection locked="0"/>
    </xf>
    <xf numFmtId="177" fontId="55" fillId="12" borderId="0" xfId="0" applyNumberFormat="1" applyFont="1" applyFill="1" applyBorder="1" applyAlignment="1">
      <alignment horizontal="centerContinuous"/>
    </xf>
    <xf numFmtId="0" fontId="55" fillId="12" borderId="23" xfId="0" applyFont="1" applyFill="1" applyBorder="1" applyAlignment="1">
      <alignment horizontal="centerContinuous"/>
    </xf>
    <xf numFmtId="0" fontId="49" fillId="15" borderId="0" xfId="0" applyFont="1" applyFill="1"/>
    <xf numFmtId="0" fontId="49" fillId="12" borderId="0" xfId="0" applyFont="1" applyFill="1"/>
    <xf numFmtId="0" fontId="55" fillId="15" borderId="0" xfId="0" applyFont="1" applyFill="1" applyAlignment="1">
      <alignment horizontal="center" wrapText="1"/>
    </xf>
    <xf numFmtId="0" fontId="49" fillId="12" borderId="0" xfId="0" applyFont="1" applyFill="1" applyAlignment="1">
      <alignment horizontal="center"/>
    </xf>
    <xf numFmtId="0" fontId="49" fillId="12" borderId="24" xfId="0" applyFont="1" applyFill="1" applyBorder="1"/>
    <xf numFmtId="0" fontId="49" fillId="12" borderId="25" xfId="0" applyFont="1" applyFill="1" applyBorder="1"/>
    <xf numFmtId="176" fontId="49" fillId="12" borderId="26" xfId="0" applyNumberFormat="1" applyFont="1" applyFill="1" applyBorder="1"/>
    <xf numFmtId="0" fontId="49" fillId="12" borderId="0" xfId="0" applyFont="1" applyFill="1" applyBorder="1"/>
    <xf numFmtId="176" fontId="49" fillId="12" borderId="1" xfId="0" applyNumberFormat="1" applyFont="1" applyFill="1" applyBorder="1" applyAlignment="1">
      <alignment horizontal="center"/>
    </xf>
    <xf numFmtId="0" fontId="49" fillId="12" borderId="23" xfId="0" applyFont="1" applyFill="1" applyBorder="1"/>
    <xf numFmtId="0" fontId="49" fillId="12" borderId="27" xfId="0" applyFont="1" applyFill="1" applyBorder="1"/>
    <xf numFmtId="0" fontId="49" fillId="12" borderId="28" xfId="0" applyFont="1" applyFill="1" applyBorder="1"/>
    <xf numFmtId="0" fontId="49" fillId="12" borderId="29" xfId="0" applyFont="1" applyFill="1" applyBorder="1"/>
    <xf numFmtId="176" fontId="49" fillId="12" borderId="0" xfId="0" applyNumberFormat="1" applyFont="1" applyFill="1"/>
    <xf numFmtId="0" fontId="49" fillId="12" borderId="21" xfId="0" applyFont="1" applyFill="1" applyBorder="1"/>
    <xf numFmtId="0" fontId="49" fillId="12" borderId="22" xfId="0" applyFont="1" applyFill="1" applyBorder="1"/>
    <xf numFmtId="176" fontId="49" fillId="11" borderId="26" xfId="0" applyNumberFormat="1" applyFont="1" applyFill="1" applyBorder="1" applyAlignment="1" applyProtection="1">
      <alignment horizontal="center"/>
      <protection locked="0"/>
    </xf>
    <xf numFmtId="173" fontId="49" fillId="12" borderId="0" xfId="0" applyNumberFormat="1" applyFont="1" applyFill="1" applyBorder="1" applyAlignment="1">
      <alignment horizontal="center"/>
    </xf>
    <xf numFmtId="176" fontId="49" fillId="0" borderId="0" xfId="0" applyNumberFormat="1" applyFont="1"/>
    <xf numFmtId="0" fontId="49" fillId="15" borderId="0" xfId="0" applyFont="1" applyFill="1" applyBorder="1"/>
    <xf numFmtId="0" fontId="49" fillId="12" borderId="30" xfId="0" applyFont="1" applyFill="1" applyBorder="1"/>
    <xf numFmtId="0" fontId="49" fillId="12" borderId="13" xfId="0" applyFont="1" applyFill="1" applyBorder="1"/>
    <xf numFmtId="0" fontId="49" fillId="12" borderId="31" xfId="0" applyFont="1" applyFill="1" applyBorder="1"/>
    <xf numFmtId="5" fontId="49" fillId="12" borderId="28" xfId="0" applyNumberFormat="1" applyFont="1" applyFill="1" applyBorder="1" applyAlignment="1">
      <alignment horizontal="center"/>
    </xf>
    <xf numFmtId="0" fontId="49" fillId="12" borderId="28" xfId="0" applyFont="1" applyFill="1" applyBorder="1" applyAlignment="1">
      <alignment horizontal="center"/>
    </xf>
    <xf numFmtId="173" fontId="49" fillId="12" borderId="28" xfId="0" applyNumberFormat="1" applyFont="1" applyFill="1" applyBorder="1" applyAlignment="1">
      <alignment horizontal="center"/>
    </xf>
    <xf numFmtId="177" fontId="49" fillId="12" borderId="28" xfId="0" applyNumberFormat="1" applyFont="1" applyFill="1" applyBorder="1" applyAlignment="1">
      <alignment horizontal="center"/>
    </xf>
    <xf numFmtId="0" fontId="49" fillId="12" borderId="0" xfId="0" applyFont="1" applyFill="1" applyAlignment="1">
      <alignment horizontal="center" wrapText="1"/>
    </xf>
    <xf numFmtId="0" fontId="49" fillId="12" borderId="24" xfId="0" applyFont="1" applyFill="1" applyBorder="1" applyAlignment="1"/>
    <xf numFmtId="0" fontId="49" fillId="12" borderId="25" xfId="0" applyFont="1" applyFill="1" applyBorder="1" applyAlignment="1"/>
    <xf numFmtId="0" fontId="49" fillId="12" borderId="22" xfId="0" applyFont="1" applyFill="1" applyBorder="1" applyAlignment="1"/>
    <xf numFmtId="0" fontId="49" fillId="12" borderId="23" xfId="0" applyFont="1" applyFill="1" applyBorder="1" applyAlignment="1"/>
    <xf numFmtId="0" fontId="49" fillId="12" borderId="30" xfId="0" applyFont="1" applyFill="1" applyBorder="1" applyAlignment="1"/>
    <xf numFmtId="0" fontId="49" fillId="12" borderId="13" xfId="0" applyFont="1" applyFill="1" applyBorder="1" applyAlignment="1"/>
    <xf numFmtId="0" fontId="49" fillId="12" borderId="31" xfId="0" applyFont="1" applyFill="1" applyBorder="1" applyAlignment="1"/>
    <xf numFmtId="172" fontId="49" fillId="12" borderId="0" xfId="0" applyNumberFormat="1" applyFont="1" applyFill="1" applyBorder="1" applyAlignment="1">
      <alignment horizontal="center"/>
    </xf>
    <xf numFmtId="0" fontId="49" fillId="12" borderId="27" xfId="0" applyFont="1" applyFill="1" applyBorder="1" applyAlignment="1"/>
    <xf numFmtId="5" fontId="49" fillId="12" borderId="0" xfId="0" applyNumberFormat="1" applyFont="1" applyFill="1" applyBorder="1" applyAlignment="1">
      <alignment horizontal="center"/>
    </xf>
    <xf numFmtId="0" fontId="49" fillId="15" borderId="0" xfId="0" applyFont="1" applyFill="1" applyAlignment="1"/>
    <xf numFmtId="173" fontId="49" fillId="11" borderId="1" xfId="0" applyNumberFormat="1" applyFont="1" applyFill="1" applyBorder="1" applyAlignment="1" applyProtection="1">
      <alignment horizontal="center"/>
      <protection locked="0"/>
    </xf>
    <xf numFmtId="177" fontId="49" fillId="12" borderId="0" xfId="0" applyNumberFormat="1" applyFont="1" applyFill="1" applyBorder="1"/>
    <xf numFmtId="176" fontId="49" fillId="12" borderId="28" xfId="0" applyNumberFormat="1" applyFont="1" applyFill="1" applyBorder="1" applyAlignment="1">
      <alignment horizontal="center"/>
    </xf>
    <xf numFmtId="173" fontId="49" fillId="12" borderId="28" xfId="0" applyNumberFormat="1" applyFont="1" applyFill="1" applyBorder="1" applyAlignment="1" applyProtection="1">
      <alignment horizontal="center"/>
      <protection locked="0"/>
    </xf>
    <xf numFmtId="177" fontId="49" fillId="12" borderId="28" xfId="0" applyNumberFormat="1" applyFont="1" applyFill="1" applyBorder="1"/>
    <xf numFmtId="173" fontId="49" fillId="12" borderId="0" xfId="0" applyNumberFormat="1" applyFont="1" applyFill="1" applyBorder="1" applyAlignment="1" applyProtection="1">
      <alignment horizontal="center"/>
      <protection locked="0"/>
    </xf>
    <xf numFmtId="176" fontId="49" fillId="12" borderId="24" xfId="0" applyNumberFormat="1" applyFont="1" applyFill="1" applyBorder="1" applyAlignment="1">
      <alignment horizontal="center"/>
    </xf>
    <xf numFmtId="0" fontId="49" fillId="12" borderId="24" xfId="0" applyFont="1" applyFill="1" applyBorder="1" applyAlignment="1">
      <alignment horizontal="center"/>
    </xf>
    <xf numFmtId="173" fontId="49" fillId="12" borderId="24" xfId="0" applyNumberFormat="1" applyFont="1" applyFill="1" applyBorder="1" applyAlignment="1" applyProtection="1">
      <alignment horizontal="center"/>
      <protection locked="0"/>
    </xf>
    <xf numFmtId="177" fontId="49" fillId="12" borderId="24" xfId="0" applyNumberFormat="1" applyFont="1" applyFill="1" applyBorder="1"/>
    <xf numFmtId="176" fontId="49" fillId="12" borderId="0" xfId="0" applyNumberFormat="1" applyFont="1" applyFill="1" applyBorder="1" applyAlignment="1" applyProtection="1">
      <alignment horizontal="center"/>
      <protection locked="0"/>
    </xf>
    <xf numFmtId="0" fontId="49" fillId="16" borderId="0" xfId="0" applyFont="1" applyFill="1"/>
    <xf numFmtId="176" fontId="3" fillId="13" borderId="15" xfId="25" applyNumberFormat="1" applyFont="1" applyFill="1" applyBorder="1" applyAlignment="1" applyProtection="1">
      <alignment horizontal="center"/>
    </xf>
    <xf numFmtId="0" fontId="3" fillId="13" borderId="18" xfId="0" applyFont="1" applyFill="1" applyBorder="1" applyAlignment="1">
      <alignment vertical="center"/>
    </xf>
    <xf numFmtId="0" fontId="3" fillId="13" borderId="1" xfId="0" applyFont="1" applyFill="1" applyBorder="1" applyAlignment="1">
      <alignment vertical="center"/>
    </xf>
    <xf numFmtId="176" fontId="3" fillId="13" borderId="9" xfId="0" applyNumberFormat="1" applyFont="1" applyFill="1" applyBorder="1" applyAlignment="1">
      <alignment horizontal="center" vertical="center"/>
    </xf>
    <xf numFmtId="0" fontId="3" fillId="3" borderId="18" xfId="0" applyFont="1" applyFill="1" applyBorder="1" applyAlignment="1" applyProtection="1">
      <alignment horizontal="center" vertical="center"/>
    </xf>
    <xf numFmtId="176" fontId="49" fillId="12" borderId="0" xfId="0" applyNumberFormat="1" applyFont="1" applyFill="1" applyBorder="1" applyAlignment="1">
      <alignment horizontal="center"/>
    </xf>
    <xf numFmtId="0" fontId="49" fillId="12" borderId="13" xfId="0" applyFont="1" applyFill="1" applyBorder="1" applyAlignment="1">
      <alignment horizontal="center"/>
    </xf>
    <xf numFmtId="177" fontId="49" fillId="12" borderId="0" xfId="0" applyNumberFormat="1" applyFont="1" applyFill="1" applyBorder="1" applyAlignment="1">
      <alignment horizontal="center"/>
    </xf>
    <xf numFmtId="0" fontId="55" fillId="12" borderId="0" xfId="0" applyFont="1" applyFill="1" applyAlignment="1">
      <alignment horizontal="center" wrapText="1"/>
    </xf>
    <xf numFmtId="176" fontId="49" fillId="11" borderId="1" xfId="0" applyNumberFormat="1" applyFont="1" applyFill="1" applyBorder="1" applyAlignment="1" applyProtection="1">
      <alignment horizontal="center"/>
      <protection locked="0"/>
    </xf>
    <xf numFmtId="0" fontId="55" fillId="12" borderId="0" xfId="0" applyFont="1" applyFill="1" applyAlignment="1">
      <alignment horizontal="center"/>
    </xf>
    <xf numFmtId="176" fontId="49" fillId="12" borderId="0" xfId="0" applyNumberFormat="1" applyFont="1" applyFill="1" applyAlignment="1">
      <alignment horizontal="center"/>
    </xf>
    <xf numFmtId="0" fontId="49" fillId="12" borderId="0" xfId="0" applyFont="1" applyFill="1" applyBorder="1" applyAlignment="1"/>
    <xf numFmtId="0" fontId="49" fillId="12" borderId="29" xfId="0" applyFont="1" applyFill="1" applyBorder="1" applyAlignment="1"/>
    <xf numFmtId="0" fontId="49" fillId="12" borderId="0" xfId="0" applyFont="1" applyFill="1" applyBorder="1" applyAlignment="1">
      <alignment horizontal="center"/>
    </xf>
    <xf numFmtId="0" fontId="3" fillId="3" borderId="0" xfId="0" applyNumberFormat="1" applyFont="1" applyFill="1" applyBorder="1" applyAlignment="1" applyProtection="1">
      <alignment horizontal="right" vertical="center"/>
    </xf>
    <xf numFmtId="0" fontId="3" fillId="3" borderId="19" xfId="0" applyFont="1" applyFill="1" applyBorder="1" applyAlignment="1" applyProtection="1">
      <alignment horizontal="center" vertical="center"/>
    </xf>
    <xf numFmtId="0" fontId="3" fillId="3" borderId="0" xfId="0" applyFont="1" applyFill="1" applyBorder="1" applyAlignment="1" applyProtection="1">
      <alignment horizontal="left" vertical="center"/>
    </xf>
    <xf numFmtId="0" fontId="3" fillId="0" borderId="0" xfId="321" applyFont="1" applyAlignment="1">
      <alignment horizontal="left" vertical="center"/>
    </xf>
    <xf numFmtId="0" fontId="57" fillId="0" borderId="0" xfId="0" applyFont="1"/>
    <xf numFmtId="0" fontId="58" fillId="0" borderId="0" xfId="321" applyFont="1"/>
    <xf numFmtId="174" fontId="59" fillId="0" borderId="0" xfId="321" applyNumberFormat="1" applyFont="1" applyAlignment="1">
      <alignment horizontal="left" vertical="center"/>
    </xf>
    <xf numFmtId="0" fontId="59" fillId="0" borderId="0" xfId="321" applyNumberFormat="1" applyFont="1" applyAlignment="1">
      <alignment horizontal="left" vertical="center"/>
    </xf>
    <xf numFmtId="1" fontId="59" fillId="0" borderId="0" xfId="321" applyNumberFormat="1" applyFont="1" applyAlignment="1">
      <alignment horizontal="left" vertical="center"/>
    </xf>
    <xf numFmtId="0" fontId="60" fillId="0" borderId="0" xfId="321" applyFont="1" applyAlignment="1">
      <alignment horizontal="left" vertical="center"/>
    </xf>
    <xf numFmtId="0" fontId="3" fillId="12" borderId="0" xfId="0" applyFont="1" applyFill="1" applyAlignment="1" applyProtection="1">
      <alignment vertical="center"/>
      <protection locked="0"/>
    </xf>
    <xf numFmtId="10" fontId="3" fillId="7" borderId="2" xfId="0" applyNumberFormat="1" applyFont="1" applyFill="1" applyBorder="1" applyAlignment="1" applyProtection="1">
      <alignment vertical="center"/>
      <protection locked="0"/>
    </xf>
    <xf numFmtId="0" fontId="3" fillId="3" borderId="7" xfId="0" applyFont="1" applyFill="1" applyBorder="1" applyAlignment="1">
      <alignment horizontal="center" vertical="center"/>
    </xf>
    <xf numFmtId="37" fontId="3" fillId="4" borderId="12" xfId="0" applyNumberFormat="1" applyFont="1" applyFill="1" applyBorder="1" applyAlignment="1" applyProtection="1">
      <alignment horizontal="center" vertical="center"/>
    </xf>
    <xf numFmtId="171" fontId="3" fillId="4" borderId="12" xfId="0" applyNumberFormat="1" applyFont="1" applyFill="1" applyBorder="1" applyAlignment="1" applyProtection="1">
      <alignment horizontal="center" vertical="center"/>
    </xf>
    <xf numFmtId="171" fontId="3" fillId="3" borderId="2" xfId="0" applyNumberFormat="1" applyFont="1" applyFill="1" applyBorder="1" applyAlignment="1" applyProtection="1">
      <alignment horizontal="center" vertical="center"/>
    </xf>
    <xf numFmtId="179" fontId="3" fillId="3" borderId="0" xfId="0" applyNumberFormat="1" applyFont="1" applyFill="1" applyAlignment="1">
      <alignment horizontal="center" vertical="center"/>
    </xf>
    <xf numFmtId="0" fontId="15" fillId="12" borderId="19" xfId="0" applyFont="1" applyFill="1" applyBorder="1" applyAlignment="1" applyProtection="1">
      <alignment vertical="center"/>
    </xf>
    <xf numFmtId="0" fontId="3" fillId="12" borderId="0" xfId="0" applyFont="1" applyFill="1" applyBorder="1" applyAlignment="1" applyProtection="1">
      <alignment vertical="center"/>
    </xf>
    <xf numFmtId="0" fontId="15" fillId="12" borderId="0" xfId="0" applyFont="1" applyFill="1" applyBorder="1" applyAlignment="1" applyProtection="1">
      <alignment vertical="center"/>
    </xf>
    <xf numFmtId="176" fontId="15" fillId="12" borderId="15" xfId="0" applyNumberFormat="1" applyFont="1" applyFill="1" applyBorder="1" applyAlignment="1" applyProtection="1">
      <alignment horizontal="center" vertical="center"/>
    </xf>
    <xf numFmtId="0" fontId="15" fillId="12" borderId="19" xfId="0" applyFont="1" applyFill="1" applyBorder="1" applyAlignment="1" applyProtection="1">
      <alignment horizontal="left" vertical="center"/>
    </xf>
    <xf numFmtId="176" fontId="15" fillId="11" borderId="2" xfId="0" applyNumberFormat="1" applyFont="1" applyFill="1" applyBorder="1" applyAlignment="1" applyProtection="1">
      <alignment horizontal="center" vertical="center"/>
      <protection locked="0"/>
    </xf>
    <xf numFmtId="173" fontId="16" fillId="12" borderId="6" xfId="0" applyNumberFormat="1" applyFont="1" applyFill="1" applyBorder="1" applyAlignment="1" applyProtection="1">
      <alignment horizontal="center" vertical="center"/>
    </xf>
    <xf numFmtId="0" fontId="16" fillId="13" borderId="19" xfId="0" applyFont="1" applyFill="1" applyBorder="1" applyAlignment="1" applyProtection="1">
      <alignment vertical="center"/>
    </xf>
    <xf numFmtId="0" fontId="3" fillId="13" borderId="0" xfId="0" applyFont="1" applyFill="1" applyBorder="1" applyAlignment="1" applyProtection="1">
      <alignment vertical="center"/>
    </xf>
    <xf numFmtId="0" fontId="15" fillId="13" borderId="0" xfId="0" applyFont="1" applyFill="1" applyBorder="1" applyAlignment="1" applyProtection="1">
      <alignment vertical="center"/>
    </xf>
    <xf numFmtId="176" fontId="16" fillId="13" borderId="6" xfId="0" applyNumberFormat="1" applyFont="1" applyFill="1" applyBorder="1" applyAlignment="1" applyProtection="1">
      <alignment horizontal="center" vertical="center"/>
    </xf>
    <xf numFmtId="37" fontId="15" fillId="3" borderId="18" xfId="0" applyNumberFormat="1" applyFont="1" applyFill="1" applyBorder="1" applyAlignment="1" applyProtection="1">
      <alignment horizontal="left" vertical="center"/>
    </xf>
    <xf numFmtId="0" fontId="17" fillId="12" borderId="1" xfId="0" applyFont="1" applyFill="1" applyBorder="1" applyAlignment="1">
      <alignment horizontal="left" vertical="center"/>
    </xf>
    <xf numFmtId="176" fontId="16" fillId="13" borderId="9" xfId="0" applyNumberFormat="1" applyFont="1" applyFill="1" applyBorder="1" applyAlignment="1" applyProtection="1">
      <alignment horizontal="center" vertical="center"/>
      <protection locked="0"/>
    </xf>
    <xf numFmtId="0" fontId="3" fillId="3" borderId="15" xfId="0" applyFont="1" applyFill="1" applyBorder="1" applyAlignment="1" applyProtection="1">
      <alignment vertical="center"/>
    </xf>
    <xf numFmtId="0" fontId="3" fillId="12" borderId="15" xfId="0" applyFont="1" applyFill="1" applyBorder="1" applyAlignment="1" applyProtection="1">
      <alignment vertical="center"/>
      <protection locked="0"/>
    </xf>
    <xf numFmtId="0" fontId="61" fillId="0" borderId="0" xfId="0" applyFont="1" applyProtection="1">
      <protection locked="0"/>
    </xf>
    <xf numFmtId="0" fontId="3" fillId="13" borderId="9" xfId="0" applyFont="1" applyFill="1" applyBorder="1" applyAlignment="1" applyProtection="1">
      <alignment vertical="center"/>
      <protection locked="0"/>
    </xf>
    <xf numFmtId="173" fontId="15" fillId="12" borderId="19" xfId="0" applyNumberFormat="1" applyFont="1" applyFill="1" applyBorder="1" applyAlignment="1" applyProtection="1">
      <alignment horizontal="center" vertical="center"/>
    </xf>
    <xf numFmtId="0" fontId="15" fillId="12" borderId="0" xfId="0" applyFont="1" applyFill="1" applyBorder="1" applyAlignment="1" applyProtection="1">
      <alignment horizontal="left" vertical="center"/>
    </xf>
    <xf numFmtId="0" fontId="25" fillId="12" borderId="0" xfId="0" applyFont="1" applyFill="1" applyBorder="1" applyAlignment="1" applyProtection="1">
      <alignment horizontal="center" vertical="center"/>
    </xf>
    <xf numFmtId="0" fontId="0" fillId="12" borderId="15" xfId="0" applyFill="1" applyBorder="1" applyAlignment="1" applyProtection="1">
      <alignment vertical="center"/>
    </xf>
    <xf numFmtId="173" fontId="15" fillId="13" borderId="18" xfId="0" applyNumberFormat="1" applyFont="1" applyFill="1" applyBorder="1" applyAlignment="1" applyProtection="1">
      <alignment horizontal="center" vertical="center"/>
    </xf>
    <xf numFmtId="173" fontId="15" fillId="12" borderId="4" xfId="0" applyNumberFormat="1" applyFont="1" applyFill="1" applyBorder="1" applyAlignment="1" applyProtection="1">
      <alignment horizontal="center" vertical="center"/>
    </xf>
    <xf numFmtId="173" fontId="15" fillId="13" borderId="4" xfId="0" applyNumberFormat="1" applyFont="1" applyFill="1" applyBorder="1" applyAlignment="1" applyProtection="1">
      <alignment horizontal="center" vertical="center"/>
    </xf>
    <xf numFmtId="0" fontId="15" fillId="12" borderId="1" xfId="0" applyFont="1" applyFill="1" applyBorder="1" applyAlignment="1" applyProtection="1">
      <alignment horizontal="left" vertical="center"/>
    </xf>
    <xf numFmtId="0" fontId="25" fillId="12" borderId="1" xfId="0" applyFont="1" applyFill="1" applyBorder="1" applyAlignment="1" applyProtection="1">
      <alignment horizontal="center" vertical="center"/>
    </xf>
    <xf numFmtId="0" fontId="0" fillId="12" borderId="9" xfId="0" applyFill="1" applyBorder="1" applyAlignment="1" applyProtection="1">
      <alignment vertical="center"/>
    </xf>
    <xf numFmtId="37" fontId="3" fillId="3" borderId="15" xfId="0" applyNumberFormat="1" applyFont="1" applyFill="1" applyBorder="1" applyAlignment="1" applyProtection="1">
      <alignment horizontal="right" vertical="center"/>
    </xf>
    <xf numFmtId="176" fontId="15" fillId="12" borderId="19" xfId="0" applyNumberFormat="1" applyFont="1" applyFill="1" applyBorder="1" applyAlignment="1" applyProtection="1">
      <alignment horizontal="center" vertical="center"/>
    </xf>
    <xf numFmtId="0" fontId="15" fillId="12" borderId="15" xfId="0" applyFont="1" applyFill="1" applyBorder="1" applyAlignment="1" applyProtection="1">
      <alignment vertical="center"/>
    </xf>
    <xf numFmtId="176" fontId="15" fillId="12" borderId="18" xfId="0" applyNumberFormat="1" applyFont="1" applyFill="1" applyBorder="1" applyAlignment="1" applyProtection="1">
      <alignment horizontal="center" vertical="center"/>
    </xf>
    <xf numFmtId="176" fontId="15" fillId="12" borderId="19" xfId="0" applyNumberFormat="1" applyFont="1" applyFill="1" applyBorder="1" applyAlignment="1" applyProtection="1">
      <alignment vertical="center"/>
    </xf>
    <xf numFmtId="0" fontId="3" fillId="12" borderId="15" xfId="0" applyFont="1" applyFill="1" applyBorder="1" applyProtection="1">
      <protection locked="0"/>
    </xf>
    <xf numFmtId="176" fontId="15" fillId="13" borderId="18" xfId="0" applyNumberFormat="1" applyFont="1" applyFill="1" applyBorder="1" applyAlignment="1" applyProtection="1">
      <alignment horizontal="center" vertical="center"/>
    </xf>
    <xf numFmtId="0" fontId="15" fillId="13" borderId="1" xfId="0" applyFont="1" applyFill="1" applyBorder="1" applyAlignment="1" applyProtection="1">
      <alignment vertical="center"/>
    </xf>
    <xf numFmtId="0" fontId="15" fillId="13" borderId="9" xfId="0" applyFont="1" applyFill="1" applyBorder="1" applyAlignment="1" applyProtection="1">
      <alignment vertical="center"/>
    </xf>
    <xf numFmtId="37" fontId="3" fillId="13" borderId="9" xfId="0" applyNumberFormat="1" applyFont="1" applyFill="1" applyBorder="1" applyAlignment="1" applyProtection="1">
      <alignment horizontal="right" vertical="center"/>
    </xf>
    <xf numFmtId="0" fontId="3" fillId="12" borderId="19" xfId="0" applyFont="1" applyFill="1" applyBorder="1" applyAlignment="1" applyProtection="1">
      <alignment vertical="center"/>
    </xf>
    <xf numFmtId="176" fontId="19" fillId="12" borderId="19" xfId="0" applyNumberFormat="1" applyFont="1" applyFill="1" applyBorder="1" applyAlignment="1" applyProtection="1">
      <alignment horizontal="center" vertical="center"/>
    </xf>
    <xf numFmtId="0" fontId="3" fillId="12" borderId="15" xfId="0" applyFont="1" applyFill="1" applyBorder="1" applyAlignment="1" applyProtection="1">
      <alignment vertical="center"/>
    </xf>
    <xf numFmtId="176" fontId="19" fillId="12" borderId="19" xfId="0" applyNumberFormat="1" applyFont="1" applyFill="1" applyBorder="1" applyAlignment="1" applyProtection="1">
      <alignment vertical="center"/>
    </xf>
    <xf numFmtId="0" fontId="19" fillId="12" borderId="0" xfId="0" applyFont="1" applyFill="1" applyBorder="1" applyAlignment="1" applyProtection="1">
      <alignment vertical="center"/>
    </xf>
    <xf numFmtId="176" fontId="19" fillId="12" borderId="18" xfId="0" applyNumberFormat="1" applyFont="1" applyFill="1" applyBorder="1" applyAlignment="1" applyProtection="1">
      <alignment horizontal="center" vertical="center"/>
    </xf>
    <xf numFmtId="176" fontId="19" fillId="13" borderId="18" xfId="0" applyNumberFormat="1" applyFont="1" applyFill="1" applyBorder="1" applyAlignment="1" applyProtection="1">
      <alignment horizontal="center" vertical="center"/>
    </xf>
    <xf numFmtId="0" fontId="3" fillId="13" borderId="9" xfId="0" applyFont="1" applyFill="1" applyBorder="1" applyAlignment="1" applyProtection="1">
      <alignment vertical="center"/>
    </xf>
    <xf numFmtId="0" fontId="3" fillId="13" borderId="9" xfId="0" applyFont="1" applyFill="1" applyBorder="1" applyProtection="1">
      <protection locked="0"/>
    </xf>
    <xf numFmtId="179" fontId="3" fillId="2" borderId="2" xfId="0" applyNumberFormat="1" applyFont="1" applyFill="1" applyBorder="1" applyAlignment="1" applyProtection="1">
      <alignment vertical="center"/>
      <protection locked="0"/>
    </xf>
    <xf numFmtId="37" fontId="3" fillId="3" borderId="1" xfId="16" applyNumberFormat="1" applyFont="1" applyFill="1" applyBorder="1" applyAlignment="1" applyProtection="1">
      <alignment horizontal="left" vertical="center"/>
    </xf>
    <xf numFmtId="176" fontId="15" fillId="13" borderId="18" xfId="16" applyNumberFormat="1" applyFont="1" applyFill="1" applyBorder="1" applyAlignment="1" applyProtection="1">
      <alignment horizontal="center" vertical="center"/>
    </xf>
    <xf numFmtId="179" fontId="3" fillId="7" borderId="2" xfId="0" applyNumberFormat="1" applyFont="1" applyFill="1" applyBorder="1" applyAlignment="1" applyProtection="1">
      <alignment vertical="center"/>
      <protection locked="0"/>
    </xf>
    <xf numFmtId="37" fontId="3" fillId="3" borderId="5" xfId="13" applyNumberFormat="1" applyFont="1" applyFill="1" applyBorder="1" applyAlignment="1" applyProtection="1">
      <alignment horizontal="left" vertical="center"/>
    </xf>
    <xf numFmtId="0" fontId="4" fillId="3" borderId="0" xfId="16" applyFont="1" applyFill="1" applyAlignment="1" applyProtection="1">
      <alignment vertical="center"/>
    </xf>
    <xf numFmtId="1" fontId="3" fillId="3" borderId="10" xfId="0" applyNumberFormat="1" applyFont="1" applyFill="1" applyBorder="1" applyAlignment="1" applyProtection="1">
      <alignment horizontal="center" vertical="center"/>
    </xf>
    <xf numFmtId="37" fontId="3" fillId="3" borderId="10" xfId="0" applyNumberFormat="1" applyFont="1" applyFill="1" applyBorder="1" applyAlignment="1" applyProtection="1">
      <alignment horizontal="center" vertical="center"/>
    </xf>
    <xf numFmtId="0" fontId="26" fillId="3" borderId="0" xfId="0" applyFont="1" applyFill="1" applyAlignment="1" applyProtection="1">
      <alignment horizontal="center" vertical="center"/>
    </xf>
    <xf numFmtId="37" fontId="4" fillId="3" borderId="0" xfId="0" applyNumberFormat="1" applyFont="1" applyFill="1" applyAlignment="1" applyProtection="1">
      <alignment vertical="center"/>
    </xf>
    <xf numFmtId="0" fontId="15" fillId="3" borderId="9" xfId="0" applyFont="1" applyFill="1" applyBorder="1" applyAlignment="1" applyProtection="1">
      <alignment vertical="center"/>
    </xf>
    <xf numFmtId="0" fontId="15" fillId="0" borderId="0" xfId="16" applyFont="1" applyFill="1" applyBorder="1" applyAlignment="1" applyProtection="1">
      <alignment vertical="center"/>
    </xf>
    <xf numFmtId="176" fontId="16" fillId="0" borderId="0" xfId="16" applyNumberFormat="1" applyFont="1" applyFill="1" applyBorder="1" applyAlignment="1" applyProtection="1">
      <alignment horizontal="center" vertical="center"/>
    </xf>
    <xf numFmtId="0" fontId="16" fillId="0" borderId="0" xfId="16" applyFont="1" applyFill="1" applyBorder="1" applyAlignment="1" applyProtection="1">
      <alignment vertical="center"/>
    </xf>
    <xf numFmtId="37" fontId="15" fillId="3" borderId="2" xfId="0" applyNumberFormat="1" applyFont="1" applyFill="1" applyBorder="1" applyAlignment="1" applyProtection="1">
      <alignment horizontal="right" vertical="center"/>
    </xf>
    <xf numFmtId="178" fontId="15" fillId="3" borderId="2" xfId="0" applyNumberFormat="1" applyFont="1" applyFill="1" applyBorder="1" applyAlignment="1" applyProtection="1">
      <alignment horizontal="right" vertical="center"/>
    </xf>
    <xf numFmtId="172" fontId="3" fillId="3" borderId="2" xfId="0" applyNumberFormat="1" applyFont="1" applyFill="1" applyBorder="1" applyAlignment="1" applyProtection="1">
      <alignment horizontal="right" vertical="center"/>
    </xf>
    <xf numFmtId="0" fontId="15" fillId="3" borderId="2" xfId="0" applyFont="1" applyFill="1" applyBorder="1" applyAlignment="1" applyProtection="1">
      <alignment horizontal="right" vertical="center"/>
    </xf>
    <xf numFmtId="0" fontId="15" fillId="3" borderId="7" xfId="0" applyFont="1" applyFill="1" applyBorder="1" applyAlignment="1" applyProtection="1">
      <alignment horizontal="right" vertical="center"/>
    </xf>
    <xf numFmtId="37" fontId="15" fillId="3" borderId="12" xfId="0" applyNumberFormat="1" applyFont="1" applyFill="1" applyBorder="1" applyAlignment="1" applyProtection="1">
      <alignment horizontal="right" vertical="center"/>
    </xf>
    <xf numFmtId="172" fontId="15" fillId="3" borderId="12" xfId="0" applyNumberFormat="1" applyFont="1" applyFill="1" applyBorder="1" applyAlignment="1" applyProtection="1">
      <alignment horizontal="right" vertical="center"/>
    </xf>
    <xf numFmtId="0" fontId="3" fillId="11" borderId="0" xfId="0" applyFont="1" applyFill="1" applyProtection="1">
      <protection locked="0"/>
    </xf>
    <xf numFmtId="0" fontId="3" fillId="0" borderId="0" xfId="11" applyFont="1" applyAlignment="1">
      <alignment vertical="center" wrapText="1"/>
    </xf>
    <xf numFmtId="0" fontId="3" fillId="0" borderId="0" xfId="61" applyFont="1" applyAlignment="1">
      <alignment vertical="center"/>
    </xf>
    <xf numFmtId="37" fontId="15" fillId="3" borderId="0" xfId="0" applyNumberFormat="1" applyFont="1" applyFill="1" applyBorder="1" applyAlignment="1" applyProtection="1">
      <alignment horizontal="fill" vertical="center"/>
      <protection locked="0"/>
    </xf>
    <xf numFmtId="0" fontId="15"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Continuous" vertical="center"/>
      <protection locked="0"/>
    </xf>
    <xf numFmtId="37" fontId="15" fillId="3" borderId="0" xfId="0" applyNumberFormat="1" applyFont="1" applyFill="1" applyBorder="1" applyAlignment="1" applyProtection="1">
      <alignment horizontal="centerContinuous" vertical="center"/>
    </xf>
    <xf numFmtId="0" fontId="3" fillId="0" borderId="0" xfId="22" applyFont="1" applyAlignment="1">
      <alignment vertical="center" wrapText="1"/>
    </xf>
    <xf numFmtId="0" fontId="3" fillId="0" borderId="0" xfId="51" applyFont="1" applyAlignment="1">
      <alignment vertical="center" wrapText="1"/>
    </xf>
    <xf numFmtId="37" fontId="14" fillId="7" borderId="4" xfId="0" applyNumberFormat="1" applyFont="1" applyFill="1" applyBorder="1" applyAlignment="1" applyProtection="1">
      <alignment vertical="center"/>
      <protection locked="0"/>
    </xf>
    <xf numFmtId="0" fontId="14" fillId="7" borderId="4" xfId="0" applyFont="1" applyFill="1" applyBorder="1" applyAlignment="1" applyProtection="1">
      <alignment horizontal="left" vertical="center"/>
      <protection locked="0"/>
    </xf>
    <xf numFmtId="0" fontId="14" fillId="3" borderId="4" xfId="0" applyFont="1" applyFill="1" applyBorder="1" applyAlignment="1" applyProtection="1">
      <alignment vertical="center"/>
    </xf>
    <xf numFmtId="37" fontId="3" fillId="5" borderId="0" xfId="0" applyNumberFormat="1" applyFont="1" applyFill="1" applyAlignment="1" applyProtection="1">
      <alignment horizontal="center" vertical="center" wrapText="1"/>
    </xf>
    <xf numFmtId="0" fontId="0" fillId="5" borderId="1" xfId="0" applyFill="1" applyBorder="1" applyAlignment="1">
      <alignment horizontal="center" vertical="center" wrapText="1"/>
    </xf>
    <xf numFmtId="37" fontId="22" fillId="3" borderId="0" xfId="0" applyNumberFormat="1" applyFont="1" applyFill="1" applyAlignment="1" applyProtection="1">
      <alignment horizontal="center" vertical="center"/>
    </xf>
    <xf numFmtId="0" fontId="23" fillId="0" borderId="0" xfId="0" applyFont="1" applyAlignment="1">
      <alignment horizontal="center" vertical="center"/>
    </xf>
    <xf numFmtId="37" fontId="4" fillId="3" borderId="0" xfId="0" applyNumberFormat="1" applyFont="1" applyFill="1" applyAlignment="1" applyProtection="1">
      <alignment horizontal="center" vertical="center"/>
    </xf>
    <xf numFmtId="0" fontId="1" fillId="0" borderId="0" xfId="0" applyFont="1" applyAlignment="1">
      <alignment horizontal="center" vertical="center"/>
    </xf>
    <xf numFmtId="0" fontId="3" fillId="3" borderId="0" xfId="0" applyFont="1" applyFill="1" applyBorder="1" applyAlignment="1" applyProtection="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3" fillId="5" borderId="7" xfId="0" applyFont="1" applyFill="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21" fillId="3" borderId="0" xfId="0" applyFont="1" applyFill="1" applyBorder="1" applyAlignment="1">
      <alignment vertical="center"/>
    </xf>
    <xf numFmtId="0" fontId="27" fillId="0" borderId="0" xfId="0" applyFont="1" applyAlignment="1">
      <alignment vertical="center"/>
    </xf>
    <xf numFmtId="0" fontId="3" fillId="0" borderId="0" xfId="319" applyFont="1" applyAlignment="1">
      <alignment horizontal="left" vertical="center" wrapText="1"/>
    </xf>
    <xf numFmtId="0" fontId="39" fillId="0" borderId="0" xfId="319" applyFont="1" applyAlignment="1">
      <alignment horizontal="left" vertical="center" wrapText="1"/>
    </xf>
    <xf numFmtId="0" fontId="20" fillId="0" borderId="0" xfId="319" applyFont="1" applyAlignment="1">
      <alignment horizontal="left" vertical="center"/>
    </xf>
    <xf numFmtId="37" fontId="15" fillId="0" borderId="0" xfId="0" applyNumberFormat="1" applyFont="1" applyAlignment="1" applyProtection="1">
      <alignment horizontal="center" vertical="center"/>
      <protection locked="0"/>
    </xf>
    <xf numFmtId="37" fontId="16" fillId="3" borderId="0" xfId="0" applyNumberFormat="1" applyFont="1" applyFill="1" applyAlignment="1" applyProtection="1">
      <alignment horizontal="center" vertical="center"/>
    </xf>
    <xf numFmtId="37" fontId="15" fillId="3" borderId="7" xfId="0" applyNumberFormat="1" applyFont="1" applyFill="1" applyBorder="1" applyAlignment="1" applyProtection="1">
      <alignment horizontal="center" vertical="center" wrapText="1"/>
    </xf>
    <xf numFmtId="0" fontId="17" fillId="0" borderId="8" xfId="0" applyFont="1" applyBorder="1" applyAlignment="1">
      <alignment horizontal="center" vertical="center" wrapText="1"/>
    </xf>
    <xf numFmtId="37" fontId="25" fillId="3" borderId="0" xfId="0" applyNumberFormat="1" applyFont="1" applyFill="1" applyAlignment="1" applyProtection="1">
      <alignment horizontal="center" vertical="center"/>
    </xf>
    <xf numFmtId="0" fontId="40" fillId="0" borderId="0" xfId="0" applyFont="1" applyAlignment="1">
      <alignment horizontal="center" vertical="center"/>
    </xf>
    <xf numFmtId="37" fontId="15" fillId="3" borderId="0" xfId="0" applyNumberFormat="1" applyFont="1" applyFill="1" applyAlignment="1" applyProtection="1">
      <alignment horizontal="center" vertical="center"/>
    </xf>
    <xf numFmtId="0" fontId="0" fillId="0" borderId="0" xfId="0" applyAlignment="1">
      <alignment horizontal="center" vertical="center"/>
    </xf>
    <xf numFmtId="0" fontId="0" fillId="0" borderId="0" xfId="0" applyAlignment="1">
      <alignment vertical="center"/>
    </xf>
    <xf numFmtId="37" fontId="15" fillId="3" borderId="4" xfId="0" applyNumberFormat="1" applyFont="1" applyFill="1" applyBorder="1" applyAlignment="1" applyProtection="1">
      <alignment horizontal="fill" vertical="center"/>
    </xf>
    <xf numFmtId="0" fontId="0" fillId="0" borderId="6" xfId="0" applyBorder="1" applyAlignment="1">
      <alignment vertical="center"/>
    </xf>
    <xf numFmtId="0" fontId="15" fillId="3" borderId="0" xfId="0" applyFont="1" applyFill="1" applyAlignment="1" applyProtection="1">
      <alignment horizontal="center" vertical="center"/>
    </xf>
    <xf numFmtId="0" fontId="15" fillId="5" borderId="7" xfId="0" applyFont="1" applyFill="1" applyBorder="1" applyAlignment="1" applyProtection="1">
      <alignment horizontal="center" vertical="center" wrapText="1"/>
    </xf>
    <xf numFmtId="0" fontId="0" fillId="0" borderId="8" xfId="0" applyBorder="1" applyAlignment="1">
      <alignment vertical="center" wrapText="1"/>
    </xf>
    <xf numFmtId="37" fontId="3" fillId="3" borderId="7" xfId="0" applyNumberFormat="1" applyFont="1" applyFill="1" applyBorder="1" applyAlignment="1" applyProtection="1">
      <alignment horizontal="center" vertical="center" wrapText="1"/>
    </xf>
    <xf numFmtId="0" fontId="6" fillId="3" borderId="0" xfId="0" applyFont="1" applyFill="1" applyAlignment="1" applyProtection="1">
      <alignment horizontal="center" vertical="center"/>
    </xf>
    <xf numFmtId="0" fontId="4" fillId="3" borderId="0" xfId="0" applyFont="1" applyFill="1" applyAlignment="1" applyProtection="1">
      <alignment horizontal="center" vertical="center"/>
    </xf>
    <xf numFmtId="37" fontId="3" fillId="3" borderId="7" xfId="0" applyNumberFormat="1" applyFont="1" applyFill="1" applyBorder="1" applyAlignment="1" applyProtection="1">
      <alignment horizontal="center" wrapText="1"/>
    </xf>
    <xf numFmtId="0" fontId="0" fillId="0" borderId="8" xfId="0" applyBorder="1" applyAlignment="1">
      <alignment horizontal="center" wrapText="1"/>
    </xf>
    <xf numFmtId="37" fontId="3" fillId="3" borderId="4" xfId="0" applyNumberFormat="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37" fontId="4" fillId="3" borderId="0" xfId="0" applyNumberFormat="1" applyFont="1" applyFill="1" applyAlignment="1" applyProtection="1">
      <alignment horizontal="center"/>
    </xf>
    <xf numFmtId="0" fontId="3" fillId="3" borderId="18" xfId="0" applyFont="1" applyFill="1" applyBorder="1" applyAlignment="1" applyProtection="1">
      <alignment horizontal="center" vertical="center"/>
    </xf>
    <xf numFmtId="0" fontId="0" fillId="0" borderId="9" xfId="0" applyBorder="1" applyAlignment="1" applyProtection="1">
      <alignment vertical="center"/>
    </xf>
    <xf numFmtId="1" fontId="3" fillId="3" borderId="18" xfId="0" applyNumberFormat="1" applyFont="1" applyFill="1" applyBorder="1" applyAlignment="1" applyProtection="1">
      <alignment horizontal="center" vertical="center"/>
    </xf>
    <xf numFmtId="0" fontId="0" fillId="0" borderId="9" xfId="0" applyBorder="1" applyAlignment="1" applyProtection="1">
      <alignment horizontal="center" vertical="center"/>
    </xf>
    <xf numFmtId="3" fontId="3" fillId="3" borderId="13" xfId="28" applyNumberFormat="1" applyFont="1" applyFill="1" applyBorder="1" applyAlignment="1" applyProtection="1">
      <alignment horizontal="right" vertical="center"/>
    </xf>
    <xf numFmtId="0" fontId="2" fillId="0" borderId="11" xfId="28" applyBorder="1" applyAlignment="1">
      <alignment horizontal="right" vertical="center"/>
    </xf>
    <xf numFmtId="0" fontId="3" fillId="3" borderId="0" xfId="28" applyFont="1" applyFill="1" applyAlignment="1" applyProtection="1">
      <alignment horizontal="right" vertical="center"/>
    </xf>
    <xf numFmtId="0" fontId="3" fillId="0" borderId="15" xfId="28" applyFont="1" applyBorder="1" applyAlignment="1">
      <alignment horizontal="right" vertical="center"/>
    </xf>
    <xf numFmtId="0" fontId="25" fillId="3" borderId="10" xfId="16" applyFont="1" applyFill="1" applyBorder="1" applyAlignment="1" applyProtection="1">
      <alignment horizontal="center" vertical="center"/>
    </xf>
    <xf numFmtId="0" fontId="46" fillId="0" borderId="13" xfId="16" applyFont="1" applyBorder="1" applyAlignment="1" applyProtection="1">
      <alignment horizontal="center" vertical="center"/>
    </xf>
    <xf numFmtId="0" fontId="2" fillId="0" borderId="11" xfId="16" applyBorder="1" applyAlignment="1" applyProtection="1">
      <alignment vertical="center"/>
    </xf>
    <xf numFmtId="0" fontId="3" fillId="3" borderId="0" xfId="0" applyFont="1" applyFill="1" applyAlignment="1" applyProtection="1">
      <alignment horizontal="center" vertical="center"/>
    </xf>
    <xf numFmtId="0" fontId="3" fillId="3" borderId="0" xfId="0" applyNumberFormat="1" applyFont="1" applyFill="1" applyBorder="1" applyAlignment="1" applyProtection="1">
      <alignment horizontal="right" vertical="center"/>
    </xf>
    <xf numFmtId="0" fontId="0" fillId="0" borderId="0" xfId="0" applyAlignment="1">
      <alignment horizontal="right" vertical="center"/>
    </xf>
    <xf numFmtId="0" fontId="25" fillId="12" borderId="10" xfId="0" applyFont="1" applyFill="1" applyBorder="1" applyAlignment="1" applyProtection="1">
      <alignment horizontal="center" vertical="center"/>
    </xf>
    <xf numFmtId="0" fontId="0" fillId="0" borderId="13" xfId="0" applyBorder="1" applyAlignment="1">
      <alignment vertical="center"/>
    </xf>
    <xf numFmtId="0" fontId="0" fillId="0" borderId="11" xfId="0" applyBorder="1" applyAlignment="1">
      <alignment vertical="center"/>
    </xf>
    <xf numFmtId="173" fontId="25" fillId="12" borderId="10" xfId="0" applyNumberFormat="1" applyFont="1" applyFill="1" applyBorder="1" applyAlignment="1" applyProtection="1">
      <alignment horizontal="center"/>
    </xf>
    <xf numFmtId="0" fontId="23" fillId="0" borderId="13" xfId="0" applyFont="1" applyBorder="1" applyAlignment="1"/>
    <xf numFmtId="0" fontId="23" fillId="0" borderId="11" xfId="0" applyFont="1" applyBorder="1" applyAlignment="1"/>
    <xf numFmtId="37" fontId="3" fillId="3" borderId="0" xfId="0" applyNumberFormat="1" applyFont="1" applyFill="1" applyAlignment="1" applyProtection="1">
      <alignment horizontal="center" vertical="center"/>
    </xf>
    <xf numFmtId="0" fontId="0" fillId="0" borderId="13" xfId="0" applyBorder="1" applyAlignment="1">
      <alignment horizontal="center" vertical="center"/>
    </xf>
    <xf numFmtId="0" fontId="0" fillId="0" borderId="11" xfId="0" applyBorder="1" applyAlignment="1"/>
    <xf numFmtId="0" fontId="17" fillId="0" borderId="13" xfId="0" applyFont="1" applyBorder="1" applyAlignment="1">
      <alignment horizontal="center"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37" fontId="3" fillId="12" borderId="0" xfId="0" applyNumberFormat="1" applyFont="1" applyFill="1" applyAlignment="1" applyProtection="1">
      <alignment horizontal="center" vertical="center"/>
    </xf>
    <xf numFmtId="0" fontId="20" fillId="12" borderId="10" xfId="25" applyFont="1" applyFill="1" applyBorder="1" applyAlignment="1" applyProtection="1">
      <alignment horizontal="center"/>
    </xf>
    <xf numFmtId="0" fontId="20" fillId="12" borderId="13" xfId="25" applyFont="1" applyFill="1" applyBorder="1" applyAlignment="1" applyProtection="1">
      <alignment horizontal="center"/>
    </xf>
    <xf numFmtId="0" fontId="20" fillId="12" borderId="11" xfId="25" applyFont="1" applyFill="1" applyBorder="1" applyAlignment="1" applyProtection="1">
      <alignment horizontal="center"/>
    </xf>
    <xf numFmtId="0" fontId="2" fillId="0" borderId="13" xfId="25" applyBorder="1" applyAlignment="1" applyProtection="1">
      <alignment horizontal="center"/>
    </xf>
    <xf numFmtId="0" fontId="2" fillId="0" borderId="11" xfId="25" applyBorder="1" applyAlignment="1" applyProtection="1">
      <alignment horizontal="center"/>
    </xf>
    <xf numFmtId="37" fontId="20" fillId="3" borderId="0" xfId="0" applyNumberFormat="1" applyFont="1" applyFill="1" applyAlignment="1" applyProtection="1">
      <alignment horizontal="center" vertical="center"/>
    </xf>
    <xf numFmtId="37" fontId="3" fillId="3" borderId="1" xfId="0" applyNumberFormat="1" applyFont="1" applyFill="1" applyBorder="1" applyAlignment="1" applyProtection="1">
      <alignment horizontal="center" vertical="center"/>
      <protection locked="0"/>
    </xf>
    <xf numFmtId="0" fontId="0" fillId="0" borderId="13" xfId="0" applyBorder="1" applyAlignment="1">
      <alignment horizontal="center"/>
    </xf>
    <xf numFmtId="0" fontId="0" fillId="0" borderId="11" xfId="0" applyBorder="1" applyAlignment="1">
      <alignment horizontal="center"/>
    </xf>
    <xf numFmtId="0" fontId="3" fillId="3" borderId="0" xfId="0" applyFont="1" applyFill="1" applyAlignment="1">
      <alignment horizontal="right" vertical="center"/>
    </xf>
    <xf numFmtId="0" fontId="0" fillId="0" borderId="0" xfId="0" applyAlignment="1" applyProtection="1">
      <alignment vertical="center"/>
    </xf>
    <xf numFmtId="0" fontId="3" fillId="3" borderId="0" xfId="0" applyFont="1" applyFill="1" applyAlignment="1" applyProtection="1">
      <alignment horizontal="right" vertical="center"/>
    </xf>
    <xf numFmtId="0" fontId="11" fillId="0" borderId="0" xfId="0" applyFont="1" applyAlignment="1">
      <alignment horizontal="center" vertical="top"/>
    </xf>
    <xf numFmtId="0" fontId="12"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vertical="top" wrapText="1"/>
    </xf>
    <xf numFmtId="0" fontId="7" fillId="0" borderId="0" xfId="0" applyFont="1" applyAlignment="1">
      <alignment horizontal="center"/>
    </xf>
    <xf numFmtId="172" fontId="49" fillId="11" borderId="1" xfId="0" applyNumberFormat="1" applyFont="1" applyFill="1" applyBorder="1" applyAlignment="1" applyProtection="1">
      <alignment horizontal="center"/>
      <protection locked="0"/>
    </xf>
    <xf numFmtId="177" fontId="49" fillId="12" borderId="0" xfId="0" applyNumberFormat="1" applyFont="1" applyFill="1" applyBorder="1" applyAlignment="1">
      <alignment horizontal="center"/>
    </xf>
    <xf numFmtId="177" fontId="49" fillId="0" borderId="23" xfId="0" applyNumberFormat="1" applyFont="1" applyBorder="1" applyAlignment="1">
      <alignment horizontal="center"/>
    </xf>
    <xf numFmtId="5" fontId="49" fillId="12" borderId="1" xfId="0" applyNumberFormat="1" applyFont="1" applyFill="1" applyBorder="1" applyAlignment="1">
      <alignment horizontal="center"/>
    </xf>
    <xf numFmtId="176" fontId="49" fillId="12" borderId="0" xfId="0" applyNumberFormat="1" applyFont="1" applyFill="1" applyBorder="1" applyAlignment="1">
      <alignment horizontal="center"/>
    </xf>
    <xf numFmtId="0" fontId="49" fillId="12" borderId="13" xfId="0" applyFont="1" applyFill="1" applyBorder="1" applyAlignment="1">
      <alignment horizontal="center"/>
    </xf>
    <xf numFmtId="0" fontId="49" fillId="12" borderId="22" xfId="0" applyFont="1" applyFill="1" applyBorder="1" applyAlignment="1">
      <alignment vertical="top" wrapText="1"/>
    </xf>
    <xf numFmtId="0" fontId="49" fillId="0" borderId="0" xfId="0" applyFont="1" applyAlignment="1">
      <alignment vertical="top" wrapText="1"/>
    </xf>
    <xf numFmtId="0" fontId="49" fillId="0" borderId="23" xfId="0" applyFont="1" applyBorder="1" applyAlignment="1">
      <alignment vertical="top" wrapText="1"/>
    </xf>
    <xf numFmtId="0" fontId="49" fillId="0" borderId="23" xfId="0" applyFont="1" applyBorder="1" applyAlignment="1">
      <alignment horizontal="center"/>
    </xf>
    <xf numFmtId="0" fontId="55" fillId="12" borderId="0" xfId="0" applyFont="1" applyFill="1" applyBorder="1" applyAlignment="1">
      <alignment horizontal="center" wrapText="1"/>
    </xf>
    <xf numFmtId="0" fontId="55" fillId="0" borderId="0" xfId="0" applyFont="1" applyAlignment="1">
      <alignment horizontal="center" wrapText="1"/>
    </xf>
    <xf numFmtId="0" fontId="55" fillId="12" borderId="0" xfId="0" applyFont="1" applyFill="1" applyAlignment="1">
      <alignment horizontal="center" wrapText="1"/>
    </xf>
    <xf numFmtId="0" fontId="49" fillId="0" borderId="0" xfId="0" applyFont="1" applyAlignment="1">
      <alignment horizontal="center" wrapText="1"/>
    </xf>
    <xf numFmtId="176" fontId="49" fillId="11" borderId="1" xfId="0" applyNumberFormat="1" applyFont="1" applyFill="1" applyBorder="1" applyAlignment="1" applyProtection="1">
      <alignment horizontal="center"/>
      <protection locked="0"/>
    </xf>
    <xf numFmtId="0" fontId="55" fillId="12" borderId="24" xfId="0" applyFont="1" applyFill="1" applyBorder="1" applyAlignment="1">
      <alignment horizontal="center" vertical="center"/>
    </xf>
    <xf numFmtId="0" fontId="49" fillId="12" borderId="0" xfId="0" applyFont="1" applyFill="1" applyAlignment="1">
      <alignment wrapText="1"/>
    </xf>
    <xf numFmtId="0" fontId="49" fillId="0" borderId="24" xfId="0" applyFont="1" applyBorder="1" applyAlignment="1">
      <alignment horizontal="center" vertical="center"/>
    </xf>
    <xf numFmtId="0" fontId="55" fillId="12" borderId="0" xfId="0" applyFont="1" applyFill="1" applyAlignment="1">
      <alignment horizontal="center"/>
    </xf>
    <xf numFmtId="0" fontId="49" fillId="0" borderId="0" xfId="0" applyFont="1" applyAlignment="1">
      <alignment wrapText="1"/>
    </xf>
    <xf numFmtId="176" fontId="49" fillId="11" borderId="26" xfId="0" applyNumberFormat="1" applyFont="1" applyFill="1" applyBorder="1" applyAlignment="1" applyProtection="1">
      <alignment horizontal="center"/>
      <protection locked="0"/>
    </xf>
    <xf numFmtId="0" fontId="49" fillId="12" borderId="0" xfId="0" applyFont="1" applyFill="1" applyBorder="1" applyAlignment="1"/>
    <xf numFmtId="0" fontId="49" fillId="0" borderId="0" xfId="0" applyFont="1" applyBorder="1" applyAlignment="1"/>
    <xf numFmtId="0" fontId="49" fillId="12" borderId="28" xfId="0" applyFont="1" applyFill="1" applyBorder="1" applyAlignment="1"/>
    <xf numFmtId="0" fontId="49" fillId="12" borderId="29" xfId="0" applyFont="1" applyFill="1" applyBorder="1" applyAlignment="1"/>
    <xf numFmtId="0" fontId="55" fillId="12" borderId="0" xfId="0" applyFont="1" applyFill="1" applyAlignment="1">
      <alignment horizontal="center" vertical="center"/>
    </xf>
    <xf numFmtId="0" fontId="55" fillId="0" borderId="0" xfId="0" applyFont="1" applyAlignment="1">
      <alignment horizontal="center" vertical="center"/>
    </xf>
    <xf numFmtId="176" fontId="49" fillId="12" borderId="0" xfId="0" applyNumberFormat="1" applyFont="1" applyFill="1" applyAlignment="1"/>
    <xf numFmtId="176" fontId="49" fillId="12" borderId="0" xfId="0" applyNumberFormat="1" applyFont="1" applyFill="1" applyAlignment="1">
      <alignment horizontal="center"/>
    </xf>
    <xf numFmtId="0" fontId="49" fillId="12" borderId="0" xfId="0" applyFont="1" applyFill="1" applyBorder="1" applyAlignment="1">
      <alignment wrapText="1"/>
    </xf>
    <xf numFmtId="0" fontId="49" fillId="12" borderId="0" xfId="0" applyFont="1" applyFill="1" applyBorder="1" applyAlignment="1">
      <alignment horizontal="center"/>
    </xf>
  </cellXfs>
  <cellStyles count="342">
    <cellStyle name="Comma" xfId="1" builtinId="3"/>
    <cellStyle name="Comma 11 2" xfId="2"/>
    <cellStyle name="Comma 16" xfId="3"/>
    <cellStyle name="Comma 16 2" xfId="4"/>
    <cellStyle name="Comma 16 3" xfId="5"/>
    <cellStyle name="Hyperlink 3" xfId="6"/>
    <cellStyle name="Hyperlink 3 2" xfId="7"/>
    <cellStyle name="Hyperlink 7" xfId="8"/>
    <cellStyle name="Hyperlink 7 2" xfId="9"/>
    <cellStyle name="Normal" xfId="0" builtinId="0"/>
    <cellStyle name="Normal 10" xfId="10"/>
    <cellStyle name="Normal 10 2" xfId="11"/>
    <cellStyle name="Normal 10 2 2" xfId="12"/>
    <cellStyle name="Normal 10 2 2 2" xfId="13"/>
    <cellStyle name="Normal 10 3" xfId="14"/>
    <cellStyle name="Normal 10 4" xfId="15"/>
    <cellStyle name="Normal 10 5" xfId="16"/>
    <cellStyle name="Normal 10 6" xfId="17"/>
    <cellStyle name="Normal 11" xfId="18"/>
    <cellStyle name="Normal 11 2" xfId="19"/>
    <cellStyle name="Normal 11 2 2" xfId="20"/>
    <cellStyle name="Normal 11 3" xfId="21"/>
    <cellStyle name="Normal 11 4" xfId="22"/>
    <cellStyle name="Normal 11 5" xfId="23"/>
    <cellStyle name="Normal 12" xfId="24"/>
    <cellStyle name="Normal 12 10" xfId="25"/>
    <cellStyle name="Normal 12 11" xfId="26"/>
    <cellStyle name="Normal 12 12" xfId="27"/>
    <cellStyle name="Normal 12 2" xfId="28"/>
    <cellStyle name="Normal 12 2 2" xfId="29"/>
    <cellStyle name="Normal 12 3" xfId="30"/>
    <cellStyle name="Normal 12 4" xfId="31"/>
    <cellStyle name="Normal 12 5" xfId="32"/>
    <cellStyle name="Normal 12 6" xfId="33"/>
    <cellStyle name="Normal 12 7" xfId="34"/>
    <cellStyle name="Normal 12 8" xfId="35"/>
    <cellStyle name="Normal 12 9" xfId="36"/>
    <cellStyle name="Normal 13" xfId="37"/>
    <cellStyle name="Normal 13 10" xfId="38"/>
    <cellStyle name="Normal 13 11" xfId="39"/>
    <cellStyle name="Normal 13 12" xfId="40"/>
    <cellStyle name="Normal 13 2" xfId="41"/>
    <cellStyle name="Normal 13 2 2" xfId="42"/>
    <cellStyle name="Normal 13 3" xfId="43"/>
    <cellStyle name="Normal 13 4" xfId="44"/>
    <cellStyle name="Normal 13 5" xfId="45"/>
    <cellStyle name="Normal 13 6" xfId="46"/>
    <cellStyle name="Normal 13 7" xfId="47"/>
    <cellStyle name="Normal 13 8" xfId="48"/>
    <cellStyle name="Normal 13 9" xfId="49"/>
    <cellStyle name="Normal 14" xfId="50"/>
    <cellStyle name="Normal 14 2" xfId="51"/>
    <cellStyle name="Normal 14 3" xfId="52"/>
    <cellStyle name="Normal 14 4" xfId="53"/>
    <cellStyle name="Normal 14 5" xfId="54"/>
    <cellStyle name="Normal 14 6" xfId="55"/>
    <cellStyle name="Normal 15" xfId="56"/>
    <cellStyle name="Normal 15 2" xfId="57"/>
    <cellStyle name="Normal 15 3" xfId="58"/>
    <cellStyle name="Normal 15 4" xfId="59"/>
    <cellStyle name="Normal 16" xfId="60"/>
    <cellStyle name="Normal 16 2" xfId="61"/>
    <cellStyle name="Normal 16 3" xfId="62"/>
    <cellStyle name="Normal 16 4" xfId="63"/>
    <cellStyle name="Normal 17" xfId="64"/>
    <cellStyle name="Normal 17 2" xfId="65"/>
    <cellStyle name="Normal 17 3" xfId="66"/>
    <cellStyle name="Normal 17 4" xfId="67"/>
    <cellStyle name="Normal 18" xfId="68"/>
    <cellStyle name="Normal 18 2" xfId="69"/>
    <cellStyle name="Normal 18 2 2" xfId="70"/>
    <cellStyle name="Normal 18 2 3" xfId="71"/>
    <cellStyle name="Normal 18 3" xfId="72"/>
    <cellStyle name="Normal 18 4" xfId="73"/>
    <cellStyle name="Normal 18 5" xfId="74"/>
    <cellStyle name="Normal 18 6" xfId="75"/>
    <cellStyle name="Normal 18 7" xfId="76"/>
    <cellStyle name="Normal 19" xfId="77"/>
    <cellStyle name="Normal 19 2" xfId="78"/>
    <cellStyle name="Normal 19 2 2" xfId="79"/>
    <cellStyle name="Normal 19 2 3" xfId="80"/>
    <cellStyle name="Normal 19 3" xfId="81"/>
    <cellStyle name="Normal 19 4" xfId="82"/>
    <cellStyle name="Normal 19 5" xfId="83"/>
    <cellStyle name="Normal 19 6" xfId="84"/>
    <cellStyle name="Normal 2 10" xfId="85"/>
    <cellStyle name="Normal 2 10 10" xfId="86"/>
    <cellStyle name="Normal 2 10 2" xfId="87"/>
    <cellStyle name="Normal 2 10 2 2" xfId="88"/>
    <cellStyle name="Normal 2 10 3" xfId="89"/>
    <cellStyle name="Normal 2 10 3 2" xfId="90"/>
    <cellStyle name="Normal 2 10 4" xfId="91"/>
    <cellStyle name="Normal 2 10 4 2" xfId="92"/>
    <cellStyle name="Normal 2 10 5" xfId="93"/>
    <cellStyle name="Normal 2 10 5 2" xfId="94"/>
    <cellStyle name="Normal 2 10 6" xfId="95"/>
    <cellStyle name="Normal 2 10 6 2" xfId="96"/>
    <cellStyle name="Normal 2 10 7" xfId="97"/>
    <cellStyle name="Normal 2 10 7 2" xfId="98"/>
    <cellStyle name="Normal 2 10 8" xfId="99"/>
    <cellStyle name="Normal 2 10 8 2" xfId="100"/>
    <cellStyle name="Normal 2 10 9" xfId="101"/>
    <cellStyle name="Normal 2 11" xfId="102"/>
    <cellStyle name="Normal 2 11 10" xfId="103"/>
    <cellStyle name="Normal 2 11 2" xfId="104"/>
    <cellStyle name="Normal 2 11 2 2" xfId="105"/>
    <cellStyle name="Normal 2 11 3" xfId="106"/>
    <cellStyle name="Normal 2 11 3 2" xfId="107"/>
    <cellStyle name="Normal 2 11 4" xfId="108"/>
    <cellStyle name="Normal 2 11 4 2" xfId="109"/>
    <cellStyle name="Normal 2 11 5" xfId="110"/>
    <cellStyle name="Normal 2 11 5 2" xfId="111"/>
    <cellStyle name="Normal 2 11 6" xfId="112"/>
    <cellStyle name="Normal 2 11 6 2" xfId="113"/>
    <cellStyle name="Normal 2 11 7" xfId="114"/>
    <cellStyle name="Normal 2 11 7 2" xfId="115"/>
    <cellStyle name="Normal 2 11 8" xfId="116"/>
    <cellStyle name="Normal 2 11 8 2" xfId="117"/>
    <cellStyle name="Normal 2 11 9" xfId="118"/>
    <cellStyle name="Normal 2 12" xfId="119"/>
    <cellStyle name="Normal 2 13" xfId="120"/>
    <cellStyle name="Normal 2 14" xfId="121"/>
    <cellStyle name="Normal 2 15" xfId="122"/>
    <cellStyle name="Normal 2 16" xfId="123"/>
    <cellStyle name="Normal 2 2" xfId="124"/>
    <cellStyle name="Normal 2 2 10" xfId="125"/>
    <cellStyle name="Normal 2 2 10 2" xfId="126"/>
    <cellStyle name="Normal 2 2 11" xfId="127"/>
    <cellStyle name="Normal 2 2 11 2" xfId="128"/>
    <cellStyle name="Normal 2 2 12" xfId="129"/>
    <cellStyle name="Normal 2 2 12 2" xfId="130"/>
    <cellStyle name="Normal 2 2 13" xfId="131"/>
    <cellStyle name="Normal 2 2 13 2" xfId="132"/>
    <cellStyle name="Normal 2 2 14" xfId="133"/>
    <cellStyle name="Normal 2 2 14 2" xfId="134"/>
    <cellStyle name="Normal 2 2 15" xfId="135"/>
    <cellStyle name="Normal 2 2 15 2" xfId="136"/>
    <cellStyle name="Normal 2 2 16" xfId="137"/>
    <cellStyle name="Normal 2 2 17" xfId="138"/>
    <cellStyle name="Normal 2 2 18" xfId="139"/>
    <cellStyle name="Normal 2 2 19" xfId="140"/>
    <cellStyle name="Normal 2 2 2" xfId="141"/>
    <cellStyle name="Normal 2 2 2 2" xfId="142"/>
    <cellStyle name="Normal 2 2 2 2 2" xfId="143"/>
    <cellStyle name="Normal 2 2 2 3" xfId="144"/>
    <cellStyle name="Normal 2 2 2 3 2" xfId="145"/>
    <cellStyle name="Normal 2 2 2 4" xfId="146"/>
    <cellStyle name="Normal 2 2 2 4 2" xfId="147"/>
    <cellStyle name="Normal 2 2 2 5" xfId="148"/>
    <cellStyle name="Normal 2 2 2 5 2" xfId="149"/>
    <cellStyle name="Normal 2 2 2 6" xfId="150"/>
    <cellStyle name="Normal 2 2 2 6 2" xfId="151"/>
    <cellStyle name="Normal 2 2 2 7" xfId="152"/>
    <cellStyle name="Normal 2 2 2 8" xfId="153"/>
    <cellStyle name="Normal 2 2 20" xfId="154"/>
    <cellStyle name="Normal 2 2 21" xfId="155"/>
    <cellStyle name="Normal 2 2 3" xfId="156"/>
    <cellStyle name="Normal 2 2 3 2" xfId="157"/>
    <cellStyle name="Normal 2 2 4" xfId="158"/>
    <cellStyle name="Normal 2 2 4 2" xfId="159"/>
    <cellStyle name="Normal 2 2 5" xfId="160"/>
    <cellStyle name="Normal 2 2 5 2" xfId="161"/>
    <cellStyle name="Normal 2 2 6" xfId="162"/>
    <cellStyle name="Normal 2 2 6 2" xfId="163"/>
    <cellStyle name="Normal 2 2 7" xfId="164"/>
    <cellStyle name="Normal 2 2 7 2" xfId="165"/>
    <cellStyle name="Normal 2 2 8" xfId="166"/>
    <cellStyle name="Normal 2 2 8 2" xfId="167"/>
    <cellStyle name="Normal 2 2 9" xfId="168"/>
    <cellStyle name="Normal 2 2 9 2" xfId="169"/>
    <cellStyle name="Normal 2 3" xfId="170"/>
    <cellStyle name="Normal 2 3 10" xfId="171"/>
    <cellStyle name="Normal 2 3 11" xfId="172"/>
    <cellStyle name="Normal 2 3 12" xfId="173"/>
    <cellStyle name="Normal 2 3 13" xfId="174"/>
    <cellStyle name="Normal 2 3 14" xfId="175"/>
    <cellStyle name="Normal 2 3 2" xfId="176"/>
    <cellStyle name="Normal 2 3 2 2" xfId="177"/>
    <cellStyle name="Normal 2 3 3" xfId="178"/>
    <cellStyle name="Normal 2 3 3 2" xfId="179"/>
    <cellStyle name="Normal 2 3 3 3" xfId="180"/>
    <cellStyle name="Normal 2 3 4" xfId="181"/>
    <cellStyle name="Normal 2 3 5" xfId="182"/>
    <cellStyle name="Normal 2 3 6" xfId="183"/>
    <cellStyle name="Normal 2 3 7" xfId="184"/>
    <cellStyle name="Normal 2 3 8" xfId="185"/>
    <cellStyle name="Normal 2 3 9" xfId="186"/>
    <cellStyle name="Normal 2 4" xfId="187"/>
    <cellStyle name="Normal 2 4 10" xfId="188"/>
    <cellStyle name="Normal 2 4 11" xfId="189"/>
    <cellStyle name="Normal 2 4 2" xfId="190"/>
    <cellStyle name="Normal 2 4 2 2" xfId="191"/>
    <cellStyle name="Normal 2 4 3" xfId="192"/>
    <cellStyle name="Normal 2 4 3 2" xfId="193"/>
    <cellStyle name="Normal 2 4 3 3" xfId="194"/>
    <cellStyle name="Normal 2 4 4" xfId="195"/>
    <cellStyle name="Normal 2 4 5" xfId="196"/>
    <cellStyle name="Normal 2 4 6" xfId="197"/>
    <cellStyle name="Normal 2 4 7" xfId="198"/>
    <cellStyle name="Normal 2 4 8" xfId="199"/>
    <cellStyle name="Normal 2 4 9" xfId="200"/>
    <cellStyle name="Normal 2 5" xfId="201"/>
    <cellStyle name="Normal 2 5 10" xfId="202"/>
    <cellStyle name="Normal 2 5 11" xfId="203"/>
    <cellStyle name="Normal 2 5 12" xfId="204"/>
    <cellStyle name="Normal 2 5 2" xfId="205"/>
    <cellStyle name="Normal 2 5 2 2" xfId="206"/>
    <cellStyle name="Normal 2 5 3" xfId="207"/>
    <cellStyle name="Normal 2 5 3 2" xfId="208"/>
    <cellStyle name="Normal 2 5 4" xfId="209"/>
    <cellStyle name="Normal 2 5 5" xfId="210"/>
    <cellStyle name="Normal 2 5 6" xfId="211"/>
    <cellStyle name="Normal 2 5 7" xfId="212"/>
    <cellStyle name="Normal 2 5 8" xfId="213"/>
    <cellStyle name="Normal 2 5 9" xfId="214"/>
    <cellStyle name="Normal 2 6" xfId="215"/>
    <cellStyle name="Normal 2 6 10" xfId="216"/>
    <cellStyle name="Normal 2 6 11" xfId="217"/>
    <cellStyle name="Normal 2 6 12" xfId="218"/>
    <cellStyle name="Normal 2 6 2" xfId="219"/>
    <cellStyle name="Normal 2 6 2 2" xfId="220"/>
    <cellStyle name="Normal 2 6 3" xfId="221"/>
    <cellStyle name="Normal 2 6 3 2" xfId="222"/>
    <cellStyle name="Normal 2 6 4" xfId="223"/>
    <cellStyle name="Normal 2 6 5" xfId="224"/>
    <cellStyle name="Normal 2 6 6" xfId="225"/>
    <cellStyle name="Normal 2 6 7" xfId="226"/>
    <cellStyle name="Normal 2 6 8" xfId="227"/>
    <cellStyle name="Normal 2 6 9" xfId="228"/>
    <cellStyle name="Normal 2 7" xfId="229"/>
    <cellStyle name="Normal 2 7 10" xfId="230"/>
    <cellStyle name="Normal 2 7 2" xfId="231"/>
    <cellStyle name="Normal 2 7 2 2" xfId="232"/>
    <cellStyle name="Normal 2 7 2 3" xfId="233"/>
    <cellStyle name="Normal 2 7 3" xfId="234"/>
    <cellStyle name="Normal 2 7 3 2" xfId="235"/>
    <cellStyle name="Normal 2 7 4" xfId="236"/>
    <cellStyle name="Normal 2 7 4 2" xfId="237"/>
    <cellStyle name="Normal 2 7 5" xfId="238"/>
    <cellStyle name="Normal 2 7 5 2" xfId="239"/>
    <cellStyle name="Normal 2 7 6" xfId="240"/>
    <cellStyle name="Normal 2 7 6 2" xfId="241"/>
    <cellStyle name="Normal 2 7 7" xfId="242"/>
    <cellStyle name="Normal 2 7 7 2" xfId="243"/>
    <cellStyle name="Normal 2 7 8" xfId="244"/>
    <cellStyle name="Normal 2 7 8 2" xfId="245"/>
    <cellStyle name="Normal 2 7 9" xfId="246"/>
    <cellStyle name="Normal 2 8" xfId="247"/>
    <cellStyle name="Normal 2 8 10" xfId="248"/>
    <cellStyle name="Normal 2 8 2" xfId="249"/>
    <cellStyle name="Normal 2 8 2 2" xfId="250"/>
    <cellStyle name="Normal 2 8 3" xfId="251"/>
    <cellStyle name="Normal 2 8 3 2" xfId="252"/>
    <cellStyle name="Normal 2 8 4" xfId="253"/>
    <cellStyle name="Normal 2 8 4 2" xfId="254"/>
    <cellStyle name="Normal 2 8 5" xfId="255"/>
    <cellStyle name="Normal 2 8 5 2" xfId="256"/>
    <cellStyle name="Normal 2 8 6" xfId="257"/>
    <cellStyle name="Normal 2 8 6 2" xfId="258"/>
    <cellStyle name="Normal 2 8 7" xfId="259"/>
    <cellStyle name="Normal 2 8 7 2" xfId="260"/>
    <cellStyle name="Normal 2 8 8" xfId="261"/>
    <cellStyle name="Normal 2 8 8 2" xfId="262"/>
    <cellStyle name="Normal 2 8 9" xfId="263"/>
    <cellStyle name="Normal 2 9" xfId="264"/>
    <cellStyle name="Normal 2 9 10" xfId="265"/>
    <cellStyle name="Normal 2 9 2" xfId="266"/>
    <cellStyle name="Normal 2 9 2 2" xfId="267"/>
    <cellStyle name="Normal 2 9 3" xfId="268"/>
    <cellStyle name="Normal 2 9 3 2" xfId="269"/>
    <cellStyle name="Normal 2 9 4" xfId="270"/>
    <cellStyle name="Normal 2 9 4 2" xfId="271"/>
    <cellStyle name="Normal 2 9 5" xfId="272"/>
    <cellStyle name="Normal 2 9 5 2" xfId="273"/>
    <cellStyle name="Normal 2 9 6" xfId="274"/>
    <cellStyle name="Normal 2 9 6 2" xfId="275"/>
    <cellStyle name="Normal 2 9 7" xfId="276"/>
    <cellStyle name="Normal 2 9 7 2" xfId="277"/>
    <cellStyle name="Normal 2 9 8" xfId="278"/>
    <cellStyle name="Normal 2 9 8 2" xfId="279"/>
    <cellStyle name="Normal 2 9 9" xfId="280"/>
    <cellStyle name="Normal 20" xfId="281"/>
    <cellStyle name="Normal 20 2" xfId="282"/>
    <cellStyle name="Normal 20 3" xfId="283"/>
    <cellStyle name="Normal 22" xfId="284"/>
    <cellStyle name="Normal 22 2" xfId="285"/>
    <cellStyle name="Normal 22 3" xfId="286"/>
    <cellStyle name="Normal 23" xfId="287"/>
    <cellStyle name="Normal 23 2" xfId="288"/>
    <cellStyle name="Normal 23 3" xfId="289"/>
    <cellStyle name="Normal 24" xfId="290"/>
    <cellStyle name="Normal 24 2" xfId="291"/>
    <cellStyle name="Normal 24 3" xfId="292"/>
    <cellStyle name="Normal 25" xfId="293"/>
    <cellStyle name="Normal 25 2" xfId="294"/>
    <cellStyle name="Normal 25 3" xfId="295"/>
    <cellStyle name="Normal 3" xfId="296"/>
    <cellStyle name="Normal 3 2" xfId="297"/>
    <cellStyle name="Normal 3 3" xfId="298"/>
    <cellStyle name="Normal 3 3 2" xfId="299"/>
    <cellStyle name="Normal 3 3 3" xfId="300"/>
    <cellStyle name="Normal 3 4" xfId="301"/>
    <cellStyle name="Normal 3 5" xfId="302"/>
    <cellStyle name="Normal 3 6" xfId="303"/>
    <cellStyle name="Normal 3 7" xfId="304"/>
    <cellStyle name="Normal 4" xfId="305"/>
    <cellStyle name="Normal 4 2" xfId="306"/>
    <cellStyle name="Normal 4 3" xfId="307"/>
    <cellStyle name="Normal 4 3 2" xfId="308"/>
    <cellStyle name="Normal 4 3 3" xfId="309"/>
    <cellStyle name="Normal 4 4" xfId="310"/>
    <cellStyle name="Normal 4 5" xfId="311"/>
    <cellStyle name="Normal 5" xfId="312"/>
    <cellStyle name="Normal 5 2" xfId="313"/>
    <cellStyle name="Normal 5 3" xfId="314"/>
    <cellStyle name="Normal 6 2" xfId="315"/>
    <cellStyle name="Normal 6 3" xfId="316"/>
    <cellStyle name="Normal 6 4" xfId="317"/>
    <cellStyle name="Normal 6 5" xfId="318"/>
    <cellStyle name="Normal 7" xfId="319"/>
    <cellStyle name="Normal 7 2" xfId="320"/>
    <cellStyle name="Normal 7 2 2" xfId="321"/>
    <cellStyle name="Normal 7 2 2 2" xfId="322"/>
    <cellStyle name="Normal 7 2 3" xfId="323"/>
    <cellStyle name="Normal 7 2 4" xfId="324"/>
    <cellStyle name="Normal 7 3" xfId="325"/>
    <cellStyle name="Normal 7 4" xfId="326"/>
    <cellStyle name="Normal 7 5" xfId="327"/>
    <cellStyle name="Normal 7 5 2" xfId="328"/>
    <cellStyle name="Normal 7 5 3" xfId="329"/>
    <cellStyle name="Normal 7 6" xfId="330"/>
    <cellStyle name="Normal 8" xfId="331"/>
    <cellStyle name="Normal 8 2" xfId="332"/>
    <cellStyle name="Normal 9" xfId="333"/>
    <cellStyle name="Normal 9 2" xfId="334"/>
    <cellStyle name="Normal 9 2 2" xfId="335"/>
    <cellStyle name="Normal 9 3" xfId="336"/>
    <cellStyle name="Normal 9 4" xfId="337"/>
    <cellStyle name="Normal 9 5" xfId="338"/>
    <cellStyle name="Normal_debt" xfId="339"/>
    <cellStyle name="Normal_lpform" xfId="340"/>
    <cellStyle name="Normal_Township 07" xfId="341"/>
  </cellStyles>
  <dxfs count="40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A109"/>
  <sheetViews>
    <sheetView topLeftCell="A101" zoomScale="75" zoomScaleNormal="75" workbookViewId="0">
      <selection activeCell="D101" sqref="D101"/>
    </sheetView>
  </sheetViews>
  <sheetFormatPr defaultColWidth="8.88671875" defaultRowHeight="15.75"/>
  <cols>
    <col min="1" max="1" width="88.77734375" style="72" customWidth="1"/>
    <col min="2" max="16384" width="8.88671875" style="72"/>
  </cols>
  <sheetData>
    <row r="1" spans="1:1">
      <c r="A1" s="71" t="s">
        <v>322</v>
      </c>
    </row>
    <row r="3" spans="1:1" ht="34.5" customHeight="1">
      <c r="A3" s="73" t="s">
        <v>37</v>
      </c>
    </row>
    <row r="4" spans="1:1">
      <c r="A4" s="74"/>
    </row>
    <row r="5" spans="1:1" ht="52.5" customHeight="1">
      <c r="A5" s="75" t="s">
        <v>323</v>
      </c>
    </row>
    <row r="6" spans="1:1">
      <c r="A6" s="75"/>
    </row>
    <row r="7" spans="1:1" ht="31.5">
      <c r="A7" s="75" t="s">
        <v>98</v>
      </c>
    </row>
    <row r="8" spans="1:1">
      <c r="A8" s="75"/>
    </row>
    <row r="9" spans="1:1" ht="54.75" customHeight="1">
      <c r="A9" s="75" t="s">
        <v>83</v>
      </c>
    </row>
    <row r="10" spans="1:1">
      <c r="A10" s="75"/>
    </row>
    <row r="11" spans="1:1">
      <c r="A11" s="75" t="s">
        <v>318</v>
      </c>
    </row>
    <row r="13" spans="1:1" ht="118.5" customHeight="1">
      <c r="A13" s="75" t="s">
        <v>78</v>
      </c>
    </row>
    <row r="14" spans="1:1">
      <c r="A14" s="75"/>
    </row>
    <row r="15" spans="1:1" ht="106.5" customHeight="1">
      <c r="A15" s="75" t="s">
        <v>79</v>
      </c>
    </row>
    <row r="17" spans="1:1">
      <c r="A17" s="71" t="s">
        <v>633</v>
      </c>
    </row>
    <row r="18" spans="1:1">
      <c r="A18" s="71"/>
    </row>
    <row r="19" spans="1:1">
      <c r="A19" s="74" t="s">
        <v>81</v>
      </c>
    </row>
    <row r="20" spans="1:1">
      <c r="A20" s="74"/>
    </row>
    <row r="21" spans="1:1">
      <c r="A21" s="72" t="s">
        <v>351</v>
      </c>
    </row>
    <row r="23" spans="1:1" ht="72" customHeight="1">
      <c r="A23" s="76" t="s">
        <v>82</v>
      </c>
    </row>
    <row r="24" spans="1:1" ht="13.5" customHeight="1">
      <c r="A24" s="76"/>
    </row>
    <row r="27" spans="1:1">
      <c r="A27" s="71" t="s">
        <v>125</v>
      </c>
    </row>
    <row r="29" spans="1:1" ht="34.5" customHeight="1">
      <c r="A29" s="75" t="s">
        <v>77</v>
      </c>
    </row>
    <row r="30" spans="1:1" ht="9.75" customHeight="1">
      <c r="A30" s="75"/>
    </row>
    <row r="31" spans="1:1">
      <c r="A31" s="77" t="s">
        <v>38</v>
      </c>
    </row>
    <row r="32" spans="1:1">
      <c r="A32" s="75"/>
    </row>
    <row r="33" spans="1:1" ht="17.25" customHeight="1">
      <c r="A33" s="78" t="s">
        <v>283</v>
      </c>
    </row>
    <row r="34" spans="1:1" ht="17.25" customHeight="1">
      <c r="A34" s="79"/>
    </row>
    <row r="35" spans="1:1" ht="87.75" customHeight="1">
      <c r="A35" s="80" t="s">
        <v>64</v>
      </c>
    </row>
    <row r="37" spans="1:1">
      <c r="A37" s="81" t="s">
        <v>39</v>
      </c>
    </row>
    <row r="39" spans="1:1">
      <c r="A39" s="82" t="s">
        <v>80</v>
      </c>
    </row>
    <row r="41" spans="1:1">
      <c r="A41" s="75" t="s">
        <v>126</v>
      </c>
    </row>
    <row r="43" spans="1:1">
      <c r="A43" s="71" t="s">
        <v>127</v>
      </c>
    </row>
    <row r="45" spans="1:1" ht="70.5" customHeight="1">
      <c r="A45" s="75" t="s">
        <v>793</v>
      </c>
    </row>
    <row r="46" spans="1:1" ht="52.5" customHeight="1">
      <c r="A46" s="83" t="s">
        <v>54</v>
      </c>
    </row>
    <row r="47" spans="1:1" ht="9" customHeight="1">
      <c r="A47" s="75"/>
    </row>
    <row r="48" spans="1:1" ht="69.75" customHeight="1">
      <c r="A48" s="75" t="s">
        <v>794</v>
      </c>
    </row>
    <row r="49" spans="1:1" ht="53.25" customHeight="1">
      <c r="A49" s="75" t="s">
        <v>55</v>
      </c>
    </row>
    <row r="50" spans="1:1" ht="102.75" customHeight="1">
      <c r="A50" s="75" t="s">
        <v>118</v>
      </c>
    </row>
    <row r="51" spans="1:1" ht="74.099999999999994" customHeight="1">
      <c r="A51" s="442" t="s">
        <v>634</v>
      </c>
    </row>
    <row r="52" spans="1:1" ht="69.95" customHeight="1">
      <c r="A52" s="443" t="s">
        <v>635</v>
      </c>
    </row>
    <row r="53" spans="1:1" ht="69.95" customHeight="1">
      <c r="A53" s="719" t="s">
        <v>845</v>
      </c>
    </row>
    <row r="54" spans="1:1" ht="12" customHeight="1">
      <c r="A54" s="75"/>
    </row>
    <row r="55" spans="1:1" ht="68.25" customHeight="1">
      <c r="A55" s="75" t="s">
        <v>636</v>
      </c>
    </row>
    <row r="56" spans="1:1" ht="68.25" customHeight="1">
      <c r="A56" s="75" t="s">
        <v>637</v>
      </c>
    </row>
    <row r="57" spans="1:1" ht="31.5">
      <c r="A57" s="75" t="s">
        <v>638</v>
      </c>
    </row>
    <row r="58" spans="1:1" ht="31.5">
      <c r="A58" s="75" t="s">
        <v>639</v>
      </c>
    </row>
    <row r="59" spans="1:1" ht="12" customHeight="1"/>
    <row r="60" spans="1:1" ht="68.25" customHeight="1">
      <c r="A60" s="75" t="s">
        <v>640</v>
      </c>
    </row>
    <row r="61" spans="1:1" ht="128.25" customHeight="1">
      <c r="A61" s="75" t="s">
        <v>641</v>
      </c>
    </row>
    <row r="62" spans="1:1" ht="35.25" customHeight="1">
      <c r="A62" s="75" t="s">
        <v>642</v>
      </c>
    </row>
    <row r="63" spans="1:1" ht="10.5" customHeight="1">
      <c r="A63" s="75"/>
    </row>
    <row r="64" spans="1:1" ht="68.25" customHeight="1">
      <c r="A64" s="75" t="s">
        <v>846</v>
      </c>
    </row>
    <row r="65" spans="1:1" ht="10.5" customHeight="1">
      <c r="A65" s="75"/>
    </row>
    <row r="66" spans="1:1" ht="72.75" customHeight="1">
      <c r="A66" s="75" t="s">
        <v>643</v>
      </c>
    </row>
    <row r="67" spans="1:1" ht="31.5" customHeight="1">
      <c r="A67" s="75" t="s">
        <v>657</v>
      </c>
    </row>
    <row r="68" spans="1:1" ht="82.5" customHeight="1">
      <c r="A68" s="75" t="s">
        <v>658</v>
      </c>
    </row>
    <row r="69" spans="1:1" ht="37.5" customHeight="1">
      <c r="A69" s="417" t="s">
        <v>656</v>
      </c>
    </row>
    <row r="70" spans="1:1" ht="12" customHeight="1">
      <c r="A70" s="75"/>
    </row>
    <row r="71" spans="1:1" ht="54" customHeight="1">
      <c r="A71" s="75" t="s">
        <v>644</v>
      </c>
    </row>
    <row r="72" spans="1:1" ht="12" customHeight="1"/>
    <row r="73" spans="1:1" s="75" customFormat="1" ht="69" customHeight="1">
      <c r="A73" s="75" t="s">
        <v>645</v>
      </c>
    </row>
    <row r="74" spans="1:1" ht="12" customHeight="1"/>
    <row r="75" spans="1:1" ht="87" customHeight="1">
      <c r="A75" s="75" t="s">
        <v>646</v>
      </c>
    </row>
    <row r="76" spans="1:1" ht="87" customHeight="1">
      <c r="A76" s="549" t="s">
        <v>847</v>
      </c>
    </row>
    <row r="77" spans="1:1" ht="87" customHeight="1">
      <c r="A77" s="549" t="s">
        <v>848</v>
      </c>
    </row>
    <row r="78" spans="1:1" ht="87" customHeight="1">
      <c r="A78" s="549" t="s">
        <v>849</v>
      </c>
    </row>
    <row r="79" spans="1:1" ht="72" customHeight="1">
      <c r="A79" s="75" t="s">
        <v>850</v>
      </c>
    </row>
    <row r="80" spans="1:1" ht="116.25" customHeight="1">
      <c r="A80" s="75" t="s">
        <v>851</v>
      </c>
    </row>
    <row r="81" spans="1:1" ht="132.75" customHeight="1">
      <c r="A81" s="75" t="s">
        <v>852</v>
      </c>
    </row>
    <row r="82" spans="1:1" ht="84" customHeight="1">
      <c r="A82" s="549" t="s">
        <v>853</v>
      </c>
    </row>
    <row r="83" spans="1:1" ht="124.5" customHeight="1">
      <c r="A83" s="75" t="s">
        <v>854</v>
      </c>
    </row>
    <row r="84" spans="1:1" ht="38.25" customHeight="1">
      <c r="A84" s="75" t="s">
        <v>855</v>
      </c>
    </row>
    <row r="85" spans="1:1" ht="85.5" customHeight="1">
      <c r="A85" s="75" t="s">
        <v>856</v>
      </c>
    </row>
    <row r="86" spans="1:1" ht="40.5" customHeight="1">
      <c r="A86" s="75" t="s">
        <v>857</v>
      </c>
    </row>
    <row r="87" spans="1:1" ht="140.25" customHeight="1">
      <c r="A87" s="414" t="s">
        <v>858</v>
      </c>
    </row>
    <row r="88" spans="1:1" ht="119.25" customHeight="1">
      <c r="A88" s="415" t="s">
        <v>859</v>
      </c>
    </row>
    <row r="89" spans="1:1" ht="59.25" customHeight="1">
      <c r="A89" s="416" t="s">
        <v>860</v>
      </c>
    </row>
    <row r="91" spans="1:1" ht="154.5" customHeight="1">
      <c r="A91" s="75" t="s">
        <v>647</v>
      </c>
    </row>
    <row r="92" spans="1:1" ht="132" customHeight="1">
      <c r="A92" s="75" t="s">
        <v>648</v>
      </c>
    </row>
    <row r="93" spans="1:1" ht="54" customHeight="1">
      <c r="A93" s="75" t="s">
        <v>649</v>
      </c>
    </row>
    <row r="94" spans="1:1" ht="21.75" customHeight="1">
      <c r="A94" s="75" t="s">
        <v>650</v>
      </c>
    </row>
    <row r="96" spans="1:1" ht="52.5" customHeight="1">
      <c r="A96" s="75" t="s">
        <v>651</v>
      </c>
    </row>
    <row r="97" spans="1:1" ht="22.5" customHeight="1">
      <c r="A97" s="725" t="s">
        <v>890</v>
      </c>
    </row>
    <row r="98" spans="1:1" ht="31.5" customHeight="1">
      <c r="A98" s="549" t="s">
        <v>891</v>
      </c>
    </row>
    <row r="99" spans="1:1" ht="109.5" customHeight="1">
      <c r="A99" s="549" t="s">
        <v>892</v>
      </c>
    </row>
    <row r="100" spans="1:1" ht="126" customHeight="1">
      <c r="A100" s="549" t="s">
        <v>893</v>
      </c>
    </row>
    <row r="101" spans="1:1" ht="71.25" customHeight="1">
      <c r="A101" s="726" t="s">
        <v>894</v>
      </c>
    </row>
    <row r="102" spans="1:1" ht="57.75" customHeight="1">
      <c r="A102" s="75" t="s">
        <v>895</v>
      </c>
    </row>
    <row r="103" spans="1:1" ht="57.75" customHeight="1">
      <c r="A103" s="75" t="s">
        <v>896</v>
      </c>
    </row>
    <row r="104" spans="1:1" ht="10.5" customHeight="1"/>
    <row r="105" spans="1:1" ht="57" customHeight="1">
      <c r="A105" s="75" t="s">
        <v>652</v>
      </c>
    </row>
    <row r="106" spans="1:1" ht="15.75" customHeight="1"/>
    <row r="107" spans="1:1" ht="54" customHeight="1">
      <c r="A107" s="549" t="s">
        <v>795</v>
      </c>
    </row>
    <row r="108" spans="1:1" ht="93" customHeight="1">
      <c r="A108" s="549" t="s">
        <v>796</v>
      </c>
    </row>
    <row r="109" spans="1:1" ht="104.25" customHeight="1">
      <c r="A109" s="549" t="s">
        <v>797</v>
      </c>
    </row>
  </sheetData>
  <sheetProtection sheet="1"/>
  <phoneticPr fontId="0" type="noConversion"/>
  <pageMargins left="0.5" right="0.5" top="0.5" bottom="0.5" header="0.5" footer="0.5"/>
  <pageSetup scale="90" fitToHeight="2" orientation="portrait" blackAndWhite="1" horizontalDpi="300" verticalDpi="300" r:id="rId1"/>
  <headerFooter alignWithMargins="0"/>
  <rowBreaks count="1" manualBreakCount="1">
    <brk id="26" man="1"/>
  </rowBreaks>
</worksheet>
</file>

<file path=xl/worksheets/sheet10.xml><?xml version="1.0" encoding="utf-8"?>
<worksheet xmlns="http://schemas.openxmlformats.org/spreadsheetml/2006/main" xmlns:r="http://schemas.openxmlformats.org/officeDocument/2006/relationships">
  <dimension ref="A1:G48"/>
  <sheetViews>
    <sheetView topLeftCell="A14" workbookViewId="0">
      <selection activeCell="A31" sqref="A31"/>
    </sheetView>
  </sheetViews>
  <sheetFormatPr defaultColWidth="8.88671875" defaultRowHeight="15"/>
  <cols>
    <col min="1" max="1" width="70.44140625" style="165" customWidth="1"/>
    <col min="2" max="16384" width="8.88671875" style="165"/>
  </cols>
  <sheetData>
    <row r="1" spans="1:7" ht="30" customHeight="1">
      <c r="A1" s="492" t="s">
        <v>354</v>
      </c>
      <c r="B1" s="491"/>
      <c r="C1" s="491"/>
      <c r="D1" s="491"/>
      <c r="E1" s="491"/>
      <c r="F1" s="491"/>
      <c r="G1" s="491"/>
    </row>
    <row r="2" spans="1:7" ht="15.75" customHeight="1">
      <c r="A2" s="2"/>
    </row>
    <row r="3" spans="1:7" ht="54" customHeight="1">
      <c r="A3" s="490" t="s">
        <v>676</v>
      </c>
    </row>
    <row r="4" spans="1:7" ht="15.75" customHeight="1">
      <c r="A4" s="2"/>
    </row>
    <row r="5" spans="1:7" ht="52.5" customHeight="1">
      <c r="A5" s="490" t="s">
        <v>677</v>
      </c>
    </row>
    <row r="6" spans="1:7" ht="15.75" customHeight="1">
      <c r="A6" s="2"/>
    </row>
    <row r="7" spans="1:7" s="488" customFormat="1" ht="45.75" customHeight="1">
      <c r="A7" s="489" t="s">
        <v>394</v>
      </c>
    </row>
    <row r="8" spans="1:7" ht="15.75" customHeight="1">
      <c r="A8" s="2"/>
    </row>
    <row r="9" spans="1:7" ht="46.5" customHeight="1">
      <c r="A9" s="489" t="s">
        <v>395</v>
      </c>
    </row>
    <row r="10" spans="1:7" ht="15.75" customHeight="1"/>
    <row r="11" spans="1:7" ht="45.75" customHeight="1">
      <c r="A11" s="489" t="s">
        <v>396</v>
      </c>
    </row>
    <row r="12" spans="1:7" ht="15.75" customHeight="1">
      <c r="A12" s="2"/>
    </row>
    <row r="13" spans="1:7" ht="62.25" customHeight="1">
      <c r="A13" s="489" t="s">
        <v>397</v>
      </c>
    </row>
    <row r="14" spans="1:7" ht="15.75" customHeight="1">
      <c r="A14" s="2"/>
    </row>
    <row r="15" spans="1:7" ht="32.25" customHeight="1">
      <c r="A15" s="489" t="s">
        <v>398</v>
      </c>
    </row>
    <row r="16" spans="1:7" ht="15.75" customHeight="1"/>
    <row r="17" spans="1:1" ht="67.5" customHeight="1">
      <c r="A17" s="487" t="s">
        <v>678</v>
      </c>
    </row>
    <row r="18" spans="1:1" ht="15.75" customHeight="1"/>
    <row r="19" spans="1:1" ht="81" customHeight="1">
      <c r="A19" s="487" t="s">
        <v>399</v>
      </c>
    </row>
    <row r="20" spans="1:1" ht="15.75" customHeight="1">
      <c r="A20" s="2"/>
    </row>
    <row r="21" spans="1:1" ht="78" customHeight="1">
      <c r="A21" s="489" t="s">
        <v>400</v>
      </c>
    </row>
    <row r="22" spans="1:1" ht="15.75" customHeight="1">
      <c r="A22" s="2"/>
    </row>
    <row r="23" spans="1:1" ht="44.25" customHeight="1">
      <c r="A23" s="489" t="s">
        <v>401</v>
      </c>
    </row>
    <row r="24" spans="1:1" ht="15.75" customHeight="1"/>
    <row r="25" spans="1:1" ht="53.25" customHeight="1">
      <c r="A25" s="487" t="s">
        <v>402</v>
      </c>
    </row>
    <row r="26" spans="1:1" ht="16.5" customHeight="1">
      <c r="A26" s="2"/>
    </row>
    <row r="27" spans="1:1" ht="40.5" customHeight="1">
      <c r="A27" s="490" t="s">
        <v>679</v>
      </c>
    </row>
    <row r="28" spans="1:1" ht="16.5" customHeight="1">
      <c r="A28" s="2"/>
    </row>
    <row r="29" spans="1:1" ht="69.75" customHeight="1">
      <c r="A29" s="489" t="s">
        <v>403</v>
      </c>
    </row>
    <row r="30" spans="1:1" ht="15.75" customHeight="1">
      <c r="A30" s="2"/>
    </row>
    <row r="31" spans="1:1" ht="79.5" customHeight="1">
      <c r="A31" s="489" t="s">
        <v>809</v>
      </c>
    </row>
    <row r="32" spans="1:1" ht="15.75" customHeight="1">
      <c r="A32" s="2"/>
    </row>
    <row r="33" spans="1:1" ht="58.5" customHeight="1">
      <c r="A33" s="489" t="s">
        <v>404</v>
      </c>
    </row>
    <row r="35" spans="1:1" ht="60.75" customHeight="1">
      <c r="A35" s="489" t="s">
        <v>405</v>
      </c>
    </row>
    <row r="36" spans="1:1" ht="15.75">
      <c r="A36" s="2"/>
    </row>
    <row r="37" spans="1:1" ht="82.5" customHeight="1">
      <c r="A37" s="489" t="s">
        <v>406</v>
      </c>
    </row>
    <row r="38" spans="1:1" ht="15.75">
      <c r="A38" s="486"/>
    </row>
    <row r="39" spans="1:1" ht="15.75">
      <c r="A39" s="486"/>
    </row>
    <row r="41" spans="1:1" ht="15.75">
      <c r="A41" s="486"/>
    </row>
    <row r="42" spans="1:1" ht="15.75">
      <c r="A42" s="486"/>
    </row>
    <row r="44" spans="1:1" ht="15.75">
      <c r="A44" s="2"/>
    </row>
    <row r="45" spans="1:1" ht="15.75">
      <c r="A45" s="486"/>
    </row>
    <row r="47" spans="1:1" ht="15.75">
      <c r="A47" s="486"/>
    </row>
    <row r="48" spans="1:1" ht="15.75">
      <c r="A48" s="486"/>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B1:AC42"/>
  <sheetViews>
    <sheetView topLeftCell="B3" zoomScale="75" workbookViewId="0">
      <selection activeCell="I56" sqref="I56"/>
    </sheetView>
  </sheetViews>
  <sheetFormatPr defaultColWidth="8.88671875" defaultRowHeight="15.75"/>
  <cols>
    <col min="1" max="1" width="5.44140625" style="143" customWidth="1"/>
    <col min="2" max="2" width="20.77734375" style="143" customWidth="1"/>
    <col min="3" max="3" width="9.44140625" style="143" customWidth="1"/>
    <col min="4" max="4" width="9.77734375" style="143" customWidth="1"/>
    <col min="5" max="5" width="8.77734375" style="143" customWidth="1"/>
    <col min="6" max="6" width="12.77734375" style="143" customWidth="1"/>
    <col min="7" max="7" width="14" style="143" customWidth="1"/>
    <col min="8" max="13" width="9.77734375" style="143" customWidth="1"/>
    <col min="14" max="16384" width="8.88671875" style="143"/>
  </cols>
  <sheetData>
    <row r="1" spans="2:13">
      <c r="B1" s="228" t="str">
        <f>inputPrYr!$C$2</f>
        <v>Franklin County</v>
      </c>
      <c r="C1" s="85"/>
      <c r="D1" s="85"/>
      <c r="E1" s="85"/>
      <c r="F1" s="85"/>
      <c r="G1" s="85"/>
      <c r="H1" s="85"/>
      <c r="I1" s="85"/>
      <c r="J1" s="85"/>
      <c r="K1" s="85"/>
      <c r="L1" s="85"/>
      <c r="M1" s="254">
        <f>inputPrYr!$C$4</f>
        <v>2013</v>
      </c>
    </row>
    <row r="2" spans="2:13">
      <c r="B2" s="228"/>
      <c r="C2" s="85"/>
      <c r="D2" s="85"/>
      <c r="E2" s="85"/>
      <c r="F2" s="85"/>
      <c r="G2" s="85"/>
      <c r="H2" s="85"/>
      <c r="I2" s="85"/>
      <c r="J2" s="85"/>
      <c r="K2" s="85"/>
      <c r="L2" s="85"/>
      <c r="M2" s="240"/>
    </row>
    <row r="3" spans="2:13">
      <c r="B3" s="255" t="s">
        <v>240</v>
      </c>
      <c r="C3" s="93"/>
      <c r="D3" s="93"/>
      <c r="E3" s="93"/>
      <c r="F3" s="93"/>
      <c r="G3" s="93"/>
      <c r="H3" s="93"/>
      <c r="I3" s="93"/>
      <c r="J3" s="93"/>
      <c r="K3" s="93"/>
      <c r="L3" s="93"/>
      <c r="M3" s="93"/>
    </row>
    <row r="4" spans="2:13">
      <c r="B4" s="85"/>
      <c r="C4" s="256"/>
      <c r="D4" s="256"/>
      <c r="E4" s="256"/>
      <c r="F4" s="256"/>
      <c r="G4" s="256"/>
      <c r="H4" s="256"/>
      <c r="I4" s="256"/>
      <c r="J4" s="256"/>
      <c r="K4" s="256"/>
      <c r="L4" s="256"/>
      <c r="M4" s="256"/>
    </row>
    <row r="5" spans="2:13">
      <c r="B5" s="257" t="s">
        <v>810</v>
      </c>
      <c r="C5" s="257" t="s">
        <v>207</v>
      </c>
      <c r="D5" s="257" t="s">
        <v>207</v>
      </c>
      <c r="E5" s="257" t="s">
        <v>221</v>
      </c>
      <c r="F5" s="257"/>
      <c r="G5" s="257" t="s">
        <v>344</v>
      </c>
      <c r="H5" s="85"/>
      <c r="I5" s="85"/>
      <c r="J5" s="258" t="s">
        <v>208</v>
      </c>
      <c r="K5" s="259"/>
      <c r="L5" s="258" t="s">
        <v>208</v>
      </c>
      <c r="M5" s="259"/>
    </row>
    <row r="6" spans="2:13">
      <c r="B6" s="260" t="s">
        <v>209</v>
      </c>
      <c r="C6" s="260" t="s">
        <v>209</v>
      </c>
      <c r="D6" s="260" t="s">
        <v>345</v>
      </c>
      <c r="E6" s="260" t="s">
        <v>210</v>
      </c>
      <c r="F6" s="260" t="s">
        <v>150</v>
      </c>
      <c r="G6" s="260" t="s">
        <v>286</v>
      </c>
      <c r="H6" s="770" t="s">
        <v>211</v>
      </c>
      <c r="I6" s="771"/>
      <c r="J6" s="772">
        <f>M1-1</f>
        <v>2012</v>
      </c>
      <c r="K6" s="773"/>
      <c r="L6" s="772">
        <f>M1</f>
        <v>2013</v>
      </c>
      <c r="M6" s="773"/>
    </row>
    <row r="7" spans="2:13">
      <c r="B7" s="263" t="s">
        <v>811</v>
      </c>
      <c r="C7" s="263" t="s">
        <v>212</v>
      </c>
      <c r="D7" s="263" t="s">
        <v>346</v>
      </c>
      <c r="E7" s="263" t="s">
        <v>172</v>
      </c>
      <c r="F7" s="263" t="s">
        <v>213</v>
      </c>
      <c r="G7" s="261" t="str">
        <f>CONCATENATE("Jan 1,",M1-1,"")</f>
        <v>Jan 1,2012</v>
      </c>
      <c r="H7" s="252" t="s">
        <v>221</v>
      </c>
      <c r="I7" s="252" t="s">
        <v>222</v>
      </c>
      <c r="J7" s="252" t="s">
        <v>221</v>
      </c>
      <c r="K7" s="252" t="s">
        <v>222</v>
      </c>
      <c r="L7" s="252" t="s">
        <v>221</v>
      </c>
      <c r="M7" s="252" t="s">
        <v>222</v>
      </c>
    </row>
    <row r="8" spans="2:13">
      <c r="B8" s="262" t="s">
        <v>214</v>
      </c>
      <c r="C8" s="108"/>
      <c r="D8" s="108"/>
      <c r="E8" s="264"/>
      <c r="F8" s="265"/>
      <c r="G8" s="265"/>
      <c r="H8" s="108"/>
      <c r="I8" s="108"/>
      <c r="J8" s="265"/>
      <c r="K8" s="265"/>
      <c r="L8" s="265"/>
      <c r="M8" s="265"/>
    </row>
    <row r="9" spans="2:13">
      <c r="B9" s="266" t="s">
        <v>937</v>
      </c>
      <c r="C9" s="450">
        <v>38630</v>
      </c>
      <c r="D9" s="450">
        <v>42979</v>
      </c>
      <c r="E9" s="267" t="s">
        <v>938</v>
      </c>
      <c r="F9" s="268">
        <v>1700000</v>
      </c>
      <c r="G9" s="269">
        <v>780000</v>
      </c>
      <c r="H9" s="270" t="s">
        <v>939</v>
      </c>
      <c r="I9" s="270">
        <v>41153</v>
      </c>
      <c r="J9" s="269">
        <v>29268</v>
      </c>
      <c r="K9" s="269">
        <v>210000</v>
      </c>
      <c r="L9" s="269">
        <v>21813</v>
      </c>
      <c r="M9" s="269">
        <v>225000</v>
      </c>
    </row>
    <row r="10" spans="2:13">
      <c r="B10" s="266" t="s">
        <v>940</v>
      </c>
      <c r="C10" s="450">
        <v>37214</v>
      </c>
      <c r="D10" s="450">
        <v>51832</v>
      </c>
      <c r="E10" s="267">
        <v>5</v>
      </c>
      <c r="F10" s="268">
        <v>281000</v>
      </c>
      <c r="G10" s="269">
        <v>0</v>
      </c>
      <c r="H10" s="270"/>
      <c r="I10" s="270"/>
      <c r="J10" s="269"/>
      <c r="K10" s="269"/>
      <c r="L10" s="269"/>
      <c r="M10" s="269"/>
    </row>
    <row r="11" spans="2:13">
      <c r="B11" s="266" t="s">
        <v>941</v>
      </c>
      <c r="C11" s="450">
        <v>37214</v>
      </c>
      <c r="D11" s="450">
        <v>51832</v>
      </c>
      <c r="E11" s="267">
        <v>5</v>
      </c>
      <c r="F11" s="268">
        <v>83500</v>
      </c>
      <c r="G11" s="269">
        <v>0</v>
      </c>
      <c r="H11" s="270"/>
      <c r="I11" s="270"/>
      <c r="J11" s="269"/>
      <c r="K11" s="269"/>
      <c r="L11" s="269"/>
      <c r="M11" s="269"/>
    </row>
    <row r="12" spans="2:13">
      <c r="B12" s="266" t="s">
        <v>942</v>
      </c>
      <c r="C12" s="450">
        <v>40842</v>
      </c>
      <c r="D12" s="450">
        <v>45992</v>
      </c>
      <c r="E12" s="267" t="s">
        <v>943</v>
      </c>
      <c r="F12" s="268">
        <v>360000</v>
      </c>
      <c r="G12" s="269">
        <v>360000</v>
      </c>
      <c r="H12" s="270" t="s">
        <v>944</v>
      </c>
      <c r="I12" s="270">
        <v>41244</v>
      </c>
      <c r="J12" s="269">
        <v>11706</v>
      </c>
      <c r="K12" s="269">
        <v>20000</v>
      </c>
      <c r="L12" s="269">
        <v>10419</v>
      </c>
      <c r="M12" s="269">
        <v>20000</v>
      </c>
    </row>
    <row r="13" spans="2:13">
      <c r="B13" s="266" t="s">
        <v>945</v>
      </c>
      <c r="C13" s="450">
        <v>37591</v>
      </c>
      <c r="D13" s="450">
        <v>43344</v>
      </c>
      <c r="E13" s="267" t="s">
        <v>946</v>
      </c>
      <c r="F13" s="268">
        <v>132182</v>
      </c>
      <c r="G13" s="269">
        <v>84000</v>
      </c>
      <c r="H13" s="270" t="s">
        <v>947</v>
      </c>
      <c r="I13" s="270">
        <v>41153</v>
      </c>
      <c r="J13" s="269">
        <v>3556</v>
      </c>
      <c r="K13" s="269">
        <v>9000</v>
      </c>
      <c r="L13" s="269">
        <v>3174</v>
      </c>
      <c r="M13" s="269">
        <v>10000</v>
      </c>
    </row>
    <row r="14" spans="2:13">
      <c r="B14" s="266" t="s">
        <v>948</v>
      </c>
      <c r="C14" s="450">
        <v>37742</v>
      </c>
      <c r="D14" s="450">
        <v>42614</v>
      </c>
      <c r="E14" s="267" t="s">
        <v>949</v>
      </c>
      <c r="F14" s="268">
        <v>808000</v>
      </c>
      <c r="G14" s="269">
        <v>470000</v>
      </c>
      <c r="H14" s="270" t="s">
        <v>947</v>
      </c>
      <c r="I14" s="270">
        <v>41153</v>
      </c>
      <c r="J14" s="269">
        <v>25622.5</v>
      </c>
      <c r="K14" s="269">
        <v>50000</v>
      </c>
      <c r="L14" s="269">
        <v>23273</v>
      </c>
      <c r="M14" s="269">
        <v>55000</v>
      </c>
    </row>
    <row r="15" spans="2:13">
      <c r="B15" s="266"/>
      <c r="C15" s="450"/>
      <c r="D15" s="450"/>
      <c r="E15" s="267"/>
      <c r="F15" s="268"/>
      <c r="G15" s="269"/>
      <c r="H15" s="270"/>
      <c r="I15" s="270"/>
      <c r="J15" s="269"/>
      <c r="K15" s="269"/>
      <c r="L15" s="269"/>
      <c r="M15" s="269"/>
    </row>
    <row r="16" spans="2:13">
      <c r="B16" s="266"/>
      <c r="C16" s="450"/>
      <c r="D16" s="450"/>
      <c r="E16" s="267"/>
      <c r="F16" s="268"/>
      <c r="G16" s="269"/>
      <c r="H16" s="270"/>
      <c r="I16" s="270"/>
      <c r="J16" s="269"/>
      <c r="K16" s="269"/>
      <c r="L16" s="269"/>
      <c r="M16" s="269"/>
    </row>
    <row r="17" spans="2:13">
      <c r="B17" s="266"/>
      <c r="C17" s="450"/>
      <c r="D17" s="450"/>
      <c r="E17" s="267"/>
      <c r="F17" s="268"/>
      <c r="G17" s="269"/>
      <c r="H17" s="270"/>
      <c r="I17" s="270"/>
      <c r="J17" s="269"/>
      <c r="K17" s="269"/>
      <c r="L17" s="269"/>
      <c r="M17" s="269"/>
    </row>
    <row r="18" spans="2:13">
      <c r="B18" s="266"/>
      <c r="C18" s="450"/>
      <c r="D18" s="450"/>
      <c r="E18" s="267"/>
      <c r="F18" s="268"/>
      <c r="G18" s="269"/>
      <c r="H18" s="270"/>
      <c r="I18" s="270"/>
      <c r="J18" s="269"/>
      <c r="K18" s="269"/>
      <c r="L18" s="269"/>
      <c r="M18" s="269"/>
    </row>
    <row r="19" spans="2:13">
      <c r="B19" s="271" t="s">
        <v>215</v>
      </c>
      <c r="C19" s="272"/>
      <c r="D19" s="272"/>
      <c r="E19" s="273"/>
      <c r="F19" s="274"/>
      <c r="G19" s="275">
        <f>SUM(G9:G18)</f>
        <v>1694000</v>
      </c>
      <c r="H19" s="276"/>
      <c r="I19" s="276"/>
      <c r="J19" s="275">
        <f>SUM(J9:J18)</f>
        <v>70152.5</v>
      </c>
      <c r="K19" s="275">
        <f>SUM(K9:K18)</f>
        <v>289000</v>
      </c>
      <c r="L19" s="275">
        <f>SUM(L9:L18)</f>
        <v>58679</v>
      </c>
      <c r="M19" s="275">
        <f>SUM(M9:M18)</f>
        <v>310000</v>
      </c>
    </row>
    <row r="20" spans="2:13">
      <c r="B20" s="252" t="s">
        <v>216</v>
      </c>
      <c r="C20" s="277"/>
      <c r="D20" s="277"/>
      <c r="E20" s="278"/>
      <c r="F20" s="279"/>
      <c r="G20" s="279"/>
      <c r="H20" s="280"/>
      <c r="I20" s="280"/>
      <c r="J20" s="279"/>
      <c r="K20" s="279"/>
      <c r="L20" s="279"/>
      <c r="M20" s="279"/>
    </row>
    <row r="21" spans="2:13">
      <c r="B21" s="266"/>
      <c r="C21" s="450"/>
      <c r="D21" s="450"/>
      <c r="E21" s="267"/>
      <c r="F21" s="268"/>
      <c r="G21" s="269"/>
      <c r="H21" s="270"/>
      <c r="I21" s="270"/>
      <c r="J21" s="269"/>
      <c r="K21" s="269"/>
      <c r="L21" s="269"/>
      <c r="M21" s="269"/>
    </row>
    <row r="22" spans="2:13">
      <c r="B22" s="266"/>
      <c r="C22" s="450"/>
      <c r="D22" s="450"/>
      <c r="E22" s="267"/>
      <c r="F22" s="268"/>
      <c r="G22" s="269"/>
      <c r="H22" s="270"/>
      <c r="I22" s="270"/>
      <c r="J22" s="269"/>
      <c r="K22" s="269"/>
      <c r="L22" s="269"/>
      <c r="M22" s="269"/>
    </row>
    <row r="23" spans="2:13">
      <c r="B23" s="266"/>
      <c r="C23" s="450"/>
      <c r="D23" s="450"/>
      <c r="E23" s="267"/>
      <c r="F23" s="268"/>
      <c r="G23" s="269"/>
      <c r="H23" s="270"/>
      <c r="I23" s="270"/>
      <c r="J23" s="269"/>
      <c r="K23" s="269"/>
      <c r="L23" s="269"/>
      <c r="M23" s="269"/>
    </row>
    <row r="24" spans="2:13">
      <c r="B24" s="266"/>
      <c r="C24" s="450"/>
      <c r="D24" s="450"/>
      <c r="E24" s="267"/>
      <c r="F24" s="268"/>
      <c r="G24" s="269"/>
      <c r="H24" s="270"/>
      <c r="I24" s="270"/>
      <c r="J24" s="269"/>
      <c r="K24" s="269"/>
      <c r="L24" s="269"/>
      <c r="M24" s="269"/>
    </row>
    <row r="25" spans="2:13">
      <c r="B25" s="266"/>
      <c r="C25" s="450"/>
      <c r="D25" s="450"/>
      <c r="E25" s="267"/>
      <c r="F25" s="268"/>
      <c r="G25" s="269"/>
      <c r="H25" s="270"/>
      <c r="I25" s="270"/>
      <c r="J25" s="269"/>
      <c r="K25" s="269"/>
      <c r="L25" s="269"/>
      <c r="M25" s="269"/>
    </row>
    <row r="26" spans="2:13">
      <c r="B26" s="266"/>
      <c r="C26" s="450"/>
      <c r="D26" s="450"/>
      <c r="E26" s="267"/>
      <c r="F26" s="268"/>
      <c r="G26" s="269"/>
      <c r="H26" s="270"/>
      <c r="I26" s="270"/>
      <c r="J26" s="269"/>
      <c r="K26" s="269"/>
      <c r="L26" s="269"/>
      <c r="M26" s="269"/>
    </row>
    <row r="27" spans="2:13">
      <c r="B27" s="271" t="s">
        <v>217</v>
      </c>
      <c r="C27" s="272"/>
      <c r="D27" s="272"/>
      <c r="E27" s="281"/>
      <c r="F27" s="274"/>
      <c r="G27" s="282">
        <f>SUM(G21:G26)</f>
        <v>0</v>
      </c>
      <c r="H27" s="276"/>
      <c r="I27" s="276"/>
      <c r="J27" s="282">
        <f>SUM(J21:J26)</f>
        <v>0</v>
      </c>
      <c r="K27" s="282">
        <f>SUM(K21:K26)</f>
        <v>0</v>
      </c>
      <c r="L27" s="275">
        <f>SUM(L21:L26)</f>
        <v>0</v>
      </c>
      <c r="M27" s="282">
        <f>SUM(M21:M26)</f>
        <v>0</v>
      </c>
    </row>
    <row r="28" spans="2:13">
      <c r="B28" s="252" t="s">
        <v>218</v>
      </c>
      <c r="C28" s="277"/>
      <c r="D28" s="277"/>
      <c r="E28" s="278"/>
      <c r="F28" s="279"/>
      <c r="G28" s="283"/>
      <c r="H28" s="280"/>
      <c r="I28" s="280"/>
      <c r="J28" s="279"/>
      <c r="K28" s="279"/>
      <c r="L28" s="279"/>
      <c r="M28" s="279"/>
    </row>
    <row r="29" spans="2:13">
      <c r="B29" s="266" t="s">
        <v>950</v>
      </c>
      <c r="C29" s="450">
        <v>38226</v>
      </c>
      <c r="D29" s="450">
        <v>45139</v>
      </c>
      <c r="E29" s="267">
        <v>4.1900000000000004</v>
      </c>
      <c r="F29" s="268">
        <v>6000000</v>
      </c>
      <c r="G29" s="269">
        <v>4455208</v>
      </c>
      <c r="H29" s="270" t="s">
        <v>951</v>
      </c>
      <c r="I29" s="270">
        <v>41122</v>
      </c>
      <c r="J29" s="269">
        <v>175535</v>
      </c>
      <c r="K29" s="269">
        <v>305773</v>
      </c>
      <c r="L29" s="269">
        <v>163927</v>
      </c>
      <c r="M29" s="269">
        <v>317382</v>
      </c>
    </row>
    <row r="30" spans="2:13">
      <c r="B30" s="266" t="s">
        <v>952</v>
      </c>
      <c r="C30" s="450">
        <v>39715</v>
      </c>
      <c r="D30" s="450">
        <v>43313</v>
      </c>
      <c r="E30" s="267">
        <v>4</v>
      </c>
      <c r="F30" s="268">
        <v>2954139</v>
      </c>
      <c r="G30" s="269">
        <v>2311860</v>
      </c>
      <c r="H30" s="270" t="s">
        <v>951</v>
      </c>
      <c r="I30" s="270">
        <v>41122</v>
      </c>
      <c r="J30" s="269">
        <v>92149</v>
      </c>
      <c r="K30" s="269">
        <v>294479</v>
      </c>
      <c r="L30" s="269">
        <v>80696</v>
      </c>
      <c r="M30" s="269">
        <v>305932</v>
      </c>
    </row>
    <row r="31" spans="2:13">
      <c r="B31" s="266"/>
      <c r="C31" s="450"/>
      <c r="D31" s="450"/>
      <c r="E31" s="267"/>
      <c r="F31" s="268"/>
      <c r="G31" s="269"/>
      <c r="H31" s="270"/>
      <c r="I31" s="270"/>
      <c r="J31" s="269"/>
      <c r="K31" s="269"/>
      <c r="L31" s="269"/>
      <c r="M31" s="269"/>
    </row>
    <row r="32" spans="2:13">
      <c r="B32" s="266"/>
      <c r="C32" s="450"/>
      <c r="D32" s="450"/>
      <c r="E32" s="267"/>
      <c r="F32" s="268"/>
      <c r="G32" s="269"/>
      <c r="H32" s="270"/>
      <c r="I32" s="270"/>
      <c r="J32" s="269"/>
      <c r="K32" s="269"/>
      <c r="L32" s="269"/>
      <c r="M32" s="269"/>
    </row>
    <row r="33" spans="2:29">
      <c r="B33" s="266"/>
      <c r="C33" s="450"/>
      <c r="D33" s="450"/>
      <c r="E33" s="267"/>
      <c r="F33" s="268"/>
      <c r="G33" s="269"/>
      <c r="H33" s="270"/>
      <c r="I33" s="270"/>
      <c r="J33" s="269"/>
      <c r="K33" s="269"/>
      <c r="L33" s="269"/>
      <c r="M33" s="269"/>
    </row>
    <row r="34" spans="2:29">
      <c r="B34" s="266"/>
      <c r="C34" s="450"/>
      <c r="D34" s="450"/>
      <c r="E34" s="267"/>
      <c r="F34" s="268"/>
      <c r="G34" s="269"/>
      <c r="H34" s="270"/>
      <c r="I34" s="270"/>
      <c r="J34" s="269"/>
      <c r="K34" s="269"/>
      <c r="L34" s="269"/>
      <c r="M34" s="269"/>
    </row>
    <row r="35" spans="2:29">
      <c r="B35" s="266"/>
      <c r="C35" s="450"/>
      <c r="D35" s="450"/>
      <c r="E35" s="267"/>
      <c r="F35" s="268"/>
      <c r="G35" s="269"/>
      <c r="H35" s="270"/>
      <c r="I35" s="270"/>
      <c r="J35" s="269"/>
      <c r="K35" s="269"/>
      <c r="L35" s="269"/>
      <c r="M35" s="269"/>
      <c r="N35" s="72"/>
      <c r="O35" s="72"/>
      <c r="P35" s="72"/>
      <c r="Q35" s="72"/>
      <c r="R35" s="72"/>
      <c r="S35" s="72"/>
      <c r="T35" s="72"/>
      <c r="U35" s="72"/>
      <c r="V35" s="72"/>
      <c r="W35" s="72"/>
      <c r="X35" s="72"/>
      <c r="Y35" s="72"/>
      <c r="Z35" s="72"/>
      <c r="AA35" s="72"/>
      <c r="AB35" s="72"/>
      <c r="AC35" s="72"/>
    </row>
    <row r="36" spans="2:29">
      <c r="B36" s="271" t="s">
        <v>347</v>
      </c>
      <c r="C36" s="271"/>
      <c r="D36" s="271"/>
      <c r="E36" s="281"/>
      <c r="F36" s="274"/>
      <c r="G36" s="282">
        <f>SUM(G29:G35)</f>
        <v>6767068</v>
      </c>
      <c r="H36" s="274"/>
      <c r="I36" s="274"/>
      <c r="J36" s="282">
        <f>SUM(J29:J35)</f>
        <v>267684</v>
      </c>
      <c r="K36" s="282">
        <f>SUM(K29:K35)</f>
        <v>600252</v>
      </c>
      <c r="L36" s="282">
        <f>SUM(L29:L35)</f>
        <v>244623</v>
      </c>
      <c r="M36" s="282">
        <f>SUM(M29:M35)</f>
        <v>623314</v>
      </c>
    </row>
    <row r="37" spans="2:29">
      <c r="B37" s="271" t="s">
        <v>219</v>
      </c>
      <c r="C37" s="271"/>
      <c r="D37" s="271"/>
      <c r="E37" s="271"/>
      <c r="F37" s="274"/>
      <c r="G37" s="282">
        <f>SUM(G19+G27+G36)</f>
        <v>8461068</v>
      </c>
      <c r="H37" s="274"/>
      <c r="I37" s="274"/>
      <c r="J37" s="282">
        <f>SUM(J19+J27+J36)</f>
        <v>337836.5</v>
      </c>
      <c r="K37" s="282">
        <f>SUM(K19+K27+K36)</f>
        <v>889252</v>
      </c>
      <c r="L37" s="282">
        <f>SUM(L19+L27+L36)</f>
        <v>303302</v>
      </c>
      <c r="M37" s="282">
        <f>SUM(M19+M27+M36)</f>
        <v>933314</v>
      </c>
    </row>
    <row r="38" spans="2:29">
      <c r="B38" s="72"/>
      <c r="C38" s="72"/>
      <c r="D38" s="72"/>
      <c r="E38" s="72"/>
      <c r="F38" s="72"/>
      <c r="G38" s="72"/>
      <c r="H38" s="72"/>
      <c r="I38" s="72"/>
      <c r="J38" s="72"/>
      <c r="K38" s="72"/>
      <c r="L38" s="72"/>
      <c r="M38" s="72"/>
    </row>
    <row r="39" spans="2:29">
      <c r="F39" s="284"/>
      <c r="G39" s="284"/>
      <c r="J39" s="284"/>
      <c r="K39" s="284"/>
      <c r="L39" s="284"/>
      <c r="M39" s="284"/>
    </row>
    <row r="40" spans="2:29">
      <c r="F40" s="72"/>
      <c r="H40" s="285"/>
      <c r="N40" s="72"/>
    </row>
    <row r="41" spans="2:29">
      <c r="B41" s="72"/>
      <c r="C41" s="72"/>
      <c r="D41" s="72"/>
      <c r="E41" s="72"/>
      <c r="F41" s="72"/>
      <c r="G41" s="72"/>
      <c r="H41" s="72"/>
      <c r="I41" s="72"/>
      <c r="J41" s="72"/>
      <c r="K41" s="72"/>
      <c r="L41" s="72"/>
      <c r="M41" s="72"/>
    </row>
    <row r="42" spans="2:29">
      <c r="B42" s="72"/>
      <c r="C42" s="72"/>
      <c r="D42" s="72"/>
      <c r="E42" s="72"/>
      <c r="F42" s="72"/>
      <c r="G42" s="72"/>
      <c r="H42" s="72"/>
      <c r="I42" s="72"/>
      <c r="J42" s="72"/>
      <c r="K42" s="72"/>
      <c r="L42" s="72"/>
      <c r="M42" s="72"/>
    </row>
  </sheetData>
  <sheetProtection sheet="1"/>
  <mergeCells count="3">
    <mergeCell ref="H6:I6"/>
    <mergeCell ref="J6:K6"/>
    <mergeCell ref="L6:M6"/>
  </mergeCells>
  <phoneticPr fontId="0" type="noConversion"/>
  <pageMargins left="0.38" right="0.5" top="0.78" bottom="0.4" header="0.5" footer="0"/>
  <pageSetup scale="77" orientation="landscape" blackAndWhite="1" r:id="rId1"/>
  <headerFooter alignWithMargins="0">
    <oddHeader xml:space="preserve">&amp;RState of Kansas
County
</oddHeader>
    <oddFooter>&amp;CPage No. 5</oddFooter>
  </headerFooter>
</worksheet>
</file>

<file path=xl/worksheets/sheet12.xml><?xml version="1.0" encoding="utf-8"?>
<worksheet xmlns="http://schemas.openxmlformats.org/spreadsheetml/2006/main" xmlns:r="http://schemas.openxmlformats.org/officeDocument/2006/relationships">
  <sheetPr codeName="Sheet9">
    <pageSetUpPr fitToPage="1"/>
  </sheetPr>
  <dimension ref="B1:J48"/>
  <sheetViews>
    <sheetView topLeftCell="A5" zoomScale="75" workbookViewId="0">
      <selection activeCell="C18" sqref="C18"/>
    </sheetView>
  </sheetViews>
  <sheetFormatPr defaultColWidth="8.88671875" defaultRowHeight="15.75"/>
  <cols>
    <col min="1" max="1" width="4.77734375" style="72" customWidth="1"/>
    <col min="2" max="2" width="25.77734375" style="72" customWidth="1"/>
    <col min="3" max="5" width="9.77734375" style="72" customWidth="1"/>
    <col min="6" max="6" width="17.109375" style="72" customWidth="1"/>
    <col min="7" max="9" width="15.77734375" style="72" customWidth="1"/>
    <col min="10" max="16384" width="8.88671875" style="72"/>
  </cols>
  <sheetData>
    <row r="1" spans="2:9">
      <c r="B1" s="228" t="str">
        <f>inputPrYr!$C$2</f>
        <v>Franklin County</v>
      </c>
      <c r="C1" s="85"/>
      <c r="D1" s="85"/>
      <c r="E1" s="85"/>
      <c r="F1" s="85"/>
      <c r="G1" s="85"/>
      <c r="H1" s="85"/>
      <c r="I1" s="286">
        <f>inputPrYr!C4</f>
        <v>2013</v>
      </c>
    </row>
    <row r="2" spans="2:9">
      <c r="B2" s="85"/>
      <c r="C2" s="85"/>
      <c r="D2" s="85"/>
      <c r="E2" s="85"/>
      <c r="F2" s="85"/>
      <c r="G2" s="85"/>
      <c r="H2" s="85"/>
      <c r="I2" s="240"/>
    </row>
    <row r="3" spans="2:9">
      <c r="B3" s="85"/>
      <c r="C3" s="93"/>
      <c r="D3" s="93"/>
      <c r="E3" s="93"/>
      <c r="F3" s="93"/>
      <c r="G3" s="93"/>
      <c r="H3" s="93"/>
      <c r="I3" s="287"/>
    </row>
    <row r="4" spans="2:9">
      <c r="B4" s="255" t="s">
        <v>231</v>
      </c>
      <c r="C4" s="93"/>
      <c r="D4" s="93"/>
      <c r="E4" s="93"/>
      <c r="F4" s="93"/>
      <c r="G4" s="93"/>
      <c r="H4" s="93"/>
      <c r="I4" s="93"/>
    </row>
    <row r="5" spans="2:9">
      <c r="B5" s="114"/>
      <c r="C5" s="256"/>
      <c r="D5" s="256"/>
      <c r="E5" s="256"/>
      <c r="F5" s="256"/>
      <c r="G5" s="256"/>
      <c r="H5" s="256"/>
      <c r="I5" s="256"/>
    </row>
    <row r="6" spans="2:9">
      <c r="B6" s="288"/>
      <c r="C6" s="289"/>
      <c r="D6" s="289"/>
      <c r="E6" s="289"/>
      <c r="F6" s="257" t="s">
        <v>130</v>
      </c>
      <c r="G6" s="289"/>
      <c r="H6" s="289"/>
      <c r="I6" s="289"/>
    </row>
    <row r="7" spans="2:9">
      <c r="B7" s="288"/>
      <c r="C7" s="260"/>
      <c r="D7" s="260" t="s">
        <v>220</v>
      </c>
      <c r="E7" s="260" t="s">
        <v>221</v>
      </c>
      <c r="F7" s="260" t="s">
        <v>150</v>
      </c>
      <c r="G7" s="260" t="s">
        <v>222</v>
      </c>
      <c r="H7" s="260" t="s">
        <v>223</v>
      </c>
      <c r="I7" s="260" t="s">
        <v>223</v>
      </c>
    </row>
    <row r="8" spans="2:9">
      <c r="B8" s="634" t="s">
        <v>813</v>
      </c>
      <c r="C8" s="260" t="s">
        <v>224</v>
      </c>
      <c r="D8" s="260" t="s">
        <v>225</v>
      </c>
      <c r="E8" s="260" t="s">
        <v>210</v>
      </c>
      <c r="F8" s="260" t="s">
        <v>226</v>
      </c>
      <c r="G8" s="260" t="s">
        <v>267</v>
      </c>
      <c r="H8" s="260" t="s">
        <v>227</v>
      </c>
      <c r="I8" s="260" t="s">
        <v>227</v>
      </c>
    </row>
    <row r="9" spans="2:9">
      <c r="B9" s="622" t="s">
        <v>812</v>
      </c>
      <c r="C9" s="263" t="s">
        <v>207</v>
      </c>
      <c r="D9" s="291" t="s">
        <v>228</v>
      </c>
      <c r="E9" s="263" t="s">
        <v>172</v>
      </c>
      <c r="F9" s="291" t="s">
        <v>287</v>
      </c>
      <c r="G9" s="292" t="str">
        <f>CONCATENATE("Jan 1,",I1-1,"")</f>
        <v>Jan 1,2012</v>
      </c>
      <c r="H9" s="263">
        <f>I1-1</f>
        <v>2012</v>
      </c>
      <c r="I9" s="263">
        <f>I1</f>
        <v>2013</v>
      </c>
    </row>
    <row r="10" spans="2:9">
      <c r="B10" s="293" t="s">
        <v>953</v>
      </c>
      <c r="C10" s="449">
        <v>39891</v>
      </c>
      <c r="D10" s="294">
        <v>68</v>
      </c>
      <c r="E10" s="295">
        <v>5</v>
      </c>
      <c r="F10" s="112">
        <v>706492</v>
      </c>
      <c r="G10" s="112">
        <v>380676</v>
      </c>
      <c r="H10" s="112">
        <v>146447</v>
      </c>
      <c r="I10" s="112">
        <v>146447</v>
      </c>
    </row>
    <row r="11" spans="2:9">
      <c r="B11" s="293" t="s">
        <v>954</v>
      </c>
      <c r="C11" s="449">
        <v>40301</v>
      </c>
      <c r="D11" s="294">
        <v>48</v>
      </c>
      <c r="E11" s="295">
        <v>3.28</v>
      </c>
      <c r="F11" s="112">
        <v>216000</v>
      </c>
      <c r="G11" s="112">
        <v>114026</v>
      </c>
      <c r="H11" s="112">
        <v>57013.16</v>
      </c>
      <c r="I11" s="112">
        <v>57013.16</v>
      </c>
    </row>
    <row r="12" spans="2:9">
      <c r="B12" s="293" t="s">
        <v>955</v>
      </c>
      <c r="C12" s="449">
        <v>40198</v>
      </c>
      <c r="D12" s="294">
        <v>48</v>
      </c>
      <c r="E12" s="295">
        <v>3.34</v>
      </c>
      <c r="F12" s="112">
        <v>212030</v>
      </c>
      <c r="G12" s="112">
        <v>113261</v>
      </c>
      <c r="H12" s="112">
        <v>56630</v>
      </c>
      <c r="I12" s="112">
        <v>56630</v>
      </c>
    </row>
    <row r="13" spans="2:9">
      <c r="B13" s="293" t="s">
        <v>956</v>
      </c>
      <c r="C13" s="449">
        <v>39615</v>
      </c>
      <c r="D13" s="294">
        <v>48</v>
      </c>
      <c r="E13" s="295">
        <v>3.99</v>
      </c>
      <c r="F13" s="112">
        <v>85500</v>
      </c>
      <c r="G13" s="112">
        <v>11669</v>
      </c>
      <c r="H13" s="112">
        <v>11669</v>
      </c>
      <c r="I13" s="112">
        <v>0</v>
      </c>
    </row>
    <row r="14" spans="2:9">
      <c r="B14" s="293" t="s">
        <v>957</v>
      </c>
      <c r="C14" s="449">
        <v>35977</v>
      </c>
      <c r="D14" s="294">
        <v>180</v>
      </c>
      <c r="E14" s="295">
        <v>5.75</v>
      </c>
      <c r="F14" s="112">
        <v>1667580</v>
      </c>
      <c r="G14" s="112">
        <v>319814</v>
      </c>
      <c r="H14" s="112">
        <v>168200</v>
      </c>
      <c r="I14" s="112">
        <v>168200</v>
      </c>
    </row>
    <row r="15" spans="2:9">
      <c r="B15" s="293" t="s">
        <v>1056</v>
      </c>
      <c r="C15" s="449">
        <v>40756</v>
      </c>
      <c r="D15" s="294">
        <v>48</v>
      </c>
      <c r="E15" s="295">
        <v>2</v>
      </c>
      <c r="F15" s="112">
        <v>97000</v>
      </c>
      <c r="G15" s="112">
        <v>97000</v>
      </c>
      <c r="H15" s="112">
        <v>25476</v>
      </c>
      <c r="I15" s="112">
        <v>25476</v>
      </c>
    </row>
    <row r="16" spans="2:9">
      <c r="B16" s="293" t="s">
        <v>1057</v>
      </c>
      <c r="C16" s="449">
        <v>40756</v>
      </c>
      <c r="D16" s="294">
        <v>48</v>
      </c>
      <c r="E16" s="295">
        <v>3</v>
      </c>
      <c r="F16" s="112">
        <v>97000</v>
      </c>
      <c r="G16" s="112">
        <v>97000</v>
      </c>
      <c r="H16" s="112">
        <v>26098</v>
      </c>
      <c r="I16" s="112">
        <v>26098</v>
      </c>
    </row>
    <row r="17" spans="2:9">
      <c r="B17" s="293" t="s">
        <v>1058</v>
      </c>
      <c r="C17" s="449">
        <v>40756</v>
      </c>
      <c r="D17" s="294">
        <v>48</v>
      </c>
      <c r="E17" s="295">
        <v>2.5</v>
      </c>
      <c r="F17" s="112">
        <v>107500</v>
      </c>
      <c r="G17" s="112">
        <v>107500</v>
      </c>
      <c r="H17" s="112">
        <v>28577</v>
      </c>
      <c r="I17" s="112">
        <v>28577</v>
      </c>
    </row>
    <row r="18" spans="2:9">
      <c r="B18" s="293" t="s">
        <v>1078</v>
      </c>
      <c r="C18" s="449">
        <v>40678</v>
      </c>
      <c r="D18" s="294">
        <v>240</v>
      </c>
      <c r="E18" s="295" t="s">
        <v>1077</v>
      </c>
      <c r="F18" s="112">
        <v>3600000</v>
      </c>
      <c r="G18" s="112">
        <v>3600000</v>
      </c>
      <c r="H18" s="112">
        <v>167929.9</v>
      </c>
      <c r="I18" s="112">
        <v>129731.25</v>
      </c>
    </row>
    <row r="19" spans="2:9">
      <c r="B19" s="293"/>
      <c r="C19" s="293"/>
      <c r="D19" s="294"/>
      <c r="E19" s="295"/>
      <c r="F19" s="112"/>
      <c r="G19" s="112"/>
      <c r="H19" s="112"/>
      <c r="I19" s="112"/>
    </row>
    <row r="20" spans="2:9">
      <c r="B20" s="293"/>
      <c r="C20" s="293"/>
      <c r="D20" s="294"/>
      <c r="E20" s="295"/>
      <c r="F20" s="112"/>
      <c r="G20" s="112"/>
      <c r="H20" s="112"/>
      <c r="I20" s="112"/>
    </row>
    <row r="21" spans="2:9">
      <c r="B21" s="293"/>
      <c r="C21" s="293"/>
      <c r="D21" s="294"/>
      <c r="E21" s="295"/>
      <c r="F21" s="112"/>
      <c r="G21" s="112"/>
      <c r="H21" s="112"/>
      <c r="I21" s="112"/>
    </row>
    <row r="22" spans="2:9">
      <c r="B22" s="293"/>
      <c r="C22" s="293"/>
      <c r="D22" s="294"/>
      <c r="E22" s="295"/>
      <c r="F22" s="112"/>
      <c r="G22" s="112"/>
      <c r="H22" s="112"/>
      <c r="I22" s="112"/>
    </row>
    <row r="23" spans="2:9">
      <c r="B23" s="293"/>
      <c r="C23" s="293"/>
      <c r="D23" s="294"/>
      <c r="E23" s="295"/>
      <c r="F23" s="112"/>
      <c r="G23" s="112"/>
      <c r="H23" s="112"/>
      <c r="I23" s="112"/>
    </row>
    <row r="24" spans="2:9">
      <c r="B24" s="293"/>
      <c r="C24" s="293"/>
      <c r="D24" s="294"/>
      <c r="E24" s="295"/>
      <c r="F24" s="112"/>
      <c r="G24" s="112"/>
      <c r="H24" s="112"/>
      <c r="I24" s="112"/>
    </row>
    <row r="25" spans="2:9">
      <c r="B25" s="293"/>
      <c r="C25" s="293"/>
      <c r="D25" s="294"/>
      <c r="E25" s="295"/>
      <c r="F25" s="112"/>
      <c r="G25" s="112"/>
      <c r="H25" s="112"/>
      <c r="I25" s="112"/>
    </row>
    <row r="26" spans="2:9">
      <c r="B26" s="293"/>
      <c r="C26" s="293"/>
      <c r="D26" s="294"/>
      <c r="E26" s="295"/>
      <c r="F26" s="112"/>
      <c r="G26" s="112"/>
      <c r="H26" s="112"/>
      <c r="I26" s="112"/>
    </row>
    <row r="27" spans="2:9">
      <c r="B27" s="293"/>
      <c r="C27" s="293"/>
      <c r="D27" s="294"/>
      <c r="E27" s="295"/>
      <c r="F27" s="112"/>
      <c r="G27" s="112"/>
      <c r="H27" s="112"/>
      <c r="I27" s="112"/>
    </row>
    <row r="28" spans="2:9">
      <c r="B28" s="293"/>
      <c r="C28" s="293"/>
      <c r="D28" s="294"/>
      <c r="E28" s="295"/>
      <c r="F28" s="112"/>
      <c r="G28" s="112"/>
      <c r="H28" s="112"/>
      <c r="I28" s="112"/>
    </row>
    <row r="29" spans="2:9">
      <c r="B29" s="293"/>
      <c r="C29" s="293"/>
      <c r="D29" s="294"/>
      <c r="E29" s="295"/>
      <c r="F29" s="112"/>
      <c r="G29" s="112"/>
      <c r="H29" s="112"/>
      <c r="I29" s="112"/>
    </row>
    <row r="30" spans="2:9">
      <c r="B30" s="293"/>
      <c r="C30" s="293"/>
      <c r="D30" s="294"/>
      <c r="E30" s="295"/>
      <c r="F30" s="112"/>
      <c r="G30" s="112"/>
      <c r="H30" s="112"/>
      <c r="I30" s="112"/>
    </row>
    <row r="31" spans="2:9">
      <c r="B31" s="293"/>
      <c r="C31" s="293"/>
      <c r="D31" s="294"/>
      <c r="E31" s="295"/>
      <c r="F31" s="112"/>
      <c r="G31" s="112"/>
      <c r="H31" s="112"/>
      <c r="I31" s="112"/>
    </row>
    <row r="32" spans="2:9">
      <c r="B32" s="293"/>
      <c r="C32" s="293"/>
      <c r="D32" s="294"/>
      <c r="E32" s="295"/>
      <c r="F32" s="112"/>
      <c r="G32" s="112"/>
      <c r="H32" s="112"/>
      <c r="I32" s="112"/>
    </row>
    <row r="33" spans="2:10">
      <c r="B33" s="293"/>
      <c r="C33" s="293"/>
      <c r="D33" s="294"/>
      <c r="E33" s="295"/>
      <c r="F33" s="112"/>
      <c r="G33" s="112"/>
      <c r="H33" s="112"/>
      <c r="I33" s="112"/>
    </row>
    <row r="34" spans="2:10">
      <c r="B34" s="293"/>
      <c r="C34" s="293"/>
      <c r="D34" s="294"/>
      <c r="E34" s="295"/>
      <c r="F34" s="112"/>
      <c r="G34" s="112"/>
      <c r="H34" s="112"/>
      <c r="I34" s="112"/>
    </row>
    <row r="35" spans="2:10">
      <c r="B35" s="293"/>
      <c r="C35" s="293"/>
      <c r="D35" s="294"/>
      <c r="E35" s="295"/>
      <c r="F35" s="112"/>
      <c r="G35" s="112"/>
      <c r="H35" s="112"/>
      <c r="I35" s="112"/>
    </row>
    <row r="36" spans="2:10">
      <c r="B36" s="293"/>
      <c r="C36" s="293"/>
      <c r="D36" s="294"/>
      <c r="E36" s="295"/>
      <c r="F36" s="112"/>
      <c r="G36" s="112"/>
      <c r="H36" s="112"/>
      <c r="I36" s="112"/>
    </row>
    <row r="37" spans="2:10" ht="16.5" thickBot="1">
      <c r="B37" s="635"/>
      <c r="C37" s="85"/>
      <c r="D37" s="85"/>
      <c r="E37" s="85"/>
      <c r="F37" s="271" t="s">
        <v>157</v>
      </c>
      <c r="G37" s="296">
        <f>SUM(G10:G36)</f>
        <v>4840946</v>
      </c>
      <c r="H37" s="296">
        <f>SUM(H10:H36)</f>
        <v>688040.06</v>
      </c>
      <c r="I37" s="296">
        <f>SUM(I10:I36)</f>
        <v>638172.41</v>
      </c>
      <c r="J37" s="297"/>
    </row>
    <row r="38" spans="2:10" ht="16.5" thickTop="1">
      <c r="B38" s="85"/>
      <c r="C38" s="85"/>
      <c r="D38" s="85"/>
      <c r="E38" s="85"/>
      <c r="F38" s="85"/>
      <c r="G38" s="85"/>
      <c r="H38" s="228"/>
      <c r="I38" s="228"/>
    </row>
    <row r="39" spans="2:10">
      <c r="B39" s="298" t="s">
        <v>87</v>
      </c>
      <c r="C39" s="299"/>
      <c r="D39" s="299"/>
      <c r="E39" s="299"/>
      <c r="F39" s="299"/>
      <c r="G39" s="299"/>
      <c r="H39" s="228"/>
      <c r="I39" s="228"/>
    </row>
    <row r="40" spans="2:10">
      <c r="B40" s="143"/>
      <c r="C40" s="143"/>
      <c r="D40" s="285"/>
      <c r="E40" s="143"/>
      <c r="F40" s="143"/>
      <c r="G40" s="143"/>
      <c r="H40" s="284"/>
      <c r="I40" s="284"/>
    </row>
    <row r="41" spans="2:10">
      <c r="B41" s="143"/>
      <c r="C41" s="143"/>
      <c r="D41" s="143"/>
      <c r="E41" s="143"/>
      <c r="F41" s="143"/>
      <c r="G41" s="143"/>
      <c r="H41" s="143"/>
      <c r="I41" s="143"/>
    </row>
    <row r="42" spans="2:10">
      <c r="B42" s="143"/>
      <c r="C42" s="143"/>
      <c r="D42" s="143"/>
      <c r="E42" s="143"/>
      <c r="F42" s="143"/>
      <c r="G42" s="143"/>
      <c r="H42" s="143"/>
      <c r="I42" s="143"/>
    </row>
    <row r="43" spans="2:10">
      <c r="B43" s="143"/>
      <c r="C43" s="143"/>
      <c r="D43" s="143"/>
      <c r="E43" s="143"/>
      <c r="F43" s="143"/>
      <c r="G43" s="143"/>
      <c r="H43" s="143"/>
      <c r="I43" s="143"/>
    </row>
    <row r="44" spans="2:10">
      <c r="B44" s="143"/>
      <c r="C44" s="143"/>
      <c r="D44" s="143"/>
      <c r="E44" s="143"/>
      <c r="F44" s="143"/>
      <c r="G44" s="143"/>
      <c r="H44" s="143"/>
      <c r="I44" s="143"/>
    </row>
    <row r="45" spans="2:10">
      <c r="B45" s="143"/>
      <c r="C45" s="143"/>
      <c r="D45" s="143"/>
      <c r="E45" s="143"/>
      <c r="F45" s="143"/>
      <c r="G45" s="143"/>
      <c r="H45" s="143"/>
      <c r="I45" s="143"/>
    </row>
    <row r="46" spans="2:10">
      <c r="B46" s="143"/>
      <c r="C46" s="143"/>
      <c r="D46" s="143"/>
      <c r="E46" s="143"/>
      <c r="F46" s="143"/>
      <c r="G46" s="143"/>
      <c r="H46" s="143"/>
      <c r="I46" s="143"/>
    </row>
    <row r="47" spans="2:10">
      <c r="B47" s="143"/>
      <c r="C47" s="143"/>
      <c r="D47" s="143"/>
      <c r="E47" s="143"/>
      <c r="F47" s="143"/>
      <c r="G47" s="143"/>
      <c r="H47" s="143"/>
      <c r="I47" s="143"/>
    </row>
    <row r="48" spans="2:10">
      <c r="B48" s="143"/>
      <c r="C48" s="143"/>
      <c r="D48" s="143"/>
      <c r="E48" s="143"/>
      <c r="F48" s="143"/>
      <c r="G48" s="143"/>
      <c r="H48" s="143"/>
      <c r="I48" s="143"/>
    </row>
  </sheetData>
  <sheetProtection sheet="1"/>
  <phoneticPr fontId="0" type="noConversion"/>
  <pageMargins left="0.17" right="0.5" top="0.78" bottom="0.4" header="0.5" footer="0"/>
  <pageSetup scale="87" orientation="landscape" blackAndWhite="1" r:id="rId1"/>
  <headerFooter alignWithMargins="0">
    <oddHeader xml:space="preserve">&amp;RState of Kansas
County
</oddHeader>
    <oddFooter>&amp;CPage No. 6</oddFooter>
  </headerFooter>
</worksheet>
</file>

<file path=xl/worksheets/sheet13.xml><?xml version="1.0" encoding="utf-8"?>
<worksheet xmlns="http://schemas.openxmlformats.org/spreadsheetml/2006/main" xmlns:r="http://schemas.openxmlformats.org/officeDocument/2006/relationships">
  <sheetPr codeName="Sheet10"/>
  <dimension ref="B1:K137"/>
  <sheetViews>
    <sheetView topLeftCell="A7" zoomScaleNormal="100" workbookViewId="0">
      <selection activeCell="G64" sqref="G64"/>
    </sheetView>
  </sheetViews>
  <sheetFormatPr defaultColWidth="8.88671875" defaultRowHeight="15.75"/>
  <cols>
    <col min="1" max="1" width="2.44140625" style="72" customWidth="1"/>
    <col min="2" max="2" width="31.109375" style="72" customWidth="1"/>
    <col min="3" max="4" width="15.77734375" style="72" customWidth="1"/>
    <col min="5" max="5" width="16.21875" style="72" customWidth="1"/>
    <col min="6" max="6" width="7.44140625" style="72" customWidth="1"/>
    <col min="7" max="7" width="10.21875" style="72" customWidth="1"/>
    <col min="8" max="8" width="8.88671875" style="72"/>
    <col min="9" max="9" width="5" style="72" customWidth="1"/>
    <col min="10" max="10" width="10" style="72" customWidth="1"/>
    <col min="11" max="16384" width="8.88671875" style="72"/>
  </cols>
  <sheetData>
    <row r="1" spans="2:5">
      <c r="B1" s="228" t="str">
        <f>inputPrYr!C2</f>
        <v>Franklin County</v>
      </c>
      <c r="C1" s="85"/>
      <c r="D1" s="85"/>
      <c r="E1" s="286">
        <f>inputPrYr!C4</f>
        <v>2013</v>
      </c>
    </row>
    <row r="2" spans="2:5">
      <c r="B2" s="85"/>
      <c r="C2" s="85"/>
      <c r="D2" s="85"/>
      <c r="E2" s="240"/>
    </row>
    <row r="3" spans="2:5">
      <c r="B3" s="152" t="s">
        <v>238</v>
      </c>
      <c r="C3" s="85"/>
      <c r="D3" s="85"/>
      <c r="E3" s="300"/>
    </row>
    <row r="4" spans="2:5">
      <c r="B4" s="301" t="s">
        <v>159</v>
      </c>
      <c r="C4" s="703" t="s">
        <v>841</v>
      </c>
      <c r="D4" s="704" t="s">
        <v>842</v>
      </c>
      <c r="E4" s="215" t="s">
        <v>843</v>
      </c>
    </row>
    <row r="5" spans="2:5">
      <c r="B5" s="484" t="str">
        <f>inputPrYr!B16</f>
        <v>General</v>
      </c>
      <c r="C5" s="455" t="str">
        <f>CONCATENATE("Actual for ",E1-2,"")</f>
        <v>Actual for 2011</v>
      </c>
      <c r="D5" s="455" t="str">
        <f>CONCATENATE("Estimate for ",E1-1,"")</f>
        <v>Estimate for 2012</v>
      </c>
      <c r="E5" s="302" t="str">
        <f>CONCATENATE("Year for ",E1,"")</f>
        <v>Year for 2013</v>
      </c>
    </row>
    <row r="6" spans="2:5">
      <c r="B6" s="303" t="s">
        <v>280</v>
      </c>
      <c r="C6" s="452">
        <v>757560</v>
      </c>
      <c r="D6" s="456">
        <f>C118</f>
        <v>1227228</v>
      </c>
      <c r="E6" s="265">
        <f>D118</f>
        <v>1082554</v>
      </c>
    </row>
    <row r="7" spans="2:5">
      <c r="B7" s="290" t="s">
        <v>282</v>
      </c>
      <c r="C7" s="305"/>
      <c r="D7" s="305"/>
      <c r="E7" s="127"/>
    </row>
    <row r="8" spans="2:5">
      <c r="B8" s="303" t="s">
        <v>160</v>
      </c>
      <c r="C8" s="452">
        <v>3696019</v>
      </c>
      <c r="D8" s="456">
        <f>IF(inputPrYr!H16&gt;0,inputPrYr!H16,inputPrYr!E16)</f>
        <v>3778281</v>
      </c>
      <c r="E8" s="221" t="s">
        <v>146</v>
      </c>
    </row>
    <row r="9" spans="2:5">
      <c r="B9" s="303" t="s">
        <v>161</v>
      </c>
      <c r="C9" s="452">
        <v>147072</v>
      </c>
      <c r="D9" s="452">
        <v>99500</v>
      </c>
      <c r="E9" s="306">
        <v>102000</v>
      </c>
    </row>
    <row r="10" spans="2:5">
      <c r="B10" s="303" t="s">
        <v>162</v>
      </c>
      <c r="C10" s="452">
        <v>381558</v>
      </c>
      <c r="D10" s="452">
        <v>463502</v>
      </c>
      <c r="E10" s="265">
        <f>mvalloc!E7</f>
        <v>451467</v>
      </c>
    </row>
    <row r="11" spans="2:5">
      <c r="B11" s="303" t="s">
        <v>163</v>
      </c>
      <c r="C11" s="452">
        <v>7519</v>
      </c>
      <c r="D11" s="452">
        <v>10022</v>
      </c>
      <c r="E11" s="265">
        <f>mvalloc!F7</f>
        <v>6960</v>
      </c>
    </row>
    <row r="12" spans="2:5">
      <c r="B12" s="305" t="s">
        <v>262</v>
      </c>
      <c r="C12" s="452">
        <v>14028</v>
      </c>
      <c r="D12" s="452">
        <v>15865</v>
      </c>
      <c r="E12" s="265">
        <f>mvalloc!G7</f>
        <v>13300</v>
      </c>
    </row>
    <row r="13" spans="2:5">
      <c r="B13" s="303" t="s">
        <v>264</v>
      </c>
      <c r="C13" s="452">
        <v>0</v>
      </c>
      <c r="D13" s="452">
        <v>0</v>
      </c>
      <c r="E13" s="265">
        <f>inputOth!E11</f>
        <v>0</v>
      </c>
    </row>
    <row r="14" spans="2:5">
      <c r="B14" s="303" t="s">
        <v>334</v>
      </c>
      <c r="C14" s="452">
        <v>0</v>
      </c>
      <c r="D14" s="452">
        <v>0</v>
      </c>
      <c r="E14" s="265">
        <f>inputOth!E18</f>
        <v>0</v>
      </c>
    </row>
    <row r="15" spans="2:5">
      <c r="B15" s="303" t="s">
        <v>335</v>
      </c>
      <c r="C15" s="452">
        <v>0</v>
      </c>
      <c r="D15" s="452">
        <v>0</v>
      </c>
      <c r="E15" s="265">
        <f>inputOth!E19</f>
        <v>0</v>
      </c>
    </row>
    <row r="16" spans="2:5">
      <c r="B16" s="307" t="s">
        <v>977</v>
      </c>
      <c r="C16" s="452">
        <v>1655097</v>
      </c>
      <c r="D16" s="452">
        <v>1650000</v>
      </c>
      <c r="E16" s="306">
        <v>1650000</v>
      </c>
    </row>
    <row r="17" spans="2:5">
      <c r="B17" s="307" t="s">
        <v>974</v>
      </c>
      <c r="C17" s="452">
        <v>6</v>
      </c>
      <c r="D17" s="452">
        <v>0</v>
      </c>
      <c r="E17" s="306">
        <v>0</v>
      </c>
    </row>
    <row r="18" spans="2:5">
      <c r="B18" s="307" t="s">
        <v>975</v>
      </c>
      <c r="C18" s="452">
        <v>27146</v>
      </c>
      <c r="D18" s="452">
        <v>20000</v>
      </c>
      <c r="E18" s="306">
        <v>20000</v>
      </c>
    </row>
    <row r="19" spans="2:5">
      <c r="B19" s="308" t="s">
        <v>976</v>
      </c>
      <c r="C19" s="452">
        <v>165499</v>
      </c>
      <c r="D19" s="452">
        <v>100000</v>
      </c>
      <c r="E19" s="306">
        <v>150000</v>
      </c>
    </row>
    <row r="20" spans="2:5">
      <c r="B20" s="308" t="s">
        <v>978</v>
      </c>
      <c r="C20" s="452">
        <v>2449</v>
      </c>
      <c r="D20" s="452">
        <v>3500</v>
      </c>
      <c r="E20" s="306">
        <v>3500</v>
      </c>
    </row>
    <row r="21" spans="2:5">
      <c r="B21" s="308" t="s">
        <v>979</v>
      </c>
      <c r="C21" s="452">
        <v>3254</v>
      </c>
      <c r="D21" s="452">
        <v>5000</v>
      </c>
      <c r="E21" s="306">
        <v>3000</v>
      </c>
    </row>
    <row r="22" spans="2:5">
      <c r="B22" s="307" t="s">
        <v>980</v>
      </c>
      <c r="C22" s="452">
        <v>0</v>
      </c>
      <c r="D22" s="452">
        <v>0</v>
      </c>
      <c r="E22" s="306">
        <v>0</v>
      </c>
    </row>
    <row r="23" spans="2:5">
      <c r="B23" s="307" t="s">
        <v>981</v>
      </c>
      <c r="C23" s="452">
        <v>1626</v>
      </c>
      <c r="D23" s="452">
        <v>1500</v>
      </c>
      <c r="E23" s="306">
        <v>1500</v>
      </c>
    </row>
    <row r="24" spans="2:5">
      <c r="B24" s="307" t="s">
        <v>982</v>
      </c>
      <c r="C24" s="452">
        <v>4769</v>
      </c>
      <c r="D24" s="452">
        <v>3500</v>
      </c>
      <c r="E24" s="306">
        <v>3500</v>
      </c>
    </row>
    <row r="25" spans="2:5">
      <c r="B25" s="307" t="s">
        <v>983</v>
      </c>
      <c r="C25" s="452">
        <v>87340</v>
      </c>
      <c r="D25" s="452">
        <v>100000</v>
      </c>
      <c r="E25" s="306">
        <v>100000</v>
      </c>
    </row>
    <row r="26" spans="2:5">
      <c r="B26" s="307" t="s">
        <v>984</v>
      </c>
      <c r="C26" s="452">
        <v>15169</v>
      </c>
      <c r="D26" s="452">
        <v>12000</v>
      </c>
      <c r="E26" s="306">
        <v>12000</v>
      </c>
    </row>
    <row r="27" spans="2:5">
      <c r="B27" s="307" t="s">
        <v>985</v>
      </c>
      <c r="C27" s="452">
        <v>693</v>
      </c>
      <c r="D27" s="452">
        <v>750</v>
      </c>
      <c r="E27" s="306">
        <v>750</v>
      </c>
    </row>
    <row r="28" spans="2:5">
      <c r="B28" s="307" t="s">
        <v>986</v>
      </c>
      <c r="C28" s="452">
        <v>216171</v>
      </c>
      <c r="D28" s="452">
        <v>225000</v>
      </c>
      <c r="E28" s="306">
        <v>225000</v>
      </c>
    </row>
    <row r="29" spans="2:5">
      <c r="B29" s="307" t="s">
        <v>987</v>
      </c>
      <c r="C29" s="452">
        <v>46468</v>
      </c>
      <c r="D29" s="452">
        <v>45000</v>
      </c>
      <c r="E29" s="306">
        <v>45000</v>
      </c>
    </row>
    <row r="30" spans="2:5">
      <c r="B30" s="307" t="s">
        <v>988</v>
      </c>
      <c r="C30" s="452">
        <v>61970</v>
      </c>
      <c r="D30" s="452">
        <v>60000</v>
      </c>
      <c r="E30" s="306">
        <v>60000</v>
      </c>
    </row>
    <row r="31" spans="2:5">
      <c r="B31" s="307" t="s">
        <v>989</v>
      </c>
      <c r="C31" s="452">
        <v>17136</v>
      </c>
      <c r="D31" s="452">
        <v>15000</v>
      </c>
      <c r="E31" s="306">
        <v>15000</v>
      </c>
    </row>
    <row r="32" spans="2:5">
      <c r="B32" s="307" t="s">
        <v>990</v>
      </c>
      <c r="C32" s="452">
        <v>12000</v>
      </c>
      <c r="D32" s="452">
        <v>36000</v>
      </c>
      <c r="E32" s="306">
        <v>36000</v>
      </c>
    </row>
    <row r="33" spans="2:5">
      <c r="B33" s="307" t="s">
        <v>991</v>
      </c>
      <c r="C33" s="452">
        <v>11759</v>
      </c>
      <c r="D33" s="452">
        <v>12000</v>
      </c>
      <c r="E33" s="306">
        <v>12000</v>
      </c>
    </row>
    <row r="34" spans="2:5">
      <c r="B34" s="307" t="s">
        <v>992</v>
      </c>
      <c r="C34" s="452">
        <v>2227</v>
      </c>
      <c r="D34" s="452">
        <v>3000</v>
      </c>
      <c r="E34" s="306">
        <v>2200</v>
      </c>
    </row>
    <row r="35" spans="2:5">
      <c r="B35" s="307" t="s">
        <v>993</v>
      </c>
      <c r="C35" s="452">
        <v>23814</v>
      </c>
      <c r="D35" s="452">
        <v>25000</v>
      </c>
      <c r="E35" s="306">
        <v>25000</v>
      </c>
    </row>
    <row r="36" spans="2:5">
      <c r="B36" s="307" t="s">
        <v>994</v>
      </c>
      <c r="C36" s="452">
        <v>790</v>
      </c>
      <c r="D36" s="452">
        <v>350</v>
      </c>
      <c r="E36" s="306">
        <v>350</v>
      </c>
    </row>
    <row r="37" spans="2:5">
      <c r="B37" s="307" t="s">
        <v>995</v>
      </c>
      <c r="C37" s="452">
        <v>11176</v>
      </c>
      <c r="D37" s="452">
        <v>11000</v>
      </c>
      <c r="E37" s="306">
        <v>11000</v>
      </c>
    </row>
    <row r="38" spans="2:5">
      <c r="B38" s="307" t="s">
        <v>996</v>
      </c>
      <c r="C38" s="452">
        <v>345688</v>
      </c>
      <c r="D38" s="452">
        <v>281697</v>
      </c>
      <c r="E38" s="306">
        <v>277766</v>
      </c>
    </row>
    <row r="39" spans="2:5">
      <c r="B39" s="307" t="s">
        <v>997</v>
      </c>
      <c r="C39" s="452">
        <v>1311</v>
      </c>
      <c r="D39" s="452">
        <v>0</v>
      </c>
      <c r="E39" s="306">
        <v>0</v>
      </c>
    </row>
    <row r="40" spans="2:5">
      <c r="B40" s="307" t="s">
        <v>998</v>
      </c>
      <c r="C40" s="452">
        <v>2325</v>
      </c>
      <c r="D40" s="452">
        <v>2000</v>
      </c>
      <c r="E40" s="306">
        <v>2000</v>
      </c>
    </row>
    <row r="41" spans="2:5">
      <c r="B41" s="307" t="s">
        <v>999</v>
      </c>
      <c r="C41" s="452">
        <v>7161</v>
      </c>
      <c r="D41" s="452">
        <v>7095</v>
      </c>
      <c r="E41" s="306"/>
    </row>
    <row r="42" spans="2:5">
      <c r="B42" s="307" t="s">
        <v>1000</v>
      </c>
      <c r="C42" s="452">
        <v>15380</v>
      </c>
      <c r="D42" s="452">
        <v>10000</v>
      </c>
      <c r="E42" s="306">
        <v>15000</v>
      </c>
    </row>
    <row r="43" spans="2:5">
      <c r="B43" s="307" t="s">
        <v>1001</v>
      </c>
      <c r="C43" s="452">
        <v>43327</v>
      </c>
      <c r="D43" s="452">
        <v>10000</v>
      </c>
      <c r="E43" s="306">
        <v>10000</v>
      </c>
    </row>
    <row r="44" spans="2:5">
      <c r="B44" s="307" t="s">
        <v>1002</v>
      </c>
      <c r="C44" s="452">
        <v>0</v>
      </c>
      <c r="D44" s="452">
        <v>0</v>
      </c>
      <c r="E44" s="306">
        <v>0</v>
      </c>
    </row>
    <row r="45" spans="2:5">
      <c r="B45" s="307" t="s">
        <v>1003</v>
      </c>
      <c r="C45" s="452">
        <v>64988</v>
      </c>
      <c r="D45" s="452">
        <v>60000</v>
      </c>
      <c r="E45" s="306">
        <v>60000</v>
      </c>
    </row>
    <row r="46" spans="2:5">
      <c r="B46" s="307" t="s">
        <v>1004</v>
      </c>
      <c r="C46" s="452">
        <v>3525</v>
      </c>
      <c r="D46" s="452">
        <v>120</v>
      </c>
      <c r="E46" s="306">
        <v>0</v>
      </c>
    </row>
    <row r="47" spans="2:5">
      <c r="B47" s="307" t="s">
        <v>1005</v>
      </c>
      <c r="C47" s="452">
        <v>250</v>
      </c>
      <c r="D47" s="452">
        <v>0</v>
      </c>
      <c r="E47" s="306">
        <v>0</v>
      </c>
    </row>
    <row r="48" spans="2:5">
      <c r="B48" s="307" t="s">
        <v>1068</v>
      </c>
      <c r="C48" s="452">
        <v>48672</v>
      </c>
      <c r="D48" s="452">
        <v>0</v>
      </c>
      <c r="E48" s="306">
        <v>0</v>
      </c>
    </row>
    <row r="49" spans="2:5">
      <c r="B49" s="307" t="s">
        <v>1069</v>
      </c>
      <c r="C49" s="452">
        <v>0</v>
      </c>
      <c r="D49" s="452">
        <v>0</v>
      </c>
      <c r="E49" s="306">
        <v>8343</v>
      </c>
    </row>
    <row r="50" spans="2:5">
      <c r="B50" s="307" t="s">
        <v>1070</v>
      </c>
      <c r="C50" s="452">
        <v>0</v>
      </c>
      <c r="D50" s="452">
        <v>0</v>
      </c>
      <c r="E50" s="306">
        <v>28587</v>
      </c>
    </row>
    <row r="51" spans="2:5">
      <c r="B51" s="727" t="s">
        <v>1071</v>
      </c>
      <c r="C51" s="452">
        <v>0</v>
      </c>
      <c r="D51" s="452">
        <v>0</v>
      </c>
      <c r="E51" s="306">
        <v>97625</v>
      </c>
    </row>
    <row r="52" spans="2:5">
      <c r="B52" s="727" t="s">
        <v>1072</v>
      </c>
      <c r="C52" s="452">
        <v>0</v>
      </c>
      <c r="D52" s="452">
        <v>0</v>
      </c>
      <c r="E52" s="306">
        <v>17878</v>
      </c>
    </row>
    <row r="53" spans="2:5">
      <c r="B53" s="728" t="s">
        <v>1073</v>
      </c>
      <c r="C53" s="452">
        <v>0</v>
      </c>
      <c r="D53" s="452">
        <v>0</v>
      </c>
      <c r="E53" s="306">
        <v>35198</v>
      </c>
    </row>
    <row r="54" spans="2:5">
      <c r="B54" s="729" t="s">
        <v>73</v>
      </c>
      <c r="C54" s="452">
        <v>1984</v>
      </c>
      <c r="D54" s="452">
        <v>0</v>
      </c>
      <c r="E54" s="306">
        <v>0</v>
      </c>
    </row>
    <row r="55" spans="2:5">
      <c r="B55" s="309" t="s">
        <v>681</v>
      </c>
      <c r="C55" s="453" t="str">
        <f>IF(C56*0.1&lt;C54,"Exceed 10% Rule","")</f>
        <v/>
      </c>
      <c r="D55" s="453" t="str">
        <f>IF(D56*0.1&lt;D54,"Exceed 10% Rule","")</f>
        <v/>
      </c>
      <c r="E55" s="344" t="str">
        <f>IF(E56*0.1+E124&lt;E54,"Exceed 10% Rule","")</f>
        <v/>
      </c>
    </row>
    <row r="56" spans="2:5">
      <c r="B56" s="311" t="s">
        <v>165</v>
      </c>
      <c r="C56" s="454">
        <f>SUM(C8:C54)</f>
        <v>7147366</v>
      </c>
      <c r="D56" s="454">
        <f>SUM(D8:D54)</f>
        <v>7066682</v>
      </c>
      <c r="E56" s="352">
        <f>SUM(E9:E54)</f>
        <v>3501924</v>
      </c>
    </row>
    <row r="57" spans="2:5">
      <c r="B57" s="311" t="s">
        <v>166</v>
      </c>
      <c r="C57" s="454">
        <f>C6+C56</f>
        <v>7904926</v>
      </c>
      <c r="D57" s="454">
        <f>D6+D56</f>
        <v>8293910</v>
      </c>
      <c r="E57" s="352">
        <f>E6+E56</f>
        <v>4584478</v>
      </c>
    </row>
    <row r="58" spans="2:5">
      <c r="B58" s="85"/>
      <c r="C58" s="228"/>
      <c r="D58" s="228"/>
      <c r="E58" s="228"/>
    </row>
    <row r="59" spans="2:5">
      <c r="B59" s="781" t="s">
        <v>290</v>
      </c>
      <c r="C59" s="781"/>
      <c r="D59" s="781"/>
      <c r="E59" s="781"/>
    </row>
    <row r="60" spans="2:5">
      <c r="B60" s="228" t="str">
        <f>inputPrYr!C2</f>
        <v>Franklin County</v>
      </c>
      <c r="C60" s="228"/>
      <c r="D60" s="228"/>
      <c r="E60" s="286">
        <f>inputPrYr!C4</f>
        <v>2013</v>
      </c>
    </row>
    <row r="61" spans="2:5">
      <c r="B61" s="85"/>
      <c r="C61" s="228"/>
      <c r="D61" s="228"/>
      <c r="E61" s="240"/>
    </row>
    <row r="62" spans="2:5">
      <c r="B62" s="313" t="s">
        <v>234</v>
      </c>
      <c r="C62" s="314"/>
      <c r="D62" s="314"/>
      <c r="E62" s="314"/>
    </row>
    <row r="63" spans="2:5">
      <c r="B63" s="85" t="s">
        <v>159</v>
      </c>
      <c r="C63" s="703" t="s">
        <v>841</v>
      </c>
      <c r="D63" s="704" t="s">
        <v>842</v>
      </c>
      <c r="E63" s="215" t="s">
        <v>843</v>
      </c>
    </row>
    <row r="64" spans="2:5">
      <c r="B64" s="114" t="s">
        <v>168</v>
      </c>
      <c r="C64" s="455" t="str">
        <f>CONCATENATE("Actual for ",E60-2,"")</f>
        <v>Actual for 2011</v>
      </c>
      <c r="D64" s="455" t="str">
        <f>CONCATENATE("Estimate for ",E60-1,"")</f>
        <v>Estimate for 2012</v>
      </c>
      <c r="E64" s="302" t="str">
        <f>CONCATENATE("Year for ",E60,"")</f>
        <v>Year for 2013</v>
      </c>
    </row>
    <row r="65" spans="2:5">
      <c r="B65" s="311" t="s">
        <v>166</v>
      </c>
      <c r="C65" s="456">
        <f>C57</f>
        <v>7904926</v>
      </c>
      <c r="D65" s="456">
        <f>D57</f>
        <v>8293910</v>
      </c>
      <c r="E65" s="265">
        <f>E57</f>
        <v>4584478</v>
      </c>
    </row>
    <row r="66" spans="2:5">
      <c r="B66" s="303" t="s">
        <v>169</v>
      </c>
      <c r="C66" s="456"/>
      <c r="D66" s="456"/>
      <c r="E66" s="265"/>
    </row>
    <row r="67" spans="2:5">
      <c r="B67" s="305" t="str">
        <f>'General Fund Expd.'!A7</f>
        <v>County Commission</v>
      </c>
      <c r="C67" s="456">
        <f>'General Fund Expd.'!B13</f>
        <v>605595</v>
      </c>
      <c r="D67" s="456">
        <f>'General Fund Expd.'!C13</f>
        <v>540005</v>
      </c>
      <c r="E67" s="265">
        <f>'General Fund Expd.'!D13</f>
        <v>549494</v>
      </c>
    </row>
    <row r="68" spans="2:5">
      <c r="B68" s="305" t="str">
        <f>'General Fund Expd.'!A14</f>
        <v>County Clerk</v>
      </c>
      <c r="C68" s="456">
        <f>'General Fund Expd.'!B20</f>
        <v>137327</v>
      </c>
      <c r="D68" s="456">
        <f>'General Fund Expd.'!C20</f>
        <v>146281</v>
      </c>
      <c r="E68" s="265">
        <f>'General Fund Expd.'!D20</f>
        <v>149351</v>
      </c>
    </row>
    <row r="69" spans="2:5">
      <c r="B69" s="305" t="str">
        <f>'General Fund Expd.'!A21</f>
        <v>County Treasurer</v>
      </c>
      <c r="C69" s="456">
        <f>'General Fund Expd.'!B27</f>
        <v>164982</v>
      </c>
      <c r="D69" s="456">
        <f>'General Fund Expd.'!C27</f>
        <v>171216</v>
      </c>
      <c r="E69" s="265">
        <f>'General Fund Expd.'!D27</f>
        <v>175623</v>
      </c>
    </row>
    <row r="70" spans="2:5">
      <c r="B70" s="305" t="str">
        <f>'General Fund Expd.'!A28</f>
        <v>County Attorney</v>
      </c>
      <c r="C70" s="456">
        <f>'General Fund Expd.'!B34</f>
        <v>437393</v>
      </c>
      <c r="D70" s="456">
        <f>'General Fund Expd.'!C34</f>
        <v>443182</v>
      </c>
      <c r="E70" s="265">
        <f>'General Fund Expd.'!D34</f>
        <v>456534</v>
      </c>
    </row>
    <row r="71" spans="2:5">
      <c r="B71" s="305" t="str">
        <f>'General Fund Expd.'!A35</f>
        <v>Register of Deeds</v>
      </c>
      <c r="C71" s="456">
        <f>'General Fund Expd.'!B40</f>
        <v>120843</v>
      </c>
      <c r="D71" s="456">
        <f>'General Fund Expd.'!C40</f>
        <v>123754</v>
      </c>
      <c r="E71" s="265">
        <f>'General Fund Expd.'!D40</f>
        <v>126695</v>
      </c>
    </row>
    <row r="72" spans="2:5">
      <c r="B72" s="305" t="str">
        <f>'General Fund Expd.'!A41</f>
        <v>Sheriff</v>
      </c>
      <c r="C72" s="456">
        <f>'General Fund Expd.'!B47</f>
        <v>1553954</v>
      </c>
      <c r="D72" s="456">
        <f>'General Fund Expd.'!C47</f>
        <v>1541702</v>
      </c>
      <c r="E72" s="265">
        <f>'General Fund Expd.'!D47</f>
        <v>1594029</v>
      </c>
    </row>
    <row r="73" spans="2:5">
      <c r="B73" s="305" t="str">
        <f>'General Fund Expd.'!A48</f>
        <v>District Court</v>
      </c>
      <c r="C73" s="456">
        <f>'General Fund Expd.'!B54</f>
        <v>271924</v>
      </c>
      <c r="D73" s="456">
        <f>'General Fund Expd.'!C54</f>
        <v>270171</v>
      </c>
      <c r="E73" s="265">
        <f>'General Fund Expd.'!D54</f>
        <v>270467</v>
      </c>
    </row>
    <row r="74" spans="2:5">
      <c r="B74" s="305" t="str">
        <f>'General Fund Expd.'!A55</f>
        <v>County Building &amp; Grouds</v>
      </c>
      <c r="C74" s="456">
        <f>'General Fund Expd.'!B60</f>
        <v>354133</v>
      </c>
      <c r="D74" s="456">
        <f>'General Fund Expd.'!C60</f>
        <v>395849</v>
      </c>
      <c r="E74" s="265">
        <f>'General Fund Expd.'!D60</f>
        <v>410383</v>
      </c>
    </row>
    <row r="75" spans="2:5">
      <c r="B75" s="305" t="str">
        <f>'General Fund Expd.'!A72</f>
        <v>Emergency Management</v>
      </c>
      <c r="C75" s="456">
        <f>'General Fund Expd.'!B78</f>
        <v>98470</v>
      </c>
      <c r="D75" s="456">
        <f>'General Fund Expd.'!C78</f>
        <v>131035</v>
      </c>
      <c r="E75" s="265">
        <f>'General Fund Expd.'!D78</f>
        <v>141855</v>
      </c>
    </row>
    <row r="76" spans="2:5">
      <c r="B76" s="305" t="str">
        <f>'General Fund Expd.'!A79</f>
        <v>County Jail</v>
      </c>
      <c r="C76" s="456">
        <f>'General Fund Expd.'!B85</f>
        <v>753606</v>
      </c>
      <c r="D76" s="456">
        <f>'General Fund Expd.'!C85</f>
        <v>857477</v>
      </c>
      <c r="E76" s="265">
        <f>'General Fund Expd.'!D85</f>
        <v>912290</v>
      </c>
    </row>
    <row r="77" spans="2:5">
      <c r="B77" s="305" t="str">
        <f>'General Fund Expd.'!A86</f>
        <v>Planning &amp; Building</v>
      </c>
      <c r="C77" s="456">
        <f>'General Fund Expd.'!B92</f>
        <v>165129</v>
      </c>
      <c r="D77" s="456">
        <f>'General Fund Expd.'!C92</f>
        <v>174495</v>
      </c>
      <c r="E77" s="265">
        <f>'General Fund Expd.'!D92</f>
        <v>178914</v>
      </c>
    </row>
    <row r="78" spans="2:5">
      <c r="B78" s="305" t="str">
        <f>'General Fund Expd.'!A93</f>
        <v>Capital Outlay</v>
      </c>
      <c r="C78" s="456">
        <f>'General Fund Expd.'!B95</f>
        <v>0</v>
      </c>
      <c r="D78" s="456">
        <f>'General Fund Expd.'!C95</f>
        <v>100000</v>
      </c>
      <c r="E78" s="265">
        <f>'General Fund Expd.'!D95</f>
        <v>210000</v>
      </c>
    </row>
    <row r="79" spans="2:5">
      <c r="B79" s="305" t="str">
        <f>'General Fund Expd.'!A96</f>
        <v>District Wide Court</v>
      </c>
      <c r="C79" s="456">
        <f>'General Fund Expd.'!B100</f>
        <v>25964</v>
      </c>
      <c r="D79" s="456">
        <f>'General Fund Expd.'!C100</f>
        <v>33875</v>
      </c>
      <c r="E79" s="265">
        <f>'General Fund Expd.'!D100</f>
        <v>34561</v>
      </c>
    </row>
    <row r="80" spans="2:5">
      <c r="B80" s="305" t="str">
        <f>'General Fund Expd.'!A101</f>
        <v>Appraisal</v>
      </c>
      <c r="C80" s="456">
        <f>'General Fund Expd.'!B107</f>
        <v>328010</v>
      </c>
      <c r="D80" s="456">
        <f>'General Fund Expd.'!C107</f>
        <v>334956</v>
      </c>
      <c r="E80" s="265">
        <f>'General Fund Expd.'!D107</f>
        <v>345937</v>
      </c>
    </row>
    <row r="81" spans="2:5">
      <c r="B81" s="305" t="str">
        <f>'General Fund Expd.'!A108</f>
        <v>Economic Development</v>
      </c>
      <c r="C81" s="456">
        <f>'General Fund Expd.'!B110</f>
        <v>45000</v>
      </c>
      <c r="D81" s="456">
        <f>'General Fund Expd.'!C110</f>
        <v>50000</v>
      </c>
      <c r="E81" s="265">
        <f>'General Fund Expd.'!D110</f>
        <v>60000</v>
      </c>
    </row>
    <row r="82" spans="2:5">
      <c r="B82" s="305" t="str">
        <f>'General Fund Expd.'!A111</f>
        <v>Administration</v>
      </c>
      <c r="C82" s="456">
        <f>'General Fund Expd.'!B117</f>
        <v>179600</v>
      </c>
      <c r="D82" s="456">
        <f>'General Fund Expd.'!C117</f>
        <v>210862</v>
      </c>
      <c r="E82" s="265">
        <f>'General Fund Expd.'!D117</f>
        <v>249912</v>
      </c>
    </row>
    <row r="83" spans="2:5">
      <c r="B83" s="305" t="str">
        <f>'General Fund Expd.'!A128</f>
        <v xml:space="preserve">Storage Facility  </v>
      </c>
      <c r="C83" s="456">
        <f>'General Fund Expd.'!B131</f>
        <v>9046</v>
      </c>
      <c r="D83" s="456">
        <f>'General Fund Expd.'!C131</f>
        <v>11900</v>
      </c>
      <c r="E83" s="265">
        <f>'General Fund Expd.'!D131</f>
        <v>11900</v>
      </c>
    </row>
    <row r="84" spans="2:5">
      <c r="B84" s="305" t="str">
        <f>'General Fund Expd.'!A132</f>
        <v>Emergency 911</v>
      </c>
      <c r="C84" s="456">
        <f>'General Fund Expd.'!B138</f>
        <v>553823</v>
      </c>
      <c r="D84" s="456">
        <f>'General Fund Expd.'!C138</f>
        <v>556721</v>
      </c>
      <c r="E84" s="265">
        <f>'General Fund Expd.'!D138</f>
        <v>567089</v>
      </c>
    </row>
    <row r="85" spans="2:5">
      <c r="B85" s="305" t="str">
        <f>'General Fund Expd.'!A139</f>
        <v>Information Technology</v>
      </c>
      <c r="C85" s="456">
        <f>'General Fund Expd.'!B144</f>
        <v>149144</v>
      </c>
      <c r="D85" s="456">
        <f>'General Fund Expd.'!C144</f>
        <v>161303</v>
      </c>
      <c r="E85" s="265">
        <f>'General Fund Expd.'!D144</f>
        <v>166478</v>
      </c>
    </row>
    <row r="86" spans="2:5">
      <c r="B86" s="305" t="str">
        <f>'General Fund Expd.'!A145</f>
        <v>Technology Services</v>
      </c>
      <c r="C86" s="456">
        <f>'General Fund Expd.'!B150</f>
        <v>224334</v>
      </c>
      <c r="D86" s="456">
        <f>'General Fund Expd.'!C150</f>
        <v>248685</v>
      </c>
      <c r="E86" s="265">
        <f>'General Fund Expd.'!D150</f>
        <v>268635</v>
      </c>
    </row>
    <row r="87" spans="2:5">
      <c r="B87" s="305" t="str">
        <f>'General Fund Expd.'!A151</f>
        <v>Environmental Health</v>
      </c>
      <c r="C87" s="456">
        <f>'General Fund Expd.'!B155</f>
        <v>87492</v>
      </c>
      <c r="D87" s="456">
        <f>'General Fund Expd.'!C155</f>
        <v>87171</v>
      </c>
      <c r="E87" s="265">
        <f>'General Fund Expd.'!D155</f>
        <v>89426</v>
      </c>
    </row>
    <row r="88" spans="2:5">
      <c r="B88" s="305" t="str">
        <f>'General Fund Expd.'!A156</f>
        <v>Juvenile Services</v>
      </c>
      <c r="C88" s="456">
        <f>'General Fund Expd.'!B162</f>
        <v>411929</v>
      </c>
      <c r="D88" s="456">
        <f>'General Fund Expd.'!C162</f>
        <v>620716</v>
      </c>
      <c r="E88" s="265">
        <f>'General Fund Expd.'!D162</f>
        <v>619025</v>
      </c>
    </row>
    <row r="89" spans="2:5">
      <c r="B89" s="305" t="str">
        <f>'General Fund Expd.'!A163</f>
        <v xml:space="preserve">Mental Health </v>
      </c>
      <c r="C89" s="456">
        <f>'General Fund Expd.'!B168</f>
        <v>0</v>
      </c>
      <c r="D89" s="456">
        <f>'General Fund Expd.'!C168</f>
        <v>0</v>
      </c>
      <c r="E89" s="265">
        <f>'General Fund Expd.'!D168</f>
        <v>158340</v>
      </c>
    </row>
    <row r="90" spans="2:5">
      <c r="B90" s="305" t="str">
        <f>'General Fund Expd.'!A169</f>
        <v>Developmental Disabilities</v>
      </c>
      <c r="C90" s="456">
        <f>'General Fund Expd.'!B174</f>
        <v>0</v>
      </c>
      <c r="D90" s="456">
        <f>'General Fund Expd.'!C174</f>
        <v>0</v>
      </c>
      <c r="E90" s="265">
        <f>'General Fund Expd.'!D174</f>
        <v>95000</v>
      </c>
    </row>
    <row r="91" spans="2:5">
      <c r="B91" s="305" t="str">
        <f>'General Fund Expd.'!A185</f>
        <v>Services for the Elderly - Transportation Services</v>
      </c>
      <c r="C91" s="456">
        <f>'General Fund Expd.'!B190</f>
        <v>0</v>
      </c>
      <c r="D91" s="456">
        <f>'General Fund Expd.'!C190</f>
        <v>0</v>
      </c>
      <c r="E91" s="265">
        <f>'General Fund Expd.'!D190</f>
        <v>193975</v>
      </c>
    </row>
    <row r="92" spans="2:5">
      <c r="B92" s="305" t="str">
        <f>'General Fund Expd.'!A191</f>
        <v>Conservation</v>
      </c>
      <c r="C92" s="456">
        <f>'General Fund Expd.'!B196</f>
        <v>0</v>
      </c>
      <c r="D92" s="456">
        <f>'General Fund Expd.'!C196</f>
        <v>0</v>
      </c>
      <c r="E92" s="265">
        <f>'General Fund Expd.'!D196</f>
        <v>43780</v>
      </c>
    </row>
    <row r="93" spans="2:5">
      <c r="B93" s="305">
        <f>'General Fund Expd.'!A197</f>
        <v>0</v>
      </c>
      <c r="C93" s="456">
        <f>'General Fund Expd.'!B202</f>
        <v>0</v>
      </c>
      <c r="D93" s="456">
        <f>'General Fund Expd.'!C202</f>
        <v>0</v>
      </c>
      <c r="E93" s="265">
        <f>'General Fund Expd.'!D202</f>
        <v>0</v>
      </c>
    </row>
    <row r="94" spans="2:5">
      <c r="B94" s="305">
        <f>'General Fund Expd.'!A203</f>
        <v>0</v>
      </c>
      <c r="C94" s="456">
        <f>'General Fund Expd.'!B208</f>
        <v>0</v>
      </c>
      <c r="D94" s="456">
        <f>'General Fund Expd.'!C208</f>
        <v>0</v>
      </c>
      <c r="E94" s="265">
        <f>'General Fund Expd.'!D208</f>
        <v>0</v>
      </c>
    </row>
    <row r="95" spans="2:5">
      <c r="B95" s="305">
        <f>'General Fund Expd.'!A209</f>
        <v>0</v>
      </c>
      <c r="C95" s="456">
        <f>'General Fund Expd.'!B214</f>
        <v>0</v>
      </c>
      <c r="D95" s="456">
        <f>'General Fund Expd.'!C214</f>
        <v>0</v>
      </c>
      <c r="E95" s="265">
        <f>'General Fund Expd.'!D214</f>
        <v>0</v>
      </c>
    </row>
    <row r="96" spans="2:5">
      <c r="B96" s="305">
        <f>'General Fund Expd.'!A215</f>
        <v>0</v>
      </c>
      <c r="C96" s="456">
        <f>'General Fund Expd.'!B220</f>
        <v>0</v>
      </c>
      <c r="D96" s="456">
        <f>'General Fund Expd.'!C220</f>
        <v>0</v>
      </c>
      <c r="E96" s="265">
        <f>'General Fund Expd.'!D220</f>
        <v>0</v>
      </c>
    </row>
    <row r="97" spans="2:10">
      <c r="B97" s="305">
        <f>'General Fund Expd.'!A221</f>
        <v>0</v>
      </c>
      <c r="C97" s="456">
        <f>'General Fund Expd.'!B222</f>
        <v>0</v>
      </c>
      <c r="D97" s="456">
        <f>'General Fund Expd.'!C222</f>
        <v>0</v>
      </c>
      <c r="E97" s="265">
        <f>'General Fund Expd.'!D222</f>
        <v>0</v>
      </c>
    </row>
    <row r="98" spans="2:10">
      <c r="B98" s="305">
        <f>'General Fund Expd.'!A224</f>
        <v>0</v>
      </c>
      <c r="C98" s="456">
        <f>'General Fund Expd.'!B229</f>
        <v>0</v>
      </c>
      <c r="D98" s="456">
        <f>'General Fund Expd.'!C229</f>
        <v>0</v>
      </c>
      <c r="E98" s="265">
        <f>'General Fund Expd.'!D229</f>
        <v>0</v>
      </c>
    </row>
    <row r="99" spans="2:10">
      <c r="B99" s="305">
        <f>'General Fund Expd.'!A230</f>
        <v>0</v>
      </c>
      <c r="C99" s="456">
        <f>'General Fund Expd.'!B235</f>
        <v>0</v>
      </c>
      <c r="D99" s="456">
        <f>'General Fund Expd.'!C235</f>
        <v>0</v>
      </c>
      <c r="E99" s="265">
        <f>'General Fund Expd.'!D235</f>
        <v>0</v>
      </c>
    </row>
    <row r="100" spans="2:10">
      <c r="B100" s="305">
        <f>'General Fund Expd.'!A246</f>
        <v>0</v>
      </c>
      <c r="C100" s="456">
        <f>'General Fund Expd.'!B251</f>
        <v>0</v>
      </c>
      <c r="D100" s="456">
        <f>'General Fund Expd.'!C251</f>
        <v>0</v>
      </c>
      <c r="E100" s="265">
        <f>'General Fund Expd.'!D251</f>
        <v>0</v>
      </c>
    </row>
    <row r="101" spans="2:10">
      <c r="B101" s="305">
        <f>'General Fund Expd.'!A252</f>
        <v>0</v>
      </c>
      <c r="C101" s="456">
        <f>'General Fund Expd.'!B257</f>
        <v>0</v>
      </c>
      <c r="D101" s="456">
        <f>'General Fund Expd.'!C257</f>
        <v>0</v>
      </c>
      <c r="E101" s="265">
        <f>'General Fund Expd.'!D257</f>
        <v>0</v>
      </c>
    </row>
    <row r="102" spans="2:10">
      <c r="B102" s="305">
        <f>'General Fund Expd.'!A258</f>
        <v>0</v>
      </c>
      <c r="C102" s="456">
        <f>'General Fund Expd.'!B263</f>
        <v>0</v>
      </c>
      <c r="D102" s="456">
        <f>'General Fund Expd.'!C263</f>
        <v>0</v>
      </c>
      <c r="E102" s="265">
        <f>'General Fund Expd.'!D263</f>
        <v>0</v>
      </c>
    </row>
    <row r="103" spans="2:10">
      <c r="B103" s="305">
        <f>'General Fund Expd.'!A264</f>
        <v>0</v>
      </c>
      <c r="C103" s="456">
        <f>'General Fund Expd.'!B269</f>
        <v>0</v>
      </c>
      <c r="D103" s="456">
        <f>'General Fund Expd.'!C269</f>
        <v>0</v>
      </c>
      <c r="E103" s="265">
        <f>'General Fund Expd.'!D269</f>
        <v>0</v>
      </c>
    </row>
    <row r="104" spans="2:10">
      <c r="B104" s="305">
        <f>'General Fund Expd.'!A270</f>
        <v>0</v>
      </c>
      <c r="C104" s="456">
        <f>'General Fund Expd.'!B273</f>
        <v>0</v>
      </c>
      <c r="D104" s="456">
        <f>'General Fund Expd.'!C273</f>
        <v>0</v>
      </c>
      <c r="E104" s="265">
        <f>'General Fund Expd.'!D273</f>
        <v>0</v>
      </c>
    </row>
    <row r="105" spans="2:10">
      <c r="B105" s="305">
        <f>'General Fund Expd.'!A274</f>
        <v>0</v>
      </c>
      <c r="C105" s="456">
        <f>'General Fund Expd.'!B279</f>
        <v>0</v>
      </c>
      <c r="D105" s="456">
        <f>'General Fund Expd.'!C279</f>
        <v>0</v>
      </c>
      <c r="E105" s="265">
        <f>'General Fund Expd.'!D279</f>
        <v>0</v>
      </c>
    </row>
    <row r="106" spans="2:10">
      <c r="B106" s="305">
        <f>'General Fund Expd.'!A280</f>
        <v>0</v>
      </c>
      <c r="C106" s="456">
        <f>'General Fund Expd.'!B285</f>
        <v>0</v>
      </c>
      <c r="D106" s="456">
        <f>'General Fund Expd.'!C285</f>
        <v>0</v>
      </c>
      <c r="E106" s="265">
        <f>'General Fund Expd.'!D285</f>
        <v>0</v>
      </c>
    </row>
    <row r="107" spans="2:10">
      <c r="B107" s="316" t="s">
        <v>28</v>
      </c>
      <c r="C107" s="485">
        <f>SUM(C67:C106)</f>
        <v>6677698</v>
      </c>
      <c r="D107" s="485">
        <f>SUM(D67:D106)</f>
        <v>7211356</v>
      </c>
      <c r="E107" s="348">
        <f>SUM(E67:E106)</f>
        <v>8079693</v>
      </c>
    </row>
    <row r="108" spans="2:10">
      <c r="B108" s="318"/>
      <c r="C108" s="452"/>
      <c r="D108" s="452"/>
      <c r="E108" s="112"/>
    </row>
    <row r="109" spans="2:10">
      <c r="B109" s="318"/>
      <c r="C109" s="452"/>
      <c r="D109" s="452"/>
      <c r="E109" s="112"/>
      <c r="G109" s="784" t="str">
        <f>CONCATENATE("Desired Carryover Into ",E1+1,"")</f>
        <v>Desired Carryover Into 2014</v>
      </c>
      <c r="H109" s="785"/>
      <c r="I109" s="785"/>
      <c r="J109" s="786"/>
    </row>
    <row r="110" spans="2:10">
      <c r="B110" s="318"/>
      <c r="C110" s="452"/>
      <c r="D110" s="452"/>
      <c r="E110" s="112"/>
      <c r="G110" s="650"/>
      <c r="H110" s="651"/>
      <c r="I110" s="652"/>
      <c r="J110" s="653"/>
    </row>
    <row r="111" spans="2:10">
      <c r="B111" s="318"/>
      <c r="C111" s="452"/>
      <c r="D111" s="452"/>
      <c r="E111" s="112"/>
      <c r="G111" s="654" t="s">
        <v>687</v>
      </c>
      <c r="H111" s="652"/>
      <c r="I111" s="652"/>
      <c r="J111" s="655">
        <v>0</v>
      </c>
    </row>
    <row r="112" spans="2:10">
      <c r="B112" s="318"/>
      <c r="C112" s="452"/>
      <c r="D112" s="452"/>
      <c r="E112" s="112"/>
      <c r="G112" s="650" t="s">
        <v>688</v>
      </c>
      <c r="H112" s="651"/>
      <c r="I112" s="651"/>
      <c r="J112" s="656" t="str">
        <f>IF(J111=0,"",ROUND((J111+E124-G124)/inputOth!E6*1000,3)-G129)</f>
        <v/>
      </c>
    </row>
    <row r="113" spans="2:11">
      <c r="B113" s="318"/>
      <c r="C113" s="452"/>
      <c r="D113" s="452"/>
      <c r="E113" s="112"/>
      <c r="G113" s="657" t="str">
        <f>CONCATENATE("",E1," Tot Exp/Non-Appr Must Be:")</f>
        <v>2013 Tot Exp/Non-Appr Must Be:</v>
      </c>
      <c r="H113" s="658"/>
      <c r="I113" s="659"/>
      <c r="J113" s="660">
        <f>IF(J111&gt;0,IF(E121&lt;E57,IF(J111=G124,E121,((J111-G124)*(1-D123))+E57),E121+(J111-G124)),0)</f>
        <v>0</v>
      </c>
    </row>
    <row r="114" spans="2:11">
      <c r="B114" s="309" t="s">
        <v>75</v>
      </c>
      <c r="C114" s="452"/>
      <c r="D114" s="452"/>
      <c r="E114" s="120">
        <f>Nhood!$E6</f>
        <v>10215</v>
      </c>
      <c r="G114" s="661" t="s">
        <v>839</v>
      </c>
      <c r="H114" s="662"/>
      <c r="I114" s="662"/>
      <c r="J114" s="663">
        <f>IF(J111&gt;0,J113-E121,0)</f>
        <v>0</v>
      </c>
    </row>
    <row r="115" spans="2:11">
      <c r="B115" s="309" t="s">
        <v>73</v>
      </c>
      <c r="C115" s="452"/>
      <c r="D115" s="452"/>
      <c r="E115" s="112"/>
    </row>
    <row r="116" spans="2:11">
      <c r="B116" s="309" t="s">
        <v>680</v>
      </c>
      <c r="C116" s="453" t="str">
        <f>IF(C117*0.1&lt;C115,"Exceed 10% Rule","")</f>
        <v/>
      </c>
      <c r="D116" s="453" t="str">
        <f>IF(D117*0.1&lt;D115,"Exceed 10% Rule","")</f>
        <v/>
      </c>
      <c r="E116" s="344" t="str">
        <f>IF(E117*0.1&lt;E115,"Exceed 10% Rule","")</f>
        <v/>
      </c>
      <c r="G116" s="778" t="str">
        <f>CONCATENATE("Projected Carryover Into ",E1+1,"")</f>
        <v>Projected Carryover Into 2014</v>
      </c>
      <c r="H116" s="779"/>
      <c r="I116" s="779"/>
      <c r="J116" s="780"/>
    </row>
    <row r="117" spans="2:11">
      <c r="B117" s="311" t="s">
        <v>170</v>
      </c>
      <c r="C117" s="454">
        <f>SUM(C107:C115)</f>
        <v>6677698</v>
      </c>
      <c r="D117" s="454">
        <f>SUM(D107:D115)</f>
        <v>7211356</v>
      </c>
      <c r="E117" s="352">
        <f>SUM(E107:E115)</f>
        <v>8089908</v>
      </c>
      <c r="G117" s="517"/>
      <c r="H117" s="516"/>
      <c r="I117" s="516"/>
      <c r="J117" s="518"/>
    </row>
    <row r="118" spans="2:11">
      <c r="B118" s="148" t="s">
        <v>281</v>
      </c>
      <c r="C118" s="457">
        <f>C57-C117</f>
        <v>1227228</v>
      </c>
      <c r="D118" s="457">
        <f>D57-D117</f>
        <v>1082554</v>
      </c>
      <c r="E118" s="221" t="s">
        <v>146</v>
      </c>
      <c r="G118" s="503">
        <f>D118</f>
        <v>1082554</v>
      </c>
      <c r="H118" s="501" t="str">
        <f>CONCATENATE("",E1-1," Ending Cash Balance (est.)")</f>
        <v>2012 Ending Cash Balance (est.)</v>
      </c>
      <c r="I118" s="500"/>
      <c r="J118" s="518"/>
    </row>
    <row r="119" spans="2:11">
      <c r="B119" s="287" t="str">
        <f>CONCATENATE("",E$1-2,"/",E$1-1," Budget Authority Amount:")</f>
        <v>2011/2012 Budget Authority Amount:</v>
      </c>
      <c r="C119" s="279">
        <f>inputOth!$B30</f>
        <v>7560588</v>
      </c>
      <c r="D119" s="279">
        <f>inputPrYr!$D16</f>
        <v>7337843</v>
      </c>
      <c r="E119" s="221" t="s">
        <v>146</v>
      </c>
      <c r="F119" s="320"/>
      <c r="G119" s="503">
        <f>E56</f>
        <v>3501924</v>
      </c>
      <c r="H119" s="499" t="str">
        <f>CONCATENATE("",E1," Non-AV Receipts (est.)")</f>
        <v>2013 Non-AV Receipts (est.)</v>
      </c>
      <c r="I119" s="500"/>
      <c r="J119" s="518"/>
    </row>
    <row r="120" spans="2:11">
      <c r="B120" s="287"/>
      <c r="C120" s="774" t="s">
        <v>684</v>
      </c>
      <c r="D120" s="775"/>
      <c r="E120" s="112"/>
      <c r="F120" s="502" t="str">
        <f>IF(E117/0.95-E117&lt;E120,"Exceeds 5%","")</f>
        <v/>
      </c>
      <c r="G120" s="498">
        <f>IF(E123&gt;0,E122,E124)</f>
        <v>3505430</v>
      </c>
      <c r="H120" s="499" t="str">
        <f>CONCATENATE("",E1," Ad Valorem Tax (est.)")</f>
        <v>2013 Ad Valorem Tax (est.)</v>
      </c>
      <c r="I120" s="500"/>
      <c r="J120" s="518"/>
      <c r="K120" s="666" t="str">
        <f>IF(G120=E124,"","Note: Does not include Delinquent Taxes")</f>
        <v>Note: Does not include Delinquent Taxes</v>
      </c>
    </row>
    <row r="121" spans="2:11">
      <c r="B121" s="506" t="str">
        <f>CONCATENATE(C136,"     ",D136)</f>
        <v xml:space="preserve">     </v>
      </c>
      <c r="C121" s="776" t="s">
        <v>685</v>
      </c>
      <c r="D121" s="777"/>
      <c r="E121" s="265">
        <f>E117+E120</f>
        <v>8089908</v>
      </c>
      <c r="G121" s="503">
        <f>SUM(G118:G120)</f>
        <v>8089908</v>
      </c>
      <c r="H121" s="499" t="str">
        <f>CONCATENATE("Total ",E1," Resources Available")</f>
        <v>Total 2013 Resources Available</v>
      </c>
      <c r="I121" s="500"/>
      <c r="J121" s="518"/>
    </row>
    <row r="122" spans="2:11">
      <c r="B122" s="506" t="str">
        <f>CONCATENATE(C137,"     ",D137)</f>
        <v xml:space="preserve">     </v>
      </c>
      <c r="C122" s="321"/>
      <c r="D122" s="240" t="s">
        <v>171</v>
      </c>
      <c r="E122" s="120">
        <f>IF(E121-E57&gt;0,E121-E57,0)</f>
        <v>3505430</v>
      </c>
      <c r="G122" s="497"/>
      <c r="H122" s="499"/>
      <c r="I122" s="499"/>
      <c r="J122" s="518"/>
    </row>
    <row r="123" spans="2:11">
      <c r="B123" s="287"/>
      <c r="C123" s="504" t="s">
        <v>686</v>
      </c>
      <c r="D123" s="649">
        <f>inputOth!$E$23</f>
        <v>0.05</v>
      </c>
      <c r="E123" s="265">
        <f>IF(D123&gt;0,(E122*D123),0)</f>
        <v>175271.5</v>
      </c>
      <c r="G123" s="498">
        <f>C117*0.05+C117</f>
        <v>7011582.9000000004</v>
      </c>
      <c r="H123" s="499" t="str">
        <f>CONCATENATE("Less ",E1-2," Expenditures + 5%")</f>
        <v>Less 2011 Expenditures + 5%</v>
      </c>
      <c r="I123" s="500"/>
      <c r="J123" s="518"/>
    </row>
    <row r="124" spans="2:11">
      <c r="B124" s="85"/>
      <c r="C124" s="782" t="str">
        <f>CONCATENATE("Amount of  ",$E$1-1," Ad Valorem Tax")</f>
        <v>Amount of  2012 Ad Valorem Tax</v>
      </c>
      <c r="D124" s="783"/>
      <c r="E124" s="348">
        <f>E122+E123</f>
        <v>3680701.5</v>
      </c>
      <c r="G124" s="496">
        <f>G121-G123</f>
        <v>1078325.0999999996</v>
      </c>
      <c r="H124" s="495" t="str">
        <f>CONCATENATE("Projected ",E1," Carryover (est.)")</f>
        <v>Projected 2013 Carryover (est.)</v>
      </c>
      <c r="I124" s="474"/>
      <c r="J124" s="473"/>
    </row>
    <row r="125" spans="2:11">
      <c r="B125" s="85"/>
      <c r="C125" s="85"/>
      <c r="D125" s="85"/>
      <c r="E125" s="85"/>
      <c r="G125" s="513"/>
      <c r="H125" s="513"/>
      <c r="I125" s="513"/>
      <c r="J125" s="513"/>
    </row>
    <row r="126" spans="2:11">
      <c r="B126" s="781" t="s">
        <v>291</v>
      </c>
      <c r="C126" s="781"/>
      <c r="D126" s="781"/>
      <c r="E126" s="781"/>
      <c r="G126" s="787" t="s">
        <v>840</v>
      </c>
      <c r="H126" s="788"/>
      <c r="I126" s="788"/>
      <c r="J126" s="789"/>
    </row>
    <row r="127" spans="2:11">
      <c r="G127" s="668"/>
      <c r="H127" s="669"/>
      <c r="I127" s="670"/>
      <c r="J127" s="671"/>
    </row>
    <row r="128" spans="2:11">
      <c r="G128" s="672">
        <f>summ!H16</f>
        <v>17.266999999999999</v>
      </c>
      <c r="H128" s="669" t="str">
        <f>CONCATENATE("",E1," Fund Mill Rate")</f>
        <v>2013 Fund Mill Rate</v>
      </c>
      <c r="I128" s="670"/>
      <c r="J128" s="671"/>
    </row>
    <row r="129" spans="3:10">
      <c r="G129" s="673">
        <f>summ!E16</f>
        <v>18.175999999999998</v>
      </c>
      <c r="H129" s="669" t="str">
        <f>CONCATENATE("",E1-1," Fund Mill Rate")</f>
        <v>2012 Fund Mill Rate</v>
      </c>
      <c r="I129" s="670"/>
      <c r="J129" s="671"/>
    </row>
    <row r="130" spans="3:10">
      <c r="G130" s="674">
        <f>summ!H61</f>
        <v>59.232000000000006</v>
      </c>
      <c r="H130" s="669" t="str">
        <f>CONCATENATE("Total ",E1," Mill Rate")</f>
        <v>Total 2013 Mill Rate</v>
      </c>
      <c r="I130" s="670"/>
      <c r="J130" s="671"/>
    </row>
    <row r="131" spans="3:10">
      <c r="G131" s="673">
        <f>summ!E61</f>
        <v>59.207000000000001</v>
      </c>
      <c r="H131" s="675" t="str">
        <f>CONCATENATE("Total ",E1-1," Mill Rate")</f>
        <v>Total 2012 Mill Rate</v>
      </c>
      <c r="I131" s="676"/>
      <c r="J131" s="677"/>
    </row>
    <row r="132" spans="3:10">
      <c r="G132" s="710"/>
      <c r="H132" s="519"/>
      <c r="I132" s="708"/>
      <c r="J132" s="709"/>
    </row>
    <row r="136" spans="3:10" hidden="1">
      <c r="C136" s="72" t="str">
        <f>IF(C117&gt;C119,"See Tab A","")</f>
        <v/>
      </c>
      <c r="D136" s="72" t="str">
        <f>IF(D117&gt;D119,"See Tab C","")</f>
        <v/>
      </c>
    </row>
    <row r="137" spans="3:10" hidden="1">
      <c r="C137" s="72" t="str">
        <f>IF(C118&lt;0,"See Tab B","")</f>
        <v/>
      </c>
      <c r="D137" s="72" t="str">
        <f>IF(D118&lt;0,"See Tab D","")</f>
        <v/>
      </c>
    </row>
  </sheetData>
  <sheetProtection sheet="1" objects="1" scenarios="1"/>
  <mergeCells count="8">
    <mergeCell ref="C120:D120"/>
    <mergeCell ref="C121:D121"/>
    <mergeCell ref="G116:J116"/>
    <mergeCell ref="B59:E59"/>
    <mergeCell ref="B126:E126"/>
    <mergeCell ref="C124:D124"/>
    <mergeCell ref="G109:J109"/>
    <mergeCell ref="G126:J126"/>
  </mergeCells>
  <phoneticPr fontId="0" type="noConversion"/>
  <conditionalFormatting sqref="E115">
    <cfRule type="cellIs" dxfId="407" priority="2" stopIfTrue="1" operator="greaterThan">
      <formula>$E$117*0.1</formula>
    </cfRule>
  </conditionalFormatting>
  <conditionalFormatting sqref="E120">
    <cfRule type="cellIs" dxfId="406" priority="3" stopIfTrue="1" operator="greaterThan">
      <formula>$E$117/0.95-$E$117</formula>
    </cfRule>
  </conditionalFormatting>
  <conditionalFormatting sqref="D115">
    <cfRule type="cellIs" dxfId="405" priority="4" stopIfTrue="1" operator="greaterThan">
      <formula>$D$117*0.1</formula>
    </cfRule>
  </conditionalFormatting>
  <conditionalFormatting sqref="C115">
    <cfRule type="cellIs" dxfId="404" priority="5" stopIfTrue="1" operator="greaterThan">
      <formula>$C$117*0.1</formula>
    </cfRule>
  </conditionalFormatting>
  <conditionalFormatting sqref="C118">
    <cfRule type="cellIs" dxfId="403" priority="6" stopIfTrue="1" operator="lessThan">
      <formula>0</formula>
    </cfRule>
  </conditionalFormatting>
  <conditionalFormatting sqref="D117">
    <cfRule type="cellIs" dxfId="402" priority="7" stopIfTrue="1" operator="greaterThan">
      <formula>$D$119</formula>
    </cfRule>
  </conditionalFormatting>
  <conditionalFormatting sqref="C117">
    <cfRule type="cellIs" dxfId="401" priority="8" stopIfTrue="1" operator="greaterThan">
      <formula>$C$119</formula>
    </cfRule>
  </conditionalFormatting>
  <conditionalFormatting sqref="D54">
    <cfRule type="cellIs" dxfId="400" priority="9" stopIfTrue="1" operator="greaterThan">
      <formula>$D$56*0.1</formula>
    </cfRule>
  </conditionalFormatting>
  <conditionalFormatting sqref="C54">
    <cfRule type="cellIs" dxfId="399" priority="10" stopIfTrue="1" operator="greaterThan">
      <formula>$C$56*0.1</formula>
    </cfRule>
  </conditionalFormatting>
  <conditionalFormatting sqref="E54">
    <cfRule type="cellIs" dxfId="398" priority="11" stopIfTrue="1" operator="greaterThan">
      <formula>$E$56*0.1+E124</formula>
    </cfRule>
  </conditionalFormatting>
  <conditionalFormatting sqref="D118">
    <cfRule type="cellIs" dxfId="397" priority="1" stopIfTrue="1" operator="lessThan">
      <formula>0</formula>
    </cfRule>
  </conditionalFormatting>
  <pageMargins left="1" right="0.5" top="0.81" bottom="0.36" header="0.5" footer="0"/>
  <pageSetup scale="65" fitToHeight="2" orientation="portrait" blackAndWhite="1" r:id="rId1"/>
  <headerFooter alignWithMargins="0">
    <oddHeader xml:space="preserve">&amp;RState of Kansas
County
</oddHeader>
  </headerFooter>
  <rowBreaks count="1" manualBreakCount="1">
    <brk id="59" max="16383" man="1"/>
  </rowBreaks>
  <colBreaks count="1" manualBreakCount="1">
    <brk id="5" max="1048575" man="1"/>
  </colBreaks>
</worksheet>
</file>

<file path=xl/worksheets/sheet14.xml><?xml version="1.0" encoding="utf-8"?>
<worksheet xmlns="http://schemas.openxmlformats.org/spreadsheetml/2006/main" xmlns:r="http://schemas.openxmlformats.org/officeDocument/2006/relationships">
  <sheetPr codeName="Sheet11"/>
  <dimension ref="A1:D402"/>
  <sheetViews>
    <sheetView topLeftCell="A103" zoomScaleNormal="100" workbookViewId="0">
      <selection activeCell="I56" sqref="I56"/>
    </sheetView>
  </sheetViews>
  <sheetFormatPr defaultColWidth="8.88671875" defaultRowHeight="15.75"/>
  <cols>
    <col min="1" max="1" width="30.77734375" style="72" customWidth="1"/>
    <col min="2" max="3" width="15.77734375" style="72" customWidth="1"/>
    <col min="4" max="4" width="16.109375" style="72" customWidth="1"/>
    <col min="5" max="16384" width="8.88671875" style="72"/>
  </cols>
  <sheetData>
    <row r="1" spans="1:4">
      <c r="A1" s="228" t="str">
        <f>inputPrYr!C2</f>
        <v>Franklin County</v>
      </c>
      <c r="B1" s="85"/>
      <c r="C1" s="301"/>
      <c r="D1" s="85">
        <f>inputPrYr!C4</f>
        <v>2013</v>
      </c>
    </row>
    <row r="2" spans="1:4">
      <c r="A2" s="85"/>
      <c r="B2" s="85"/>
      <c r="C2" s="85"/>
      <c r="D2" s="301"/>
    </row>
    <row r="3" spans="1:4">
      <c r="A3" s="152" t="s">
        <v>235</v>
      </c>
      <c r="B3" s="314"/>
      <c r="C3" s="314"/>
      <c r="D3" s="314"/>
    </row>
    <row r="4" spans="1:4">
      <c r="A4" s="301" t="s">
        <v>159</v>
      </c>
      <c r="B4" s="703" t="s">
        <v>841</v>
      </c>
      <c r="C4" s="704" t="s">
        <v>842</v>
      </c>
      <c r="D4" s="215" t="s">
        <v>843</v>
      </c>
    </row>
    <row r="5" spans="1:4">
      <c r="A5" s="481" t="s">
        <v>683</v>
      </c>
      <c r="B5" s="455" t="str">
        <f>CONCATENATE("Actual for ",D1-2,"")</f>
        <v>Actual for 2011</v>
      </c>
      <c r="C5" s="455" t="str">
        <f>CONCATENATE("Estimate for ",D1-1,"")</f>
        <v>Estimate for 2012</v>
      </c>
      <c r="D5" s="302" t="str">
        <f>CONCATENATE("Year for ",D1,"")</f>
        <v>Year for 2013</v>
      </c>
    </row>
    <row r="6" spans="1:4">
      <c r="A6" s="262" t="s">
        <v>169</v>
      </c>
      <c r="B6" s="127"/>
      <c r="C6" s="127"/>
      <c r="D6" s="127"/>
    </row>
    <row r="7" spans="1:4">
      <c r="A7" s="324" t="s">
        <v>180</v>
      </c>
      <c r="B7" s="127"/>
      <c r="C7" s="127"/>
      <c r="D7" s="127"/>
    </row>
    <row r="8" spans="1:4">
      <c r="A8" s="110" t="s">
        <v>174</v>
      </c>
      <c r="B8" s="306">
        <v>291315</v>
      </c>
      <c r="C8" s="306">
        <v>171128</v>
      </c>
      <c r="D8" s="306">
        <v>175617</v>
      </c>
    </row>
    <row r="9" spans="1:4">
      <c r="A9" s="110" t="s">
        <v>175</v>
      </c>
      <c r="B9" s="306">
        <v>320797</v>
      </c>
      <c r="C9" s="306">
        <v>359877</v>
      </c>
      <c r="D9" s="306">
        <v>364877</v>
      </c>
    </row>
    <row r="10" spans="1:4">
      <c r="A10" s="110" t="s">
        <v>176</v>
      </c>
      <c r="B10" s="306">
        <v>3989</v>
      </c>
      <c r="C10" s="306">
        <v>6000</v>
      </c>
      <c r="D10" s="306">
        <v>6000</v>
      </c>
    </row>
    <row r="11" spans="1:4">
      <c r="A11" s="110" t="s">
        <v>177</v>
      </c>
      <c r="B11" s="306">
        <v>0</v>
      </c>
      <c r="C11" s="306">
        <v>3000</v>
      </c>
      <c r="D11" s="306">
        <v>3000</v>
      </c>
    </row>
    <row r="12" spans="1:4">
      <c r="A12" s="293" t="s">
        <v>958</v>
      </c>
      <c r="B12" s="306">
        <v>-10506</v>
      </c>
      <c r="C12" s="306">
        <v>0</v>
      </c>
      <c r="D12" s="306">
        <v>0</v>
      </c>
    </row>
    <row r="13" spans="1:4">
      <c r="A13" s="301" t="s">
        <v>130</v>
      </c>
      <c r="B13" s="325">
        <f>SUM(B8:B12)</f>
        <v>605595</v>
      </c>
      <c r="C13" s="325">
        <f>SUM(C8:C12)</f>
        <v>540005</v>
      </c>
      <c r="D13" s="325">
        <f>SUM(D8:D12)</f>
        <v>549494</v>
      </c>
    </row>
    <row r="14" spans="1:4">
      <c r="A14" s="324" t="s">
        <v>149</v>
      </c>
      <c r="B14" s="127"/>
      <c r="C14" s="127"/>
      <c r="D14" s="127"/>
    </row>
    <row r="15" spans="1:4">
      <c r="A15" s="110" t="s">
        <v>174</v>
      </c>
      <c r="B15" s="306">
        <v>128495</v>
      </c>
      <c r="C15" s="306">
        <v>131261</v>
      </c>
      <c r="D15" s="306">
        <v>135231</v>
      </c>
    </row>
    <row r="16" spans="1:4">
      <c r="A16" s="110" t="s">
        <v>175</v>
      </c>
      <c r="B16" s="306">
        <v>4339</v>
      </c>
      <c r="C16" s="306">
        <v>4520</v>
      </c>
      <c r="D16" s="306">
        <v>4320</v>
      </c>
    </row>
    <row r="17" spans="1:4">
      <c r="A17" s="110" t="s">
        <v>176</v>
      </c>
      <c r="B17" s="306">
        <v>4805</v>
      </c>
      <c r="C17" s="306">
        <v>8500</v>
      </c>
      <c r="D17" s="306">
        <v>6800</v>
      </c>
    </row>
    <row r="18" spans="1:4">
      <c r="A18" s="110" t="s">
        <v>177</v>
      </c>
      <c r="B18" s="306">
        <v>0</v>
      </c>
      <c r="C18" s="306">
        <v>2000</v>
      </c>
      <c r="D18" s="306">
        <v>3000</v>
      </c>
    </row>
    <row r="19" spans="1:4">
      <c r="A19" s="110" t="s">
        <v>958</v>
      </c>
      <c r="B19" s="306">
        <v>-312</v>
      </c>
      <c r="C19" s="306">
        <v>0</v>
      </c>
      <c r="D19" s="306">
        <v>0</v>
      </c>
    </row>
    <row r="20" spans="1:4">
      <c r="A20" s="301" t="s">
        <v>130</v>
      </c>
      <c r="B20" s="325">
        <f>SUM(B15:B19)</f>
        <v>137327</v>
      </c>
      <c r="C20" s="325">
        <f>SUM(C15:C19)</f>
        <v>146281</v>
      </c>
      <c r="D20" s="325">
        <f>SUM(D15:D19)</f>
        <v>149351</v>
      </c>
    </row>
    <row r="21" spans="1:4">
      <c r="A21" s="324" t="s">
        <v>181</v>
      </c>
      <c r="B21" s="127"/>
      <c r="C21" s="127"/>
      <c r="D21" s="127"/>
    </row>
    <row r="22" spans="1:4">
      <c r="A22" s="110" t="s">
        <v>174</v>
      </c>
      <c r="B22" s="306">
        <v>150320</v>
      </c>
      <c r="C22" s="306">
        <v>151466</v>
      </c>
      <c r="D22" s="306">
        <v>156373</v>
      </c>
    </row>
    <row r="23" spans="1:4">
      <c r="A23" s="110" t="s">
        <v>175</v>
      </c>
      <c r="B23" s="306">
        <v>31568</v>
      </c>
      <c r="C23" s="306">
        <v>47150</v>
      </c>
      <c r="D23" s="306">
        <v>47450</v>
      </c>
    </row>
    <row r="24" spans="1:4">
      <c r="A24" s="110" t="s">
        <v>176</v>
      </c>
      <c r="B24" s="306">
        <v>4481</v>
      </c>
      <c r="C24" s="306">
        <v>7000</v>
      </c>
      <c r="D24" s="306">
        <v>7000</v>
      </c>
    </row>
    <row r="25" spans="1:4">
      <c r="A25" s="110" t="s">
        <v>177</v>
      </c>
      <c r="B25" s="306">
        <v>2586</v>
      </c>
      <c r="C25" s="306">
        <v>2600</v>
      </c>
      <c r="D25" s="306">
        <v>1800</v>
      </c>
    </row>
    <row r="26" spans="1:4">
      <c r="A26" s="110" t="s">
        <v>958</v>
      </c>
      <c r="B26" s="306">
        <v>-23973</v>
      </c>
      <c r="C26" s="306">
        <v>-37000</v>
      </c>
      <c r="D26" s="306">
        <v>-37000</v>
      </c>
    </row>
    <row r="27" spans="1:4">
      <c r="A27" s="301" t="s">
        <v>130</v>
      </c>
      <c r="B27" s="325">
        <f>SUM(B22:B26)</f>
        <v>164982</v>
      </c>
      <c r="C27" s="325">
        <f>SUM(C22:C26)</f>
        <v>171216</v>
      </c>
      <c r="D27" s="325">
        <f>SUM(D22:D26)</f>
        <v>175623</v>
      </c>
    </row>
    <row r="28" spans="1:4">
      <c r="A28" s="324" t="s">
        <v>959</v>
      </c>
      <c r="B28" s="127"/>
      <c r="C28" s="127"/>
      <c r="D28" s="127"/>
    </row>
    <row r="29" spans="1:4">
      <c r="A29" s="110" t="s">
        <v>174</v>
      </c>
      <c r="B29" s="306">
        <v>391437</v>
      </c>
      <c r="C29" s="306">
        <v>386652</v>
      </c>
      <c r="D29" s="306">
        <v>401254</v>
      </c>
    </row>
    <row r="30" spans="1:4">
      <c r="A30" s="110" t="s">
        <v>175</v>
      </c>
      <c r="B30" s="306">
        <v>32337</v>
      </c>
      <c r="C30" s="306">
        <v>44680</v>
      </c>
      <c r="D30" s="306">
        <v>42680</v>
      </c>
    </row>
    <row r="31" spans="1:4">
      <c r="A31" s="110" t="s">
        <v>176</v>
      </c>
      <c r="B31" s="306">
        <v>7534</v>
      </c>
      <c r="C31" s="306">
        <v>9000</v>
      </c>
      <c r="D31" s="306">
        <v>9500</v>
      </c>
    </row>
    <row r="32" spans="1:4">
      <c r="A32" s="110" t="s">
        <v>177</v>
      </c>
      <c r="B32" s="306">
        <v>6694</v>
      </c>
      <c r="C32" s="306">
        <v>3100</v>
      </c>
      <c r="D32" s="306">
        <v>3600</v>
      </c>
    </row>
    <row r="33" spans="1:4">
      <c r="A33" s="110" t="s">
        <v>958</v>
      </c>
      <c r="B33" s="306">
        <v>-609</v>
      </c>
      <c r="C33" s="306">
        <v>-250</v>
      </c>
      <c r="D33" s="306">
        <v>-500</v>
      </c>
    </row>
    <row r="34" spans="1:4">
      <c r="A34" s="301" t="s">
        <v>130</v>
      </c>
      <c r="B34" s="325">
        <f>SUM(B29:B33)</f>
        <v>437393</v>
      </c>
      <c r="C34" s="325">
        <f>SUM(C29:C33)</f>
        <v>443182</v>
      </c>
      <c r="D34" s="325">
        <f>SUM(D29:D33)</f>
        <v>456534</v>
      </c>
    </row>
    <row r="35" spans="1:4">
      <c r="A35" s="324" t="s">
        <v>186</v>
      </c>
      <c r="B35" s="127"/>
      <c r="C35" s="127"/>
      <c r="D35" s="127"/>
    </row>
    <row r="36" spans="1:4">
      <c r="A36" s="110" t="s">
        <v>174</v>
      </c>
      <c r="B36" s="306">
        <v>117805</v>
      </c>
      <c r="C36" s="306">
        <v>118454</v>
      </c>
      <c r="D36" s="306">
        <v>121895</v>
      </c>
    </row>
    <row r="37" spans="1:4">
      <c r="A37" s="110" t="s">
        <v>175</v>
      </c>
      <c r="B37" s="306">
        <v>1863</v>
      </c>
      <c r="C37" s="306">
        <v>2300</v>
      </c>
      <c r="D37" s="306">
        <v>2300</v>
      </c>
    </row>
    <row r="38" spans="1:4">
      <c r="A38" s="110" t="s">
        <v>176</v>
      </c>
      <c r="B38" s="306">
        <v>1175</v>
      </c>
      <c r="C38" s="306">
        <v>2000</v>
      </c>
      <c r="D38" s="306">
        <v>1500</v>
      </c>
    </row>
    <row r="39" spans="1:4">
      <c r="A39" s="308" t="s">
        <v>177</v>
      </c>
      <c r="B39" s="306">
        <v>0</v>
      </c>
      <c r="C39" s="306">
        <v>1000</v>
      </c>
      <c r="D39" s="306">
        <v>1000</v>
      </c>
    </row>
    <row r="40" spans="1:4">
      <c r="A40" s="301" t="s">
        <v>130</v>
      </c>
      <c r="B40" s="325">
        <f>SUM(B36:B39)</f>
        <v>120843</v>
      </c>
      <c r="C40" s="325">
        <f>SUM(C36:C39)</f>
        <v>123754</v>
      </c>
      <c r="D40" s="325">
        <f>SUM(D36:D39)</f>
        <v>126695</v>
      </c>
    </row>
    <row r="41" spans="1:4">
      <c r="A41" s="324" t="s">
        <v>960</v>
      </c>
      <c r="B41" s="127"/>
      <c r="C41" s="127"/>
      <c r="D41" s="127"/>
    </row>
    <row r="42" spans="1:4">
      <c r="A42" s="110" t="s">
        <v>174</v>
      </c>
      <c r="B42" s="306">
        <v>1326944</v>
      </c>
      <c r="C42" s="306">
        <v>1372802</v>
      </c>
      <c r="D42" s="306">
        <v>1412779</v>
      </c>
    </row>
    <row r="43" spans="1:4">
      <c r="A43" s="110" t="s">
        <v>175</v>
      </c>
      <c r="B43" s="306">
        <v>40928</v>
      </c>
      <c r="C43" s="306">
        <v>33150</v>
      </c>
      <c r="D43" s="306">
        <v>38000</v>
      </c>
    </row>
    <row r="44" spans="1:4">
      <c r="A44" s="110" t="s">
        <v>176</v>
      </c>
      <c r="B44" s="306">
        <v>148875</v>
      </c>
      <c r="C44" s="306">
        <v>119750</v>
      </c>
      <c r="D44" s="306">
        <v>122250</v>
      </c>
    </row>
    <row r="45" spans="1:4">
      <c r="A45" s="110" t="s">
        <v>177</v>
      </c>
      <c r="B45" s="306">
        <v>67365</v>
      </c>
      <c r="C45" s="306">
        <v>51000</v>
      </c>
      <c r="D45" s="306">
        <v>56000</v>
      </c>
    </row>
    <row r="46" spans="1:4">
      <c r="A46" s="110" t="s">
        <v>958</v>
      </c>
      <c r="B46" s="306">
        <v>-30158</v>
      </c>
      <c r="C46" s="306">
        <v>-35000</v>
      </c>
      <c r="D46" s="306">
        <v>-35000</v>
      </c>
    </row>
    <row r="47" spans="1:4">
      <c r="A47" s="301" t="s">
        <v>130</v>
      </c>
      <c r="B47" s="325">
        <f>SUM(B42:B46)</f>
        <v>1553954</v>
      </c>
      <c r="C47" s="325">
        <f>SUM(C42:C46)</f>
        <v>1541702</v>
      </c>
      <c r="D47" s="325">
        <f>SUM(D42:D46)</f>
        <v>1594029</v>
      </c>
    </row>
    <row r="48" spans="1:4">
      <c r="A48" s="324" t="s">
        <v>158</v>
      </c>
      <c r="B48" s="127"/>
      <c r="C48" s="127"/>
      <c r="D48" s="127"/>
    </row>
    <row r="49" spans="1:4">
      <c r="A49" s="110" t="s">
        <v>174</v>
      </c>
      <c r="B49" s="306">
        <v>10447</v>
      </c>
      <c r="C49" s="306">
        <v>10671</v>
      </c>
      <c r="D49" s="306">
        <v>10967</v>
      </c>
    </row>
    <row r="50" spans="1:4">
      <c r="A50" s="110" t="s">
        <v>175</v>
      </c>
      <c r="B50" s="306">
        <v>214872</v>
      </c>
      <c r="C50" s="306">
        <v>223500</v>
      </c>
      <c r="D50" s="306">
        <v>223500</v>
      </c>
    </row>
    <row r="51" spans="1:4">
      <c r="A51" s="110" t="s">
        <v>176</v>
      </c>
      <c r="B51" s="306">
        <v>19445</v>
      </c>
      <c r="C51" s="306">
        <v>22000</v>
      </c>
      <c r="D51" s="306">
        <v>22000</v>
      </c>
    </row>
    <row r="52" spans="1:4">
      <c r="A52" s="110" t="s">
        <v>177</v>
      </c>
      <c r="B52" s="306">
        <v>42903</v>
      </c>
      <c r="C52" s="306">
        <v>25000</v>
      </c>
      <c r="D52" s="306">
        <v>25000</v>
      </c>
    </row>
    <row r="53" spans="1:4">
      <c r="A53" s="110" t="s">
        <v>958</v>
      </c>
      <c r="B53" s="306">
        <v>-15743</v>
      </c>
      <c r="C53" s="306">
        <v>-11000</v>
      </c>
      <c r="D53" s="306">
        <v>-11000</v>
      </c>
    </row>
    <row r="54" spans="1:4">
      <c r="A54" s="301" t="s">
        <v>130</v>
      </c>
      <c r="B54" s="325">
        <f>SUM(B49:B53)</f>
        <v>271924</v>
      </c>
      <c r="C54" s="325">
        <f>SUM(C49:C53)</f>
        <v>270171</v>
      </c>
      <c r="D54" s="325">
        <f>SUM(D49:D53)</f>
        <v>270467</v>
      </c>
    </row>
    <row r="55" spans="1:4">
      <c r="A55" s="324" t="s">
        <v>961</v>
      </c>
      <c r="B55" s="127"/>
      <c r="C55" s="127"/>
      <c r="D55" s="127"/>
    </row>
    <row r="56" spans="1:4">
      <c r="A56" s="110" t="s">
        <v>174</v>
      </c>
      <c r="B56" s="306">
        <v>147761</v>
      </c>
      <c r="C56" s="306">
        <v>149469</v>
      </c>
      <c r="D56" s="306">
        <v>153803</v>
      </c>
    </row>
    <row r="57" spans="1:4">
      <c r="A57" s="110" t="s">
        <v>175</v>
      </c>
      <c r="B57" s="306">
        <v>179297</v>
      </c>
      <c r="C57" s="306">
        <v>208980</v>
      </c>
      <c r="D57" s="306">
        <v>214480</v>
      </c>
    </row>
    <row r="58" spans="1:4">
      <c r="A58" s="110" t="s">
        <v>176</v>
      </c>
      <c r="B58" s="306">
        <v>33012</v>
      </c>
      <c r="C58" s="306">
        <v>43400</v>
      </c>
      <c r="D58" s="306">
        <v>48100</v>
      </c>
    </row>
    <row r="59" spans="1:4">
      <c r="A59" s="110" t="s">
        <v>958</v>
      </c>
      <c r="B59" s="306">
        <v>-5937</v>
      </c>
      <c r="C59" s="306">
        <v>-6000</v>
      </c>
      <c r="D59" s="306">
        <v>-6000</v>
      </c>
    </row>
    <row r="60" spans="1:4">
      <c r="A60" s="301" t="s">
        <v>130</v>
      </c>
      <c r="B60" s="319">
        <f>SUM(B56:B59)</f>
        <v>354133</v>
      </c>
      <c r="C60" s="319">
        <f>SUM(C56:C59)</f>
        <v>395849</v>
      </c>
      <c r="D60" s="319">
        <f>SUM(D56:D59)</f>
        <v>410383</v>
      </c>
    </row>
    <row r="61" spans="1:4">
      <c r="A61" s="85"/>
      <c r="B61" s="127"/>
      <c r="C61" s="127"/>
      <c r="D61" s="127"/>
    </row>
    <row r="62" spans="1:4">
      <c r="A62" s="301" t="s">
        <v>310</v>
      </c>
      <c r="B62" s="312">
        <f>B13+B20+B27+B34+B40+B47+B54+B60</f>
        <v>3646151</v>
      </c>
      <c r="C62" s="312">
        <f>C13+C20+C27+C34+C40+C47+C54+C60</f>
        <v>3632160</v>
      </c>
      <c r="D62" s="312">
        <f>D13+D20+D27+D34+D40+D47+D54+D60</f>
        <v>3732576</v>
      </c>
    </row>
    <row r="63" spans="1:4">
      <c r="A63" s="85"/>
      <c r="B63" s="228"/>
      <c r="C63" s="228"/>
      <c r="D63" s="228"/>
    </row>
    <row r="64" spans="1:4">
      <c r="A64" s="790" t="s">
        <v>292</v>
      </c>
      <c r="B64" s="790"/>
      <c r="C64" s="790"/>
      <c r="D64" s="790"/>
    </row>
    <row r="65" spans="1:4">
      <c r="A65" s="85"/>
      <c r="B65" s="228"/>
      <c r="C65" s="228"/>
      <c r="D65" s="228"/>
    </row>
    <row r="66" spans="1:4">
      <c r="A66" s="228" t="str">
        <f>inputPrYr!C2</f>
        <v>Franklin County</v>
      </c>
      <c r="B66" s="228"/>
      <c r="C66" s="84"/>
      <c r="D66" s="326">
        <f>D1</f>
        <v>2013</v>
      </c>
    </row>
    <row r="67" spans="1:4">
      <c r="A67" s="85"/>
      <c r="B67" s="228"/>
      <c r="C67" s="228"/>
      <c r="D67" s="84"/>
    </row>
    <row r="68" spans="1:4">
      <c r="A68" s="313" t="s">
        <v>234</v>
      </c>
      <c r="B68" s="327"/>
      <c r="C68" s="327"/>
      <c r="D68" s="327"/>
    </row>
    <row r="69" spans="1:4">
      <c r="A69" s="85" t="s">
        <v>159</v>
      </c>
      <c r="B69" s="323" t="str">
        <f t="shared" ref="B69:D70" si="0">B4</f>
        <v xml:space="preserve">Prior Year </v>
      </c>
      <c r="C69" s="215" t="str">
        <f t="shared" si="0"/>
        <v xml:space="preserve">Current Year </v>
      </c>
      <c r="D69" s="215" t="str">
        <f t="shared" si="0"/>
        <v xml:space="preserve">Proposed Budget </v>
      </c>
    </row>
    <row r="70" spans="1:4">
      <c r="A70" s="114" t="s">
        <v>173</v>
      </c>
      <c r="B70" s="315" t="str">
        <f t="shared" si="0"/>
        <v>Actual for 2011</v>
      </c>
      <c r="C70" s="315" t="str">
        <f t="shared" si="0"/>
        <v>Estimate for 2012</v>
      </c>
      <c r="D70" s="315" t="str">
        <f t="shared" si="0"/>
        <v>Year for 2013</v>
      </c>
    </row>
    <row r="71" spans="1:4">
      <c r="A71" s="301" t="s">
        <v>169</v>
      </c>
      <c r="B71" s="127"/>
      <c r="C71" s="127"/>
      <c r="D71" s="127"/>
    </row>
    <row r="72" spans="1:4">
      <c r="A72" s="324" t="s">
        <v>962</v>
      </c>
      <c r="B72" s="127"/>
      <c r="C72" s="127"/>
      <c r="D72" s="127"/>
    </row>
    <row r="73" spans="1:4">
      <c r="A73" s="110" t="s">
        <v>174</v>
      </c>
      <c r="B73" s="306">
        <v>82589</v>
      </c>
      <c r="C73" s="306">
        <v>83942</v>
      </c>
      <c r="D73" s="306">
        <v>86355</v>
      </c>
    </row>
    <row r="74" spans="1:4">
      <c r="A74" s="110" t="s">
        <v>175</v>
      </c>
      <c r="B74" s="306">
        <v>34173</v>
      </c>
      <c r="C74" s="306">
        <v>35625</v>
      </c>
      <c r="D74" s="306">
        <v>45650</v>
      </c>
    </row>
    <row r="75" spans="1:4">
      <c r="A75" s="110" t="s">
        <v>176</v>
      </c>
      <c r="B75" s="306">
        <v>6445</v>
      </c>
      <c r="C75" s="306">
        <v>11468</v>
      </c>
      <c r="D75" s="306">
        <v>9850</v>
      </c>
    </row>
    <row r="76" spans="1:4">
      <c r="A76" s="110" t="s">
        <v>177</v>
      </c>
      <c r="B76" s="306">
        <v>2500</v>
      </c>
      <c r="C76" s="306">
        <v>0</v>
      </c>
      <c r="D76" s="306">
        <v>0</v>
      </c>
    </row>
    <row r="77" spans="1:4">
      <c r="A77" s="110" t="s">
        <v>958</v>
      </c>
      <c r="B77" s="306">
        <v>-27237</v>
      </c>
      <c r="C77" s="306">
        <v>0</v>
      </c>
      <c r="D77" s="306">
        <v>0</v>
      </c>
    </row>
    <row r="78" spans="1:4">
      <c r="A78" s="328" t="s">
        <v>130</v>
      </c>
      <c r="B78" s="325">
        <f>SUM(B73:B77)</f>
        <v>98470</v>
      </c>
      <c r="C78" s="325">
        <f>SUM(C73:C77)</f>
        <v>131035</v>
      </c>
      <c r="D78" s="325">
        <f>SUM(D73:D77)</f>
        <v>141855</v>
      </c>
    </row>
    <row r="79" spans="1:4">
      <c r="A79" s="324" t="s">
        <v>963</v>
      </c>
      <c r="B79" s="127"/>
      <c r="C79" s="127"/>
      <c r="D79" s="127"/>
    </row>
    <row r="80" spans="1:4">
      <c r="A80" s="110" t="s">
        <v>174</v>
      </c>
      <c r="B80" s="306">
        <v>573277</v>
      </c>
      <c r="C80" s="306">
        <v>613247</v>
      </c>
      <c r="D80" s="306">
        <v>644060</v>
      </c>
    </row>
    <row r="81" spans="1:4">
      <c r="A81" s="110" t="s">
        <v>175</v>
      </c>
      <c r="B81" s="306">
        <v>123038</v>
      </c>
      <c r="C81" s="306">
        <v>155330</v>
      </c>
      <c r="D81" s="306">
        <v>175330</v>
      </c>
    </row>
    <row r="82" spans="1:4">
      <c r="A82" s="110" t="s">
        <v>176</v>
      </c>
      <c r="B82" s="306">
        <v>120417</v>
      </c>
      <c r="C82" s="306">
        <v>112900</v>
      </c>
      <c r="D82" s="306">
        <v>116900</v>
      </c>
    </row>
    <row r="83" spans="1:4">
      <c r="A83" s="110" t="s">
        <v>177</v>
      </c>
      <c r="B83" s="306">
        <v>13990</v>
      </c>
      <c r="C83" s="306">
        <v>6000</v>
      </c>
      <c r="D83" s="306">
        <v>6000</v>
      </c>
    </row>
    <row r="84" spans="1:4">
      <c r="A84" s="110" t="s">
        <v>958</v>
      </c>
      <c r="B84" s="306">
        <v>-77116</v>
      </c>
      <c r="C84" s="306">
        <v>-30000</v>
      </c>
      <c r="D84" s="306">
        <v>-30000</v>
      </c>
    </row>
    <row r="85" spans="1:4">
      <c r="A85" s="301" t="s">
        <v>130</v>
      </c>
      <c r="B85" s="319">
        <f>SUM(B80:B84)</f>
        <v>753606</v>
      </c>
      <c r="C85" s="319">
        <f>SUM(C80:C84)</f>
        <v>857477</v>
      </c>
      <c r="D85" s="319">
        <f>SUM(D80:D84)</f>
        <v>912290</v>
      </c>
    </row>
    <row r="86" spans="1:4">
      <c r="A86" s="324" t="s">
        <v>964</v>
      </c>
      <c r="B86" s="127"/>
      <c r="C86" s="127"/>
      <c r="D86" s="127"/>
    </row>
    <row r="87" spans="1:4">
      <c r="A87" s="110" t="s">
        <v>174</v>
      </c>
      <c r="B87" s="306">
        <v>144068</v>
      </c>
      <c r="C87" s="306">
        <v>146306</v>
      </c>
      <c r="D87" s="306">
        <v>150725</v>
      </c>
    </row>
    <row r="88" spans="1:4">
      <c r="A88" s="110" t="s">
        <v>175</v>
      </c>
      <c r="B88" s="306">
        <v>18034</v>
      </c>
      <c r="C88" s="306">
        <v>26789</v>
      </c>
      <c r="D88" s="306">
        <v>26789</v>
      </c>
    </row>
    <row r="89" spans="1:4">
      <c r="A89" s="110" t="s">
        <v>176</v>
      </c>
      <c r="B89" s="306">
        <v>5677</v>
      </c>
      <c r="C89" s="306">
        <v>9500</v>
      </c>
      <c r="D89" s="306">
        <v>9500</v>
      </c>
    </row>
    <row r="90" spans="1:4">
      <c r="A90" s="110" t="s">
        <v>177</v>
      </c>
      <c r="B90" s="306">
        <v>0</v>
      </c>
      <c r="C90" s="306">
        <v>900</v>
      </c>
      <c r="D90" s="306">
        <v>900</v>
      </c>
    </row>
    <row r="91" spans="1:4">
      <c r="A91" s="110" t="s">
        <v>958</v>
      </c>
      <c r="B91" s="306">
        <v>-2650</v>
      </c>
      <c r="C91" s="306">
        <v>-9000</v>
      </c>
      <c r="D91" s="306">
        <v>-9000</v>
      </c>
    </row>
    <row r="92" spans="1:4">
      <c r="A92" s="301" t="s">
        <v>130</v>
      </c>
      <c r="B92" s="319">
        <f>SUM(B87:B91)</f>
        <v>165129</v>
      </c>
      <c r="C92" s="319">
        <f>SUM(C87:C91)</f>
        <v>174495</v>
      </c>
      <c r="D92" s="319">
        <f>SUM(D87:D91)</f>
        <v>178914</v>
      </c>
    </row>
    <row r="93" spans="1:4">
      <c r="A93" s="324" t="s">
        <v>965</v>
      </c>
      <c r="B93" s="127"/>
      <c r="C93" s="127"/>
      <c r="D93" s="127"/>
    </row>
    <row r="94" spans="1:4">
      <c r="A94" s="110" t="s">
        <v>177</v>
      </c>
      <c r="B94" s="306">
        <v>0</v>
      </c>
      <c r="C94" s="306">
        <v>100000</v>
      </c>
      <c r="D94" s="306">
        <v>210000</v>
      </c>
    </row>
    <row r="95" spans="1:4">
      <c r="A95" s="301" t="s">
        <v>130</v>
      </c>
      <c r="B95" s="319">
        <f>SUM(B94:B94)</f>
        <v>0</v>
      </c>
      <c r="C95" s="319">
        <f>SUM(C94:C94)</f>
        <v>100000</v>
      </c>
      <c r="D95" s="319">
        <f>SUM(D94:D94)</f>
        <v>210000</v>
      </c>
    </row>
    <row r="96" spans="1:4">
      <c r="A96" s="324" t="s">
        <v>966</v>
      </c>
      <c r="B96" s="127"/>
      <c r="C96" s="127"/>
      <c r="D96" s="127"/>
    </row>
    <row r="97" spans="1:4">
      <c r="A97" s="110" t="s">
        <v>174</v>
      </c>
      <c r="B97" s="306">
        <v>1822</v>
      </c>
      <c r="C97" s="306">
        <v>0</v>
      </c>
      <c r="D97" s="306">
        <v>0</v>
      </c>
    </row>
    <row r="98" spans="1:4">
      <c r="A98" s="110" t="s">
        <v>175</v>
      </c>
      <c r="B98" s="306">
        <v>69630</v>
      </c>
      <c r="C98" s="306">
        <v>78480</v>
      </c>
      <c r="D98" s="306">
        <v>78480</v>
      </c>
    </row>
    <row r="99" spans="1:4">
      <c r="A99" s="110" t="s">
        <v>958</v>
      </c>
      <c r="B99" s="306">
        <v>-45488</v>
      </c>
      <c r="C99" s="306">
        <v>-44605</v>
      </c>
      <c r="D99" s="306">
        <v>-43919</v>
      </c>
    </row>
    <row r="100" spans="1:4">
      <c r="A100" s="301" t="s">
        <v>130</v>
      </c>
      <c r="B100" s="319">
        <f>SUM(B97:B99)</f>
        <v>25964</v>
      </c>
      <c r="C100" s="319">
        <f>SUM(C97:C99)</f>
        <v>33875</v>
      </c>
      <c r="D100" s="319">
        <f>SUM(D97:D99)</f>
        <v>34561</v>
      </c>
    </row>
    <row r="101" spans="1:4">
      <c r="A101" s="324" t="s">
        <v>179</v>
      </c>
      <c r="B101" s="127"/>
      <c r="C101" s="127"/>
      <c r="D101" s="127"/>
    </row>
    <row r="102" spans="1:4">
      <c r="A102" s="110" t="s">
        <v>174</v>
      </c>
      <c r="B102" s="306">
        <v>310994</v>
      </c>
      <c r="C102" s="306">
        <v>309974</v>
      </c>
      <c r="D102" s="306">
        <v>316917</v>
      </c>
    </row>
    <row r="103" spans="1:4">
      <c r="A103" s="110" t="s">
        <v>175</v>
      </c>
      <c r="B103" s="306">
        <v>16780</v>
      </c>
      <c r="C103" s="306">
        <v>16770</v>
      </c>
      <c r="D103" s="306">
        <v>20520</v>
      </c>
    </row>
    <row r="104" spans="1:4">
      <c r="A104" s="110" t="s">
        <v>176</v>
      </c>
      <c r="B104" s="306">
        <v>5515</v>
      </c>
      <c r="C104" s="306">
        <v>7312</v>
      </c>
      <c r="D104" s="306">
        <v>7600</v>
      </c>
    </row>
    <row r="105" spans="1:4">
      <c r="A105" s="110" t="s">
        <v>177</v>
      </c>
      <c r="B105" s="306">
        <v>206</v>
      </c>
      <c r="C105" s="306">
        <v>900</v>
      </c>
      <c r="D105" s="306">
        <v>900</v>
      </c>
    </row>
    <row r="106" spans="1:4">
      <c r="A106" s="110" t="s">
        <v>958</v>
      </c>
      <c r="B106" s="306">
        <v>-5485</v>
      </c>
      <c r="C106" s="306">
        <v>0</v>
      </c>
      <c r="D106" s="306">
        <v>0</v>
      </c>
    </row>
    <row r="107" spans="1:4">
      <c r="A107" s="301" t="s">
        <v>130</v>
      </c>
      <c r="B107" s="319">
        <f>SUM(B102:B106)</f>
        <v>328010</v>
      </c>
      <c r="C107" s="319">
        <f>SUM(C102:C106)</f>
        <v>334956</v>
      </c>
      <c r="D107" s="319">
        <f>SUM(D102:D106)</f>
        <v>345937</v>
      </c>
    </row>
    <row r="108" spans="1:4">
      <c r="A108" s="324" t="s">
        <v>183</v>
      </c>
      <c r="B108" s="127"/>
      <c r="C108" s="127"/>
      <c r="D108" s="127"/>
    </row>
    <row r="109" spans="1:4">
      <c r="A109" s="110" t="s">
        <v>175</v>
      </c>
      <c r="B109" s="306">
        <v>45000</v>
      </c>
      <c r="C109" s="306">
        <v>50000</v>
      </c>
      <c r="D109" s="306">
        <v>60000</v>
      </c>
    </row>
    <row r="110" spans="1:4">
      <c r="A110" s="301" t="s">
        <v>130</v>
      </c>
      <c r="B110" s="319">
        <f>SUM(B109:B109)</f>
        <v>45000</v>
      </c>
      <c r="C110" s="319">
        <f>SUM(C109:C109)</f>
        <v>50000</v>
      </c>
      <c r="D110" s="319">
        <f>SUM(D109:D109)</f>
        <v>60000</v>
      </c>
    </row>
    <row r="111" spans="1:4">
      <c r="A111" s="324" t="s">
        <v>967</v>
      </c>
      <c r="B111" s="127"/>
      <c r="C111" s="127"/>
      <c r="D111" s="127"/>
    </row>
    <row r="112" spans="1:4">
      <c r="A112" s="110" t="s">
        <v>174</v>
      </c>
      <c r="B112" s="306">
        <v>129429</v>
      </c>
      <c r="C112" s="306">
        <v>139442</v>
      </c>
      <c r="D112" s="306">
        <v>143412</v>
      </c>
    </row>
    <row r="113" spans="1:4">
      <c r="A113" s="110" t="s">
        <v>175</v>
      </c>
      <c r="B113" s="306">
        <v>47690</v>
      </c>
      <c r="C113" s="306">
        <v>64920</v>
      </c>
      <c r="D113" s="306">
        <v>100000</v>
      </c>
    </row>
    <row r="114" spans="1:4">
      <c r="A114" s="110" t="s">
        <v>176</v>
      </c>
      <c r="B114" s="306">
        <v>2532</v>
      </c>
      <c r="C114" s="306">
        <v>6000</v>
      </c>
      <c r="D114" s="306">
        <v>6000</v>
      </c>
    </row>
    <row r="115" spans="1:4">
      <c r="A115" s="110" t="s">
        <v>177</v>
      </c>
      <c r="B115" s="306">
        <v>829</v>
      </c>
      <c r="C115" s="306">
        <v>500</v>
      </c>
      <c r="D115" s="306">
        <v>500</v>
      </c>
    </row>
    <row r="116" spans="1:4">
      <c r="A116" s="110" t="s">
        <v>958</v>
      </c>
      <c r="B116" s="306">
        <v>-880</v>
      </c>
      <c r="C116" s="306">
        <v>0</v>
      </c>
      <c r="D116" s="306">
        <v>0</v>
      </c>
    </row>
    <row r="117" spans="1:4">
      <c r="A117" s="301" t="s">
        <v>130</v>
      </c>
      <c r="B117" s="319">
        <f>SUM(B112:B116)</f>
        <v>179600</v>
      </c>
      <c r="C117" s="319">
        <f>SUM(C112:C116)</f>
        <v>210862</v>
      </c>
      <c r="D117" s="319">
        <f>SUM(D112:D116)</f>
        <v>249912</v>
      </c>
    </row>
    <row r="118" spans="1:4">
      <c r="A118" s="85"/>
      <c r="B118" s="127"/>
      <c r="C118" s="127"/>
      <c r="D118" s="127"/>
    </row>
    <row r="119" spans="1:4">
      <c r="A119" s="301" t="s">
        <v>311</v>
      </c>
      <c r="B119" s="312">
        <f>B78+B85+B92+B95+B100+B107+B110+B117</f>
        <v>1595779</v>
      </c>
      <c r="C119" s="312">
        <f>C78+C85+C92+C95+C100+C107+C110+C117</f>
        <v>1892700</v>
      </c>
      <c r="D119" s="312">
        <f>D78+D85+D92+D95+D100+D107+D110+D117</f>
        <v>2133469</v>
      </c>
    </row>
    <row r="120" spans="1:4">
      <c r="A120" s="85"/>
      <c r="B120" s="228"/>
      <c r="C120" s="228"/>
      <c r="D120" s="228"/>
    </row>
    <row r="121" spans="1:4">
      <c r="A121" s="790" t="s">
        <v>293</v>
      </c>
      <c r="B121" s="790"/>
      <c r="C121" s="790"/>
      <c r="D121" s="790"/>
    </row>
    <row r="122" spans="1:4">
      <c r="A122" s="228" t="str">
        <f>inputPrYr!C2</f>
        <v>Franklin County</v>
      </c>
      <c r="B122" s="228"/>
      <c r="C122" s="84"/>
      <c r="D122" s="326">
        <f>D1</f>
        <v>2013</v>
      </c>
    </row>
    <row r="123" spans="1:4">
      <c r="A123" s="85"/>
      <c r="B123" s="228"/>
      <c r="C123" s="228"/>
      <c r="D123" s="84"/>
    </row>
    <row r="124" spans="1:4">
      <c r="A124" s="313" t="s">
        <v>234</v>
      </c>
      <c r="B124" s="327"/>
      <c r="C124" s="327"/>
      <c r="D124" s="327"/>
    </row>
    <row r="125" spans="1:4">
      <c r="A125" s="85" t="s">
        <v>159</v>
      </c>
      <c r="B125" s="323" t="str">
        <f t="shared" ref="B125:D126" si="1">B4</f>
        <v xml:space="preserve">Prior Year </v>
      </c>
      <c r="C125" s="215" t="str">
        <f t="shared" si="1"/>
        <v xml:space="preserve">Current Year </v>
      </c>
      <c r="D125" s="215" t="str">
        <f t="shared" si="1"/>
        <v xml:space="preserve">Proposed Budget </v>
      </c>
    </row>
    <row r="126" spans="1:4">
      <c r="A126" s="114" t="s">
        <v>173</v>
      </c>
      <c r="B126" s="315" t="str">
        <f t="shared" si="1"/>
        <v>Actual for 2011</v>
      </c>
      <c r="C126" s="315" t="str">
        <f t="shared" si="1"/>
        <v>Estimate for 2012</v>
      </c>
      <c r="D126" s="315" t="str">
        <f t="shared" si="1"/>
        <v>Year for 2013</v>
      </c>
    </row>
    <row r="127" spans="1:4">
      <c r="A127" s="301" t="s">
        <v>169</v>
      </c>
      <c r="B127" s="127"/>
      <c r="C127" s="127"/>
      <c r="D127" s="127"/>
    </row>
    <row r="128" spans="1:4">
      <c r="A128" s="324" t="s">
        <v>968</v>
      </c>
      <c r="B128" s="127"/>
      <c r="C128" s="127"/>
      <c r="D128" s="127"/>
    </row>
    <row r="129" spans="1:4">
      <c r="A129" s="110" t="s">
        <v>175</v>
      </c>
      <c r="B129" s="306">
        <v>9046</v>
      </c>
      <c r="C129" s="306">
        <v>15500</v>
      </c>
      <c r="D129" s="306">
        <v>15500</v>
      </c>
    </row>
    <row r="130" spans="1:4">
      <c r="A130" s="110" t="s">
        <v>958</v>
      </c>
      <c r="B130" s="306">
        <v>0</v>
      </c>
      <c r="C130" s="306">
        <v>-3600</v>
      </c>
      <c r="D130" s="306">
        <v>-3600</v>
      </c>
    </row>
    <row r="131" spans="1:4">
      <c r="A131" s="301" t="s">
        <v>130</v>
      </c>
      <c r="B131" s="319">
        <f>SUM(B129:B130)</f>
        <v>9046</v>
      </c>
      <c r="C131" s="319">
        <f>SUM(C129:C130)</f>
        <v>11900</v>
      </c>
      <c r="D131" s="319">
        <f>SUM(D129:D130)</f>
        <v>11900</v>
      </c>
    </row>
    <row r="132" spans="1:4">
      <c r="A132" s="324" t="s">
        <v>969</v>
      </c>
      <c r="B132" s="127"/>
      <c r="C132" s="127"/>
      <c r="D132" s="127"/>
    </row>
    <row r="133" spans="1:4">
      <c r="A133" s="110" t="s">
        <v>174</v>
      </c>
      <c r="B133" s="306">
        <v>550415</v>
      </c>
      <c r="C133" s="306">
        <v>548381</v>
      </c>
      <c r="D133" s="306">
        <v>555139</v>
      </c>
    </row>
    <row r="134" spans="1:4">
      <c r="A134" s="110" t="s">
        <v>175</v>
      </c>
      <c r="B134" s="306">
        <v>3211</v>
      </c>
      <c r="C134" s="306">
        <v>5140</v>
      </c>
      <c r="D134" s="306">
        <v>7850</v>
      </c>
    </row>
    <row r="135" spans="1:4">
      <c r="A135" s="110" t="s">
        <v>176</v>
      </c>
      <c r="B135" s="306">
        <v>1487</v>
      </c>
      <c r="C135" s="306">
        <v>2200</v>
      </c>
      <c r="D135" s="306">
        <v>2800</v>
      </c>
    </row>
    <row r="136" spans="1:4">
      <c r="A136" s="110" t="s">
        <v>177</v>
      </c>
      <c r="B136" s="306">
        <v>0</v>
      </c>
      <c r="C136" s="306">
        <v>1000</v>
      </c>
      <c r="D136" s="306">
        <v>1300</v>
      </c>
    </row>
    <row r="137" spans="1:4">
      <c r="A137" s="110" t="s">
        <v>958</v>
      </c>
      <c r="B137" s="306">
        <v>-1290</v>
      </c>
      <c r="C137" s="306">
        <v>0</v>
      </c>
      <c r="D137" s="306">
        <v>0</v>
      </c>
    </row>
    <row r="138" spans="1:4">
      <c r="A138" s="301" t="s">
        <v>130</v>
      </c>
      <c r="B138" s="319">
        <f>SUM(B133:B137)</f>
        <v>553823</v>
      </c>
      <c r="C138" s="319">
        <f>SUM(C133:C137)</f>
        <v>556721</v>
      </c>
      <c r="D138" s="319">
        <f>SUM(D133:D137)</f>
        <v>567089</v>
      </c>
    </row>
    <row r="139" spans="1:4">
      <c r="A139" s="324" t="s">
        <v>970</v>
      </c>
      <c r="B139" s="127"/>
      <c r="C139" s="127"/>
      <c r="D139" s="127"/>
    </row>
    <row r="140" spans="1:4">
      <c r="A140" s="110" t="s">
        <v>174</v>
      </c>
      <c r="B140" s="306">
        <v>133423</v>
      </c>
      <c r="C140" s="306">
        <v>137468</v>
      </c>
      <c r="D140" s="306">
        <v>141743</v>
      </c>
    </row>
    <row r="141" spans="1:4">
      <c r="A141" s="110" t="s">
        <v>175</v>
      </c>
      <c r="B141" s="306">
        <v>18801</v>
      </c>
      <c r="C141" s="306">
        <v>22035</v>
      </c>
      <c r="D141" s="306">
        <v>22035</v>
      </c>
    </row>
    <row r="142" spans="1:4">
      <c r="A142" s="110" t="s">
        <v>176</v>
      </c>
      <c r="B142" s="306">
        <v>714</v>
      </c>
      <c r="C142" s="306">
        <v>1800</v>
      </c>
      <c r="D142" s="306">
        <v>1800</v>
      </c>
    </row>
    <row r="143" spans="1:4">
      <c r="A143" s="110" t="s">
        <v>177</v>
      </c>
      <c r="B143" s="306">
        <v>-3794</v>
      </c>
      <c r="C143" s="306">
        <v>0</v>
      </c>
      <c r="D143" s="306">
        <v>900</v>
      </c>
    </row>
    <row r="144" spans="1:4">
      <c r="A144" s="301" t="s">
        <v>130</v>
      </c>
      <c r="B144" s="319">
        <f>SUM(B140:B143)</f>
        <v>149144</v>
      </c>
      <c r="C144" s="319">
        <f>SUM(C140:C143)</f>
        <v>161303</v>
      </c>
      <c r="D144" s="319">
        <f>SUM(D140:D143)</f>
        <v>166478</v>
      </c>
    </row>
    <row r="145" spans="1:4">
      <c r="A145" s="324" t="s">
        <v>971</v>
      </c>
      <c r="B145" s="127"/>
      <c r="C145" s="127"/>
      <c r="D145" s="127"/>
    </row>
    <row r="146" spans="1:4">
      <c r="A146" s="110" t="s">
        <v>175</v>
      </c>
      <c r="B146" s="306">
        <v>203693</v>
      </c>
      <c r="C146" s="306">
        <v>216285</v>
      </c>
      <c r="D146" s="306">
        <v>231135</v>
      </c>
    </row>
    <row r="147" spans="1:4">
      <c r="A147" s="110" t="s">
        <v>176</v>
      </c>
      <c r="B147" s="306">
        <v>71680</v>
      </c>
      <c r="C147" s="306">
        <v>92400</v>
      </c>
      <c r="D147" s="306">
        <v>92500</v>
      </c>
    </row>
    <row r="148" spans="1:4">
      <c r="A148" s="110" t="s">
        <v>177</v>
      </c>
      <c r="B148" s="306">
        <v>33330</v>
      </c>
      <c r="C148" s="306">
        <v>30000</v>
      </c>
      <c r="D148" s="306">
        <v>35000</v>
      </c>
    </row>
    <row r="149" spans="1:4">
      <c r="A149" s="110" t="s">
        <v>958</v>
      </c>
      <c r="B149" s="306">
        <v>-84369</v>
      </c>
      <c r="C149" s="306">
        <v>-90000</v>
      </c>
      <c r="D149" s="306">
        <v>-90000</v>
      </c>
    </row>
    <row r="150" spans="1:4">
      <c r="A150" s="301" t="s">
        <v>130</v>
      </c>
      <c r="B150" s="319">
        <f>SUM(B146:B149)</f>
        <v>224334</v>
      </c>
      <c r="C150" s="319">
        <f>SUM(C146:C149)</f>
        <v>248685</v>
      </c>
      <c r="D150" s="319">
        <f>SUM(D146:D149)</f>
        <v>268635</v>
      </c>
    </row>
    <row r="151" spans="1:4">
      <c r="A151" s="324" t="s">
        <v>972</v>
      </c>
      <c r="B151" s="127"/>
      <c r="C151" s="127"/>
      <c r="D151" s="127"/>
    </row>
    <row r="152" spans="1:4">
      <c r="A152" s="110" t="s">
        <v>174</v>
      </c>
      <c r="B152" s="306">
        <v>72875</v>
      </c>
      <c r="C152" s="306">
        <v>72320</v>
      </c>
      <c r="D152" s="306">
        <v>74575</v>
      </c>
    </row>
    <row r="153" spans="1:4">
      <c r="A153" s="110" t="s">
        <v>175</v>
      </c>
      <c r="B153" s="306">
        <v>10971</v>
      </c>
      <c r="C153" s="306">
        <v>11701</v>
      </c>
      <c r="D153" s="306">
        <v>11701</v>
      </c>
    </row>
    <row r="154" spans="1:4">
      <c r="A154" s="110" t="s">
        <v>176</v>
      </c>
      <c r="B154" s="306">
        <v>3646</v>
      </c>
      <c r="C154" s="306">
        <v>3150</v>
      </c>
      <c r="D154" s="306">
        <v>3150</v>
      </c>
    </row>
    <row r="155" spans="1:4">
      <c r="A155" s="301" t="s">
        <v>130</v>
      </c>
      <c r="B155" s="319">
        <f>SUM(B152:B154)</f>
        <v>87492</v>
      </c>
      <c r="C155" s="319">
        <f>SUM(C152:C154)</f>
        <v>87171</v>
      </c>
      <c r="D155" s="319">
        <f>SUM(D152:D154)</f>
        <v>89426</v>
      </c>
    </row>
    <row r="156" spans="1:4">
      <c r="A156" s="324" t="s">
        <v>973</v>
      </c>
      <c r="B156" s="127"/>
      <c r="C156" s="127"/>
      <c r="D156" s="127"/>
    </row>
    <row r="157" spans="1:4">
      <c r="A157" s="110" t="s">
        <v>174</v>
      </c>
      <c r="B157" s="306">
        <v>547136</v>
      </c>
      <c r="C157" s="306">
        <v>592062</v>
      </c>
      <c r="D157" s="306">
        <v>592175</v>
      </c>
    </row>
    <row r="158" spans="1:4">
      <c r="A158" s="110" t="s">
        <v>175</v>
      </c>
      <c r="B158" s="306">
        <v>9923</v>
      </c>
      <c r="C158" s="306">
        <v>57812</v>
      </c>
      <c r="D158" s="306">
        <v>59700</v>
      </c>
    </row>
    <row r="159" spans="1:4">
      <c r="A159" s="110" t="s">
        <v>176</v>
      </c>
      <c r="B159" s="306">
        <v>14349</v>
      </c>
      <c r="C159" s="306">
        <v>19500</v>
      </c>
      <c r="D159" s="306">
        <v>15850</v>
      </c>
    </row>
    <row r="160" spans="1:4">
      <c r="A160" s="110" t="s">
        <v>177</v>
      </c>
      <c r="B160" s="306">
        <v>829</v>
      </c>
      <c r="C160" s="306">
        <v>1342</v>
      </c>
      <c r="D160" s="306">
        <v>1300</v>
      </c>
    </row>
    <row r="161" spans="1:4">
      <c r="A161" s="110" t="s">
        <v>958</v>
      </c>
      <c r="B161" s="451">
        <v>-160308</v>
      </c>
      <c r="C161" s="451">
        <v>-50000</v>
      </c>
      <c r="D161" s="451">
        <v>-50000</v>
      </c>
    </row>
    <row r="162" spans="1:4">
      <c r="A162" s="301" t="s">
        <v>130</v>
      </c>
      <c r="B162" s="319">
        <f>SUM(B157:B161)</f>
        <v>411929</v>
      </c>
      <c r="C162" s="319">
        <f>SUM(C157:C161)</f>
        <v>620716</v>
      </c>
      <c r="D162" s="319">
        <f>SUM(D157:D161)</f>
        <v>619025</v>
      </c>
    </row>
    <row r="163" spans="1:4">
      <c r="A163" s="324" t="s">
        <v>1059</v>
      </c>
      <c r="B163" s="127"/>
      <c r="C163" s="127"/>
      <c r="D163" s="127"/>
    </row>
    <row r="164" spans="1:4">
      <c r="A164" s="110" t="s">
        <v>1067</v>
      </c>
      <c r="B164" s="306"/>
      <c r="C164" s="306"/>
      <c r="D164" s="306">
        <v>158340</v>
      </c>
    </row>
    <row r="165" spans="1:4">
      <c r="A165" s="110"/>
      <c r="B165" s="306"/>
      <c r="C165" s="306"/>
      <c r="D165" s="306"/>
    </row>
    <row r="166" spans="1:4">
      <c r="A166" s="110"/>
      <c r="B166" s="306"/>
      <c r="C166" s="306"/>
      <c r="D166" s="306"/>
    </row>
    <row r="167" spans="1:4">
      <c r="A167" s="110"/>
      <c r="B167" s="306"/>
      <c r="C167" s="306"/>
      <c r="D167" s="306"/>
    </row>
    <row r="168" spans="1:4">
      <c r="A168" s="301" t="s">
        <v>130</v>
      </c>
      <c r="B168" s="319">
        <f>SUM(B164:B167)</f>
        <v>0</v>
      </c>
      <c r="C168" s="319">
        <f>SUM(C164:C167)</f>
        <v>0</v>
      </c>
      <c r="D168" s="319">
        <f>SUM(D164:D167)</f>
        <v>158340</v>
      </c>
    </row>
    <row r="169" spans="1:4">
      <c r="A169" s="324" t="s">
        <v>909</v>
      </c>
      <c r="B169" s="127"/>
      <c r="C169" s="127"/>
      <c r="D169" s="127"/>
    </row>
    <row r="170" spans="1:4">
      <c r="A170" s="110" t="s">
        <v>175</v>
      </c>
      <c r="B170" s="306"/>
      <c r="C170" s="306"/>
      <c r="D170" s="306">
        <v>95000</v>
      </c>
    </row>
    <row r="171" spans="1:4">
      <c r="A171" s="110"/>
      <c r="B171" s="306"/>
      <c r="C171" s="306"/>
      <c r="D171" s="306"/>
    </row>
    <row r="172" spans="1:4">
      <c r="A172" s="110"/>
      <c r="B172" s="306"/>
      <c r="C172" s="306"/>
      <c r="D172" s="306"/>
    </row>
    <row r="173" spans="1:4">
      <c r="A173" s="110"/>
      <c r="B173" s="306"/>
      <c r="C173" s="306"/>
      <c r="D173" s="306"/>
    </row>
    <row r="174" spans="1:4">
      <c r="A174" s="301" t="s">
        <v>130</v>
      </c>
      <c r="B174" s="319">
        <f>SUM(B170:B173)</f>
        <v>0</v>
      </c>
      <c r="C174" s="319">
        <f>SUM(C170:C173)</f>
        <v>0</v>
      </c>
      <c r="D174" s="319">
        <f>SUM(D170:D173)</f>
        <v>95000</v>
      </c>
    </row>
    <row r="175" spans="1:4">
      <c r="A175" s="301"/>
      <c r="B175" s="127"/>
      <c r="C175" s="127"/>
      <c r="D175" s="127"/>
    </row>
    <row r="176" spans="1:4">
      <c r="A176" s="301" t="s">
        <v>312</v>
      </c>
      <c r="B176" s="312">
        <f>B131+B138+B144+B150+B155+B162+B168+B174</f>
        <v>1435768</v>
      </c>
      <c r="C176" s="312">
        <f>C131+C138+C144+C150+C155+C162+C168+C174</f>
        <v>1686496</v>
      </c>
      <c r="D176" s="312">
        <f>D131+D138+D144+D150+D155+D162+D168+D174</f>
        <v>1975893</v>
      </c>
    </row>
    <row r="177" spans="1:4">
      <c r="A177" s="85"/>
      <c r="B177" s="228"/>
      <c r="C177" s="228"/>
      <c r="D177" s="228"/>
    </row>
    <row r="178" spans="1:4">
      <c r="A178" s="790" t="s">
        <v>294</v>
      </c>
      <c r="B178" s="790"/>
      <c r="C178" s="790"/>
      <c r="D178" s="790"/>
    </row>
    <row r="179" spans="1:4">
      <c r="A179" s="228" t="str">
        <f>inputPrYr!C2</f>
        <v>Franklin County</v>
      </c>
      <c r="B179" s="228"/>
      <c r="C179" s="84"/>
      <c r="D179" s="326">
        <f>D1</f>
        <v>2013</v>
      </c>
    </row>
    <row r="180" spans="1:4">
      <c r="A180" s="85"/>
      <c r="B180" s="228"/>
      <c r="C180" s="228"/>
      <c r="D180" s="84"/>
    </row>
    <row r="181" spans="1:4">
      <c r="A181" s="313" t="s">
        <v>234</v>
      </c>
      <c r="B181" s="327"/>
      <c r="C181" s="327"/>
      <c r="D181" s="327"/>
    </row>
    <row r="182" spans="1:4">
      <c r="A182" s="85" t="s">
        <v>159</v>
      </c>
      <c r="B182" s="323" t="str">
        <f t="shared" ref="B182:D183" si="2">B4</f>
        <v xml:space="preserve">Prior Year </v>
      </c>
      <c r="C182" s="215" t="str">
        <f t="shared" si="2"/>
        <v xml:space="preserve">Current Year </v>
      </c>
      <c r="D182" s="215" t="str">
        <f t="shared" si="2"/>
        <v xml:space="preserve">Proposed Budget </v>
      </c>
    </row>
    <row r="183" spans="1:4">
      <c r="A183" s="114" t="s">
        <v>173</v>
      </c>
      <c r="B183" s="315" t="str">
        <f t="shared" si="2"/>
        <v>Actual for 2011</v>
      </c>
      <c r="C183" s="315" t="str">
        <f t="shared" si="2"/>
        <v>Estimate for 2012</v>
      </c>
      <c r="D183" s="315" t="str">
        <f t="shared" si="2"/>
        <v>Year for 2013</v>
      </c>
    </row>
    <row r="184" spans="1:4">
      <c r="A184" s="301" t="s">
        <v>169</v>
      </c>
      <c r="B184" s="127"/>
      <c r="C184" s="127"/>
      <c r="D184" s="127"/>
    </row>
    <row r="185" spans="1:4">
      <c r="A185" s="324" t="s">
        <v>1060</v>
      </c>
      <c r="B185" s="127"/>
      <c r="C185" s="127"/>
      <c r="D185" s="127"/>
    </row>
    <row r="186" spans="1:4">
      <c r="A186" s="110" t="s">
        <v>175</v>
      </c>
      <c r="B186" s="306"/>
      <c r="C186" s="306"/>
      <c r="D186" s="306">
        <v>277404</v>
      </c>
    </row>
    <row r="187" spans="1:4">
      <c r="A187" s="110" t="s">
        <v>958</v>
      </c>
      <c r="B187" s="306"/>
      <c r="C187" s="306"/>
      <c r="D187" s="306">
        <v>-83429</v>
      </c>
    </row>
    <row r="188" spans="1:4">
      <c r="A188" s="110"/>
      <c r="B188" s="306"/>
      <c r="C188" s="306"/>
      <c r="D188" s="306"/>
    </row>
    <row r="189" spans="1:4">
      <c r="A189" s="110"/>
      <c r="B189" s="306"/>
      <c r="C189" s="306"/>
      <c r="D189" s="306"/>
    </row>
    <row r="190" spans="1:4">
      <c r="A190" s="301" t="s">
        <v>130</v>
      </c>
      <c r="B190" s="319">
        <f>SUM(B186:B189)</f>
        <v>0</v>
      </c>
      <c r="C190" s="319">
        <f>SUM(C186:C189)</f>
        <v>0</v>
      </c>
      <c r="D190" s="319">
        <f>SUM(D186:D189)</f>
        <v>193975</v>
      </c>
    </row>
    <row r="191" spans="1:4">
      <c r="A191" s="324" t="s">
        <v>1061</v>
      </c>
      <c r="B191" s="127"/>
      <c r="C191" s="127"/>
      <c r="D191" s="127"/>
    </row>
    <row r="192" spans="1:4">
      <c r="A192" s="110" t="s">
        <v>175</v>
      </c>
      <c r="B192" s="306"/>
      <c r="C192" s="306"/>
      <c r="D192" s="306">
        <v>43780</v>
      </c>
    </row>
    <row r="193" spans="1:4">
      <c r="A193" s="110"/>
      <c r="B193" s="306"/>
      <c r="C193" s="306"/>
      <c r="D193" s="306"/>
    </row>
    <row r="194" spans="1:4">
      <c r="A194" s="110"/>
      <c r="B194" s="306"/>
      <c r="C194" s="306"/>
      <c r="D194" s="306"/>
    </row>
    <row r="195" spans="1:4">
      <c r="A195" s="110"/>
      <c r="B195" s="306"/>
      <c r="C195" s="306"/>
      <c r="D195" s="306"/>
    </row>
    <row r="196" spans="1:4">
      <c r="A196" s="301" t="s">
        <v>130</v>
      </c>
      <c r="B196" s="127">
        <f>SUM(B192:B195)</f>
        <v>0</v>
      </c>
      <c r="C196" s="127">
        <f>SUM(C192:C195)</f>
        <v>0</v>
      </c>
      <c r="D196" s="127">
        <f>SUM(D192:D195)</f>
        <v>43780</v>
      </c>
    </row>
    <row r="197" spans="1:4">
      <c r="A197" s="324"/>
      <c r="B197" s="127"/>
      <c r="C197" s="127"/>
      <c r="D197" s="127"/>
    </row>
    <row r="198" spans="1:4">
      <c r="A198" s="110"/>
      <c r="B198" s="306"/>
      <c r="C198" s="306"/>
      <c r="D198" s="306"/>
    </row>
    <row r="199" spans="1:4">
      <c r="A199" s="110"/>
      <c r="B199" s="306"/>
      <c r="C199" s="306"/>
      <c r="D199" s="306"/>
    </row>
    <row r="200" spans="1:4">
      <c r="A200" s="110"/>
      <c r="B200" s="306"/>
      <c r="C200" s="306"/>
      <c r="D200" s="306"/>
    </row>
    <row r="201" spans="1:4">
      <c r="A201" s="110"/>
      <c r="B201" s="306"/>
      <c r="C201" s="306"/>
      <c r="D201" s="306"/>
    </row>
    <row r="202" spans="1:4">
      <c r="A202" s="301" t="s">
        <v>130</v>
      </c>
      <c r="B202" s="319">
        <f>SUM(B198:B201)</f>
        <v>0</v>
      </c>
      <c r="C202" s="319">
        <f>SUM(C198:C201)</f>
        <v>0</v>
      </c>
      <c r="D202" s="319">
        <f>SUM(D198:D201)</f>
        <v>0</v>
      </c>
    </row>
    <row r="203" spans="1:4">
      <c r="A203" s="324"/>
      <c r="B203" s="127"/>
      <c r="C203" s="127"/>
      <c r="D203" s="127"/>
    </row>
    <row r="204" spans="1:4">
      <c r="A204" s="110"/>
      <c r="B204" s="306"/>
      <c r="C204" s="306"/>
      <c r="D204" s="306"/>
    </row>
    <row r="205" spans="1:4">
      <c r="A205" s="110"/>
      <c r="B205" s="306"/>
      <c r="C205" s="306"/>
      <c r="D205" s="306"/>
    </row>
    <row r="206" spans="1:4">
      <c r="A206" s="110"/>
      <c r="B206" s="306"/>
      <c r="C206" s="306"/>
      <c r="D206" s="306"/>
    </row>
    <row r="207" spans="1:4">
      <c r="A207" s="110"/>
      <c r="B207" s="306"/>
      <c r="C207" s="306"/>
      <c r="D207" s="306"/>
    </row>
    <row r="208" spans="1:4">
      <c r="A208" s="301" t="s">
        <v>130</v>
      </c>
      <c r="B208" s="127">
        <f>SUM(B204:B207)</f>
        <v>0</v>
      </c>
      <c r="C208" s="127">
        <f>SUM(C204:C207)</f>
        <v>0</v>
      </c>
      <c r="D208" s="127">
        <f>SUM(D204:D207)</f>
        <v>0</v>
      </c>
    </row>
    <row r="209" spans="1:4">
      <c r="A209" s="324"/>
      <c r="B209" s="127"/>
      <c r="C209" s="127"/>
      <c r="D209" s="127"/>
    </row>
    <row r="210" spans="1:4">
      <c r="A210" s="110"/>
      <c r="B210" s="306"/>
      <c r="C210" s="306"/>
      <c r="D210" s="306"/>
    </row>
    <row r="211" spans="1:4">
      <c r="A211" s="110"/>
      <c r="B211" s="306"/>
      <c r="C211" s="306"/>
      <c r="D211" s="306"/>
    </row>
    <row r="212" spans="1:4">
      <c r="A212" s="110"/>
      <c r="B212" s="306"/>
      <c r="C212" s="306"/>
      <c r="D212" s="306"/>
    </row>
    <row r="213" spans="1:4">
      <c r="A213" s="110"/>
      <c r="B213" s="306"/>
      <c r="C213" s="306"/>
      <c r="D213" s="306"/>
    </row>
    <row r="214" spans="1:4">
      <c r="A214" s="301" t="s">
        <v>130</v>
      </c>
      <c r="B214" s="319">
        <f>SUM(B210:B213)</f>
        <v>0</v>
      </c>
      <c r="C214" s="319">
        <f>SUM(C210:C213)</f>
        <v>0</v>
      </c>
      <c r="D214" s="319">
        <f>SUM(D210:D213)</f>
        <v>0</v>
      </c>
    </row>
    <row r="215" spans="1:4">
      <c r="A215" s="324"/>
      <c r="B215" s="127"/>
      <c r="C215" s="127"/>
      <c r="D215" s="127"/>
    </row>
    <row r="216" spans="1:4">
      <c r="A216" s="110"/>
      <c r="B216" s="306"/>
      <c r="C216" s="306"/>
      <c r="D216" s="306"/>
    </row>
    <row r="217" spans="1:4">
      <c r="A217" s="110"/>
      <c r="B217" s="306"/>
      <c r="C217" s="306"/>
      <c r="D217" s="306"/>
    </row>
    <row r="218" spans="1:4">
      <c r="A218" s="110"/>
      <c r="B218" s="306"/>
      <c r="C218" s="306"/>
      <c r="D218" s="306"/>
    </row>
    <row r="219" spans="1:4">
      <c r="A219" s="110"/>
      <c r="B219" s="306"/>
      <c r="C219" s="306"/>
      <c r="D219" s="306"/>
    </row>
    <row r="220" spans="1:4">
      <c r="A220" s="301" t="s">
        <v>130</v>
      </c>
      <c r="B220" s="319">
        <f>SUM(B216:B219)</f>
        <v>0</v>
      </c>
      <c r="C220" s="319">
        <f>SUM(C216:C219)</f>
        <v>0</v>
      </c>
      <c r="D220" s="319">
        <f>SUM(D216:D219)</f>
        <v>0</v>
      </c>
    </row>
    <row r="221" spans="1:4">
      <c r="A221" s="324"/>
      <c r="B221" s="127"/>
      <c r="C221" s="127"/>
      <c r="D221" s="127"/>
    </row>
    <row r="222" spans="1:4">
      <c r="A222" s="110"/>
      <c r="B222" s="306"/>
      <c r="C222" s="306"/>
      <c r="D222" s="306"/>
    </row>
    <row r="223" spans="1:4">
      <c r="A223" s="301" t="s">
        <v>130</v>
      </c>
      <c r="B223" s="319">
        <f>B222</f>
        <v>0</v>
      </c>
      <c r="C223" s="319">
        <f>C222</f>
        <v>0</v>
      </c>
      <c r="D223" s="319">
        <f>D222</f>
        <v>0</v>
      </c>
    </row>
    <row r="224" spans="1:4">
      <c r="A224" s="324"/>
      <c r="B224" s="127"/>
      <c r="C224" s="127"/>
      <c r="D224" s="127"/>
    </row>
    <row r="225" spans="1:4">
      <c r="A225" s="110"/>
      <c r="B225" s="306"/>
      <c r="C225" s="306"/>
      <c r="D225" s="306"/>
    </row>
    <row r="226" spans="1:4">
      <c r="A226" s="110"/>
      <c r="B226" s="306"/>
      <c r="C226" s="306"/>
      <c r="D226" s="306"/>
    </row>
    <row r="227" spans="1:4">
      <c r="A227" s="110"/>
      <c r="B227" s="306"/>
      <c r="C227" s="306"/>
      <c r="D227" s="306"/>
    </row>
    <row r="228" spans="1:4">
      <c r="A228" s="110"/>
      <c r="B228" s="306"/>
      <c r="C228" s="306"/>
      <c r="D228" s="306"/>
    </row>
    <row r="229" spans="1:4">
      <c r="A229" s="301" t="s">
        <v>130</v>
      </c>
      <c r="B229" s="319">
        <f>SUM(B225:B228)</f>
        <v>0</v>
      </c>
      <c r="C229" s="319">
        <f>SUM(C225:C228)</f>
        <v>0</v>
      </c>
      <c r="D229" s="319">
        <f>SUM(D225:D228)</f>
        <v>0</v>
      </c>
    </row>
    <row r="230" spans="1:4">
      <c r="A230" s="324"/>
      <c r="B230" s="127"/>
      <c r="C230" s="127"/>
      <c r="D230" s="127"/>
    </row>
    <row r="231" spans="1:4">
      <c r="A231" s="110"/>
      <c r="B231" s="306"/>
      <c r="C231" s="306"/>
      <c r="D231" s="306"/>
    </row>
    <row r="232" spans="1:4">
      <c r="A232" s="110"/>
      <c r="B232" s="306"/>
      <c r="C232" s="306"/>
      <c r="D232" s="306"/>
    </row>
    <row r="233" spans="1:4">
      <c r="A233" s="110"/>
      <c r="B233" s="306"/>
      <c r="C233" s="306"/>
      <c r="D233" s="306"/>
    </row>
    <row r="234" spans="1:4">
      <c r="A234" s="110"/>
      <c r="B234" s="306"/>
      <c r="C234" s="306"/>
      <c r="D234" s="306"/>
    </row>
    <row r="235" spans="1:4">
      <c r="A235" s="301" t="s">
        <v>130</v>
      </c>
      <c r="B235" s="319">
        <f>SUM(B231:B234)</f>
        <v>0</v>
      </c>
      <c r="C235" s="319">
        <f>SUM(C231:C234)</f>
        <v>0</v>
      </c>
      <c r="D235" s="319">
        <f>SUM(D231:D234)</f>
        <v>0</v>
      </c>
    </row>
    <row r="236" spans="1:4">
      <c r="A236" s="301"/>
      <c r="B236" s="319"/>
      <c r="C236" s="319"/>
      <c r="D236" s="319"/>
    </row>
    <row r="237" spans="1:4">
      <c r="A237" s="301" t="s">
        <v>313</v>
      </c>
      <c r="B237" s="312">
        <f>B190+B196+B202+B208+B214+B220+B222+B229+B235</f>
        <v>0</v>
      </c>
      <c r="C237" s="312">
        <f>C190+C196+C202+C208+C214+C220+C222+C229+C235</f>
        <v>0</v>
      </c>
      <c r="D237" s="312">
        <f>D190+D196+D202+D208+D214+D220+D222+D229+D235</f>
        <v>237755</v>
      </c>
    </row>
    <row r="238" spans="1:4">
      <c r="A238" s="85"/>
      <c r="B238" s="228"/>
      <c r="C238" s="228"/>
      <c r="D238" s="228"/>
    </row>
    <row r="239" spans="1:4">
      <c r="A239" s="790" t="s">
        <v>295</v>
      </c>
      <c r="B239" s="790"/>
      <c r="C239" s="790"/>
      <c r="D239" s="790"/>
    </row>
    <row r="240" spans="1:4">
      <c r="A240" s="228" t="str">
        <f>inputPrYr!C2</f>
        <v>Franklin County</v>
      </c>
      <c r="B240" s="228"/>
      <c r="C240" s="84"/>
      <c r="D240" s="326">
        <f>D1</f>
        <v>2013</v>
      </c>
    </row>
    <row r="241" spans="1:4">
      <c r="A241" s="85"/>
      <c r="B241" s="228"/>
      <c r="C241" s="228"/>
      <c r="D241" s="84"/>
    </row>
    <row r="242" spans="1:4">
      <c r="A242" s="313" t="s">
        <v>234</v>
      </c>
      <c r="B242" s="327"/>
      <c r="C242" s="327"/>
      <c r="D242" s="327"/>
    </row>
    <row r="243" spans="1:4">
      <c r="A243" s="85" t="s">
        <v>159</v>
      </c>
      <c r="B243" s="323" t="str">
        <f t="shared" ref="B243:D244" si="3">B4</f>
        <v xml:space="preserve">Prior Year </v>
      </c>
      <c r="C243" s="215" t="str">
        <f t="shared" si="3"/>
        <v xml:space="preserve">Current Year </v>
      </c>
      <c r="D243" s="215" t="str">
        <f t="shared" si="3"/>
        <v xml:space="preserve">Proposed Budget </v>
      </c>
    </row>
    <row r="244" spans="1:4">
      <c r="A244" s="114" t="s">
        <v>173</v>
      </c>
      <c r="B244" s="315" t="str">
        <f t="shared" si="3"/>
        <v>Actual for 2011</v>
      </c>
      <c r="C244" s="315" t="str">
        <f t="shared" si="3"/>
        <v>Estimate for 2012</v>
      </c>
      <c r="D244" s="315" t="str">
        <f t="shared" si="3"/>
        <v>Year for 2013</v>
      </c>
    </row>
    <row r="245" spans="1:4">
      <c r="A245" s="262" t="s">
        <v>169</v>
      </c>
      <c r="B245" s="127"/>
      <c r="C245" s="127"/>
      <c r="D245" s="127"/>
    </row>
    <row r="246" spans="1:4">
      <c r="A246" s="324"/>
      <c r="B246" s="127"/>
      <c r="C246" s="127"/>
      <c r="D246" s="127"/>
    </row>
    <row r="247" spans="1:4">
      <c r="A247" s="110"/>
      <c r="B247" s="306"/>
      <c r="C247" s="306"/>
      <c r="D247" s="306"/>
    </row>
    <row r="248" spans="1:4">
      <c r="A248" s="110"/>
      <c r="B248" s="306"/>
      <c r="C248" s="306"/>
      <c r="D248" s="306"/>
    </row>
    <row r="249" spans="1:4">
      <c r="A249" s="110"/>
      <c r="B249" s="306"/>
      <c r="C249" s="306"/>
      <c r="D249" s="306"/>
    </row>
    <row r="250" spans="1:4">
      <c r="A250" s="110"/>
      <c r="B250" s="306"/>
      <c r="C250" s="306"/>
      <c r="D250" s="306"/>
    </row>
    <row r="251" spans="1:4">
      <c r="A251" s="301" t="s">
        <v>130</v>
      </c>
      <c r="B251" s="319">
        <f>SUM(B247:B250)</f>
        <v>0</v>
      </c>
      <c r="C251" s="319">
        <f>SUM(C247:C250)</f>
        <v>0</v>
      </c>
      <c r="D251" s="319">
        <f>SUM(D247:D250)</f>
        <v>0</v>
      </c>
    </row>
    <row r="252" spans="1:4">
      <c r="A252" s="324"/>
      <c r="B252" s="127"/>
      <c r="C252" s="127"/>
      <c r="D252" s="127"/>
    </row>
    <row r="253" spans="1:4">
      <c r="A253" s="110"/>
      <c r="B253" s="306"/>
      <c r="C253" s="306"/>
      <c r="D253" s="306"/>
    </row>
    <row r="254" spans="1:4">
      <c r="A254" s="110"/>
      <c r="B254" s="306"/>
      <c r="C254" s="306"/>
      <c r="D254" s="306"/>
    </row>
    <row r="255" spans="1:4">
      <c r="A255" s="110"/>
      <c r="B255" s="306"/>
      <c r="C255" s="306"/>
      <c r="D255" s="306"/>
    </row>
    <row r="256" spans="1:4">
      <c r="A256" s="110"/>
      <c r="B256" s="306"/>
      <c r="C256" s="306"/>
      <c r="D256" s="306"/>
    </row>
    <row r="257" spans="1:4">
      <c r="A257" s="301" t="s">
        <v>130</v>
      </c>
      <c r="B257" s="319">
        <f>SUM(B253:B256)</f>
        <v>0</v>
      </c>
      <c r="C257" s="319">
        <f>SUM(C253:C256)</f>
        <v>0</v>
      </c>
      <c r="D257" s="319">
        <f>SUM(D253:D256)</f>
        <v>0</v>
      </c>
    </row>
    <row r="258" spans="1:4">
      <c r="A258" s="324"/>
      <c r="B258" s="127"/>
      <c r="C258" s="127"/>
      <c r="D258" s="127"/>
    </row>
    <row r="259" spans="1:4">
      <c r="A259" s="110"/>
      <c r="B259" s="306"/>
      <c r="C259" s="306"/>
      <c r="D259" s="306"/>
    </row>
    <row r="260" spans="1:4">
      <c r="A260" s="110"/>
      <c r="B260" s="306"/>
      <c r="C260" s="306"/>
      <c r="D260" s="306"/>
    </row>
    <row r="261" spans="1:4">
      <c r="A261" s="110"/>
      <c r="B261" s="306"/>
      <c r="C261" s="306"/>
      <c r="D261" s="306"/>
    </row>
    <row r="262" spans="1:4">
      <c r="A262" s="110"/>
      <c r="B262" s="306"/>
      <c r="C262" s="306"/>
      <c r="D262" s="306"/>
    </row>
    <row r="263" spans="1:4">
      <c r="A263" s="301" t="s">
        <v>130</v>
      </c>
      <c r="B263" s="319">
        <f>SUM(B259:B262)</f>
        <v>0</v>
      </c>
      <c r="C263" s="319">
        <f>SUM(C259:C262)</f>
        <v>0</v>
      </c>
      <c r="D263" s="319">
        <f>SUM(D259:D262)</f>
        <v>0</v>
      </c>
    </row>
    <row r="264" spans="1:4">
      <c r="A264" s="324"/>
      <c r="B264" s="127"/>
      <c r="C264" s="127"/>
      <c r="D264" s="127"/>
    </row>
    <row r="265" spans="1:4">
      <c r="A265" s="110"/>
      <c r="B265" s="306"/>
      <c r="C265" s="306"/>
      <c r="D265" s="306"/>
    </row>
    <row r="266" spans="1:4">
      <c r="A266" s="110"/>
      <c r="B266" s="306"/>
      <c r="C266" s="306"/>
      <c r="D266" s="306"/>
    </row>
    <row r="267" spans="1:4">
      <c r="A267" s="110"/>
      <c r="B267" s="306"/>
      <c r="C267" s="306"/>
      <c r="D267" s="306"/>
    </row>
    <row r="268" spans="1:4">
      <c r="A268" s="110"/>
      <c r="B268" s="306"/>
      <c r="C268" s="306"/>
      <c r="D268" s="306"/>
    </row>
    <row r="269" spans="1:4">
      <c r="A269" s="301" t="s">
        <v>130</v>
      </c>
      <c r="B269" s="319">
        <f>SUM(B265:B268)</f>
        <v>0</v>
      </c>
      <c r="C269" s="319">
        <f>SUM(C265:C268)</f>
        <v>0</v>
      </c>
      <c r="D269" s="319">
        <f>SUM(D265:D268)</f>
        <v>0</v>
      </c>
    </row>
    <row r="270" spans="1:4">
      <c r="A270" s="324"/>
      <c r="B270" s="127"/>
      <c r="C270" s="127"/>
      <c r="D270" s="127"/>
    </row>
    <row r="271" spans="1:4">
      <c r="A271" s="110"/>
      <c r="B271" s="306"/>
      <c r="C271" s="306"/>
      <c r="D271" s="306"/>
    </row>
    <row r="272" spans="1:4">
      <c r="A272" s="110"/>
      <c r="B272" s="306"/>
      <c r="C272" s="306"/>
      <c r="D272" s="306"/>
    </row>
    <row r="273" spans="1:4">
      <c r="A273" s="301" t="s">
        <v>130</v>
      </c>
      <c r="B273" s="319">
        <f>SUM(B271:B272)</f>
        <v>0</v>
      </c>
      <c r="C273" s="319">
        <f>SUM(C271:C272)</f>
        <v>0</v>
      </c>
      <c r="D273" s="319">
        <f>SUM(D271:D272)</f>
        <v>0</v>
      </c>
    </row>
    <row r="274" spans="1:4">
      <c r="A274" s="324"/>
      <c r="B274" s="127"/>
      <c r="C274" s="127"/>
      <c r="D274" s="127"/>
    </row>
    <row r="275" spans="1:4">
      <c r="A275" s="110"/>
      <c r="B275" s="306"/>
      <c r="C275" s="306"/>
      <c r="D275" s="306"/>
    </row>
    <row r="276" spans="1:4">
      <c r="A276" s="110"/>
      <c r="B276" s="306"/>
      <c r="C276" s="306"/>
      <c r="D276" s="306"/>
    </row>
    <row r="277" spans="1:4">
      <c r="A277" s="110"/>
      <c r="B277" s="306"/>
      <c r="C277" s="306"/>
      <c r="D277" s="306"/>
    </row>
    <row r="278" spans="1:4">
      <c r="A278" s="110"/>
      <c r="B278" s="306"/>
      <c r="C278" s="306"/>
      <c r="D278" s="306"/>
    </row>
    <row r="279" spans="1:4">
      <c r="A279" s="301" t="s">
        <v>130</v>
      </c>
      <c r="B279" s="319">
        <f>SUM(B275:B278)</f>
        <v>0</v>
      </c>
      <c r="C279" s="319">
        <f>SUM(C275:C278)</f>
        <v>0</v>
      </c>
      <c r="D279" s="319">
        <f>SUM(D275:D278)</f>
        <v>0</v>
      </c>
    </row>
    <row r="280" spans="1:4">
      <c r="A280" s="324"/>
      <c r="B280" s="127"/>
      <c r="C280" s="127"/>
      <c r="D280" s="127"/>
    </row>
    <row r="281" spans="1:4">
      <c r="A281" s="110"/>
      <c r="B281" s="306"/>
      <c r="C281" s="306"/>
      <c r="D281" s="306"/>
    </row>
    <row r="282" spans="1:4">
      <c r="A282" s="110"/>
      <c r="B282" s="306"/>
      <c r="C282" s="306"/>
      <c r="D282" s="306"/>
    </row>
    <row r="283" spans="1:4">
      <c r="A283" s="110"/>
      <c r="B283" s="306"/>
      <c r="C283" s="306"/>
      <c r="D283" s="306"/>
    </row>
    <row r="284" spans="1:4">
      <c r="A284" s="110"/>
      <c r="B284" s="306"/>
      <c r="C284" s="306"/>
      <c r="D284" s="306"/>
    </row>
    <row r="285" spans="1:4">
      <c r="A285" s="301" t="s">
        <v>130</v>
      </c>
      <c r="B285" s="319">
        <f>SUM(B281:B284)</f>
        <v>0</v>
      </c>
      <c r="C285" s="319">
        <f>SUM(C281:C284)</f>
        <v>0</v>
      </c>
      <c r="D285" s="319">
        <f>SUM(D281:D284)</f>
        <v>0</v>
      </c>
    </row>
    <row r="286" spans="1:4">
      <c r="A286" s="301"/>
      <c r="B286" s="127"/>
      <c r="C286" s="127"/>
      <c r="D286" s="127"/>
    </row>
    <row r="287" spans="1:4">
      <c r="A287" s="301" t="s">
        <v>314</v>
      </c>
      <c r="B287" s="319">
        <f>B251+B257+B263+B269+B273+B279+B285</f>
        <v>0</v>
      </c>
      <c r="C287" s="319">
        <f>C251+C257+C263+C269+C273+C279+C285</f>
        <v>0</v>
      </c>
      <c r="D287" s="319">
        <f>D251+D257+D263+D269+D273+D279+D285</f>
        <v>0</v>
      </c>
    </row>
    <row r="288" spans="1:4">
      <c r="A288" s="301"/>
      <c r="B288" s="127"/>
      <c r="C288" s="127"/>
      <c r="D288" s="127"/>
    </row>
    <row r="289" spans="1:4">
      <c r="A289" s="301" t="s">
        <v>315</v>
      </c>
      <c r="B289" s="319">
        <f>B62</f>
        <v>3646151</v>
      </c>
      <c r="C289" s="319">
        <f>C62</f>
        <v>3632160</v>
      </c>
      <c r="D289" s="319">
        <f>D62</f>
        <v>3732576</v>
      </c>
    </row>
    <row r="290" spans="1:4">
      <c r="A290" s="85"/>
      <c r="B290" s="127"/>
      <c r="C290" s="127"/>
      <c r="D290" s="127"/>
    </row>
    <row r="291" spans="1:4">
      <c r="A291" s="301" t="s">
        <v>316</v>
      </c>
      <c r="B291" s="319">
        <f>B119</f>
        <v>1595779</v>
      </c>
      <c r="C291" s="319">
        <f>C119</f>
        <v>1892700</v>
      </c>
      <c r="D291" s="319">
        <f>D119</f>
        <v>2133469</v>
      </c>
    </row>
    <row r="292" spans="1:4">
      <c r="A292" s="85"/>
      <c r="B292" s="127"/>
      <c r="C292" s="127"/>
      <c r="D292" s="127"/>
    </row>
    <row r="293" spans="1:4">
      <c r="A293" s="301" t="s">
        <v>312</v>
      </c>
      <c r="B293" s="319">
        <f>B176</f>
        <v>1435768</v>
      </c>
      <c r="C293" s="319">
        <f>C176</f>
        <v>1686496</v>
      </c>
      <c r="D293" s="319">
        <f>D176</f>
        <v>1975893</v>
      </c>
    </row>
    <row r="294" spans="1:4">
      <c r="A294" s="85"/>
      <c r="B294" s="127"/>
      <c r="C294" s="127"/>
      <c r="D294" s="127"/>
    </row>
    <row r="295" spans="1:4">
      <c r="A295" s="301" t="s">
        <v>313</v>
      </c>
      <c r="B295" s="319">
        <f>B237</f>
        <v>0</v>
      </c>
      <c r="C295" s="319">
        <f>C237</f>
        <v>0</v>
      </c>
      <c r="D295" s="319">
        <f>D237</f>
        <v>237755</v>
      </c>
    </row>
    <row r="296" spans="1:4">
      <c r="A296" s="85"/>
      <c r="B296" s="127"/>
      <c r="C296" s="127"/>
      <c r="D296" s="127"/>
    </row>
    <row r="297" spans="1:4" ht="16.5" thickBot="1">
      <c r="A297" s="262" t="s">
        <v>29</v>
      </c>
      <c r="B297" s="329">
        <f>SUM(B287:B296)</f>
        <v>6677698</v>
      </c>
      <c r="C297" s="329">
        <f>SUM(C287:C296)</f>
        <v>7211356</v>
      </c>
      <c r="D297" s="329">
        <f>SUM(D287:D296)</f>
        <v>8079693</v>
      </c>
    </row>
    <row r="298" spans="1:4" ht="16.5" thickTop="1">
      <c r="A298" s="330" t="s">
        <v>30</v>
      </c>
      <c r="B298" s="331"/>
      <c r="C298" s="331"/>
      <c r="D298" s="331"/>
    </row>
    <row r="299" spans="1:4">
      <c r="A299" s="790" t="s">
        <v>317</v>
      </c>
      <c r="B299" s="790"/>
      <c r="C299" s="790"/>
      <c r="D299" s="790"/>
    </row>
    <row r="300" spans="1:4">
      <c r="B300" s="332"/>
      <c r="C300" s="332"/>
      <c r="D300" s="332"/>
    </row>
    <row r="301" spans="1:4">
      <c r="B301" s="332"/>
      <c r="C301" s="332"/>
      <c r="D301" s="332"/>
    </row>
    <row r="302" spans="1:4">
      <c r="B302" s="332"/>
      <c r="C302" s="332"/>
      <c r="D302" s="332"/>
    </row>
    <row r="303" spans="1:4">
      <c r="B303" s="332"/>
      <c r="C303" s="332"/>
      <c r="D303" s="332"/>
    </row>
    <row r="304" spans="1:4">
      <c r="B304" s="332"/>
      <c r="C304" s="332"/>
      <c r="D304" s="332"/>
    </row>
    <row r="305" spans="2:4">
      <c r="B305" s="332"/>
      <c r="C305" s="332"/>
      <c r="D305" s="332"/>
    </row>
    <row r="306" spans="2:4">
      <c r="B306" s="332"/>
      <c r="C306" s="332"/>
      <c r="D306" s="332"/>
    </row>
    <row r="307" spans="2:4">
      <c r="B307" s="332"/>
      <c r="C307" s="332"/>
      <c r="D307" s="332"/>
    </row>
    <row r="308" spans="2:4">
      <c r="B308" s="332"/>
      <c r="C308" s="332"/>
      <c r="D308" s="332"/>
    </row>
    <row r="309" spans="2:4">
      <c r="B309" s="332"/>
      <c r="C309" s="332"/>
      <c r="D309" s="332"/>
    </row>
    <row r="310" spans="2:4">
      <c r="B310" s="332"/>
      <c r="C310" s="332"/>
      <c r="D310" s="332"/>
    </row>
    <row r="311" spans="2:4">
      <c r="B311" s="332"/>
      <c r="C311" s="332"/>
      <c r="D311" s="332"/>
    </row>
    <row r="312" spans="2:4">
      <c r="B312" s="332"/>
      <c r="C312" s="332"/>
      <c r="D312" s="332"/>
    </row>
    <row r="313" spans="2:4">
      <c r="B313" s="332"/>
      <c r="C313" s="332"/>
      <c r="D313" s="332"/>
    </row>
    <row r="314" spans="2:4">
      <c r="B314" s="332"/>
      <c r="C314" s="332"/>
      <c r="D314" s="332"/>
    </row>
    <row r="315" spans="2:4">
      <c r="B315" s="332"/>
      <c r="C315" s="332"/>
      <c r="D315" s="332"/>
    </row>
    <row r="316" spans="2:4">
      <c r="B316" s="332"/>
      <c r="C316" s="332"/>
      <c r="D316" s="332"/>
    </row>
    <row r="317" spans="2:4">
      <c r="B317" s="332"/>
      <c r="C317" s="332"/>
      <c r="D317" s="332"/>
    </row>
    <row r="318" spans="2:4">
      <c r="B318" s="332"/>
      <c r="C318" s="332"/>
      <c r="D318" s="332"/>
    </row>
    <row r="319" spans="2:4">
      <c r="B319" s="332"/>
      <c r="C319" s="332"/>
      <c r="D319" s="332"/>
    </row>
    <row r="320" spans="2:4">
      <c r="B320" s="332"/>
      <c r="C320" s="332"/>
      <c r="D320" s="332"/>
    </row>
    <row r="321" spans="2:4">
      <c r="B321" s="332"/>
      <c r="C321" s="332"/>
      <c r="D321" s="332"/>
    </row>
    <row r="322" spans="2:4">
      <c r="B322" s="332"/>
      <c r="C322" s="332"/>
      <c r="D322" s="332"/>
    </row>
    <row r="323" spans="2:4">
      <c r="B323" s="332"/>
      <c r="C323" s="332"/>
      <c r="D323" s="332"/>
    </row>
    <row r="324" spans="2:4">
      <c r="B324" s="332"/>
      <c r="C324" s="332"/>
      <c r="D324" s="332"/>
    </row>
    <row r="325" spans="2:4">
      <c r="B325" s="332"/>
      <c r="C325" s="332"/>
      <c r="D325" s="332"/>
    </row>
    <row r="326" spans="2:4">
      <c r="B326" s="332"/>
      <c r="C326" s="332"/>
      <c r="D326" s="332"/>
    </row>
    <row r="327" spans="2:4">
      <c r="B327" s="332"/>
      <c r="C327" s="332"/>
      <c r="D327" s="332"/>
    </row>
    <row r="328" spans="2:4">
      <c r="B328" s="332"/>
      <c r="C328" s="332"/>
      <c r="D328" s="332"/>
    </row>
    <row r="329" spans="2:4">
      <c r="B329" s="332"/>
      <c r="C329" s="332"/>
      <c r="D329" s="332"/>
    </row>
    <row r="330" spans="2:4">
      <c r="B330" s="332"/>
      <c r="C330" s="332"/>
      <c r="D330" s="332"/>
    </row>
    <row r="331" spans="2:4">
      <c r="B331" s="332"/>
      <c r="C331" s="332"/>
      <c r="D331" s="332"/>
    </row>
    <row r="332" spans="2:4">
      <c r="B332" s="332"/>
      <c r="C332" s="332"/>
      <c r="D332" s="332"/>
    </row>
    <row r="333" spans="2:4">
      <c r="B333" s="332"/>
      <c r="C333" s="332"/>
      <c r="D333" s="332"/>
    </row>
    <row r="334" spans="2:4">
      <c r="B334" s="332"/>
      <c r="C334" s="332"/>
      <c r="D334" s="332"/>
    </row>
    <row r="335" spans="2:4">
      <c r="B335" s="332"/>
      <c r="C335" s="332"/>
      <c r="D335" s="332"/>
    </row>
    <row r="336" spans="2:4">
      <c r="B336" s="332"/>
      <c r="C336" s="332"/>
      <c r="D336" s="332"/>
    </row>
    <row r="337" spans="2:4">
      <c r="B337" s="332"/>
      <c r="C337" s="332"/>
      <c r="D337" s="332"/>
    </row>
    <row r="338" spans="2:4">
      <c r="B338" s="332"/>
      <c r="C338" s="332"/>
      <c r="D338" s="332"/>
    </row>
    <row r="339" spans="2:4">
      <c r="B339" s="332"/>
      <c r="C339" s="332"/>
      <c r="D339" s="332"/>
    </row>
    <row r="340" spans="2:4">
      <c r="B340" s="332"/>
      <c r="C340" s="332"/>
      <c r="D340" s="332"/>
    </row>
    <row r="341" spans="2:4">
      <c r="B341" s="332"/>
      <c r="C341" s="332"/>
      <c r="D341" s="332"/>
    </row>
    <row r="342" spans="2:4">
      <c r="B342" s="332"/>
      <c r="C342" s="332"/>
      <c r="D342" s="332"/>
    </row>
    <row r="343" spans="2:4">
      <c r="B343" s="332"/>
      <c r="C343" s="332"/>
      <c r="D343" s="332"/>
    </row>
    <row r="344" spans="2:4">
      <c r="B344" s="332"/>
      <c r="C344" s="332"/>
      <c r="D344" s="332"/>
    </row>
    <row r="345" spans="2:4">
      <c r="B345" s="332"/>
      <c r="C345" s="332"/>
      <c r="D345" s="332"/>
    </row>
    <row r="346" spans="2:4">
      <c r="B346" s="332"/>
      <c r="C346" s="332"/>
      <c r="D346" s="332"/>
    </row>
    <row r="347" spans="2:4">
      <c r="B347" s="332"/>
      <c r="C347" s="332"/>
      <c r="D347" s="332"/>
    </row>
    <row r="348" spans="2:4">
      <c r="B348" s="332"/>
      <c r="C348" s="332"/>
      <c r="D348" s="332"/>
    </row>
    <row r="349" spans="2:4">
      <c r="B349" s="332"/>
      <c r="C349" s="332"/>
      <c r="D349" s="332"/>
    </row>
    <row r="350" spans="2:4">
      <c r="B350" s="332"/>
      <c r="C350" s="332"/>
      <c r="D350" s="332"/>
    </row>
    <row r="351" spans="2:4">
      <c r="B351" s="332"/>
      <c r="C351" s="332"/>
      <c r="D351" s="332"/>
    </row>
    <row r="352" spans="2:4">
      <c r="B352" s="332"/>
      <c r="C352" s="332"/>
      <c r="D352" s="332"/>
    </row>
    <row r="353" spans="2:4">
      <c r="B353" s="332"/>
      <c r="C353" s="332"/>
      <c r="D353" s="332"/>
    </row>
    <row r="354" spans="2:4">
      <c r="B354" s="332"/>
      <c r="C354" s="332"/>
      <c r="D354" s="332"/>
    </row>
    <row r="355" spans="2:4">
      <c r="B355" s="332"/>
      <c r="C355" s="332"/>
      <c r="D355" s="332"/>
    </row>
    <row r="356" spans="2:4">
      <c r="B356" s="332"/>
      <c r="C356" s="332"/>
      <c r="D356" s="332"/>
    </row>
    <row r="357" spans="2:4">
      <c r="B357" s="332"/>
      <c r="C357" s="332"/>
      <c r="D357" s="332"/>
    </row>
    <row r="358" spans="2:4">
      <c r="B358" s="332"/>
      <c r="C358" s="332"/>
      <c r="D358" s="332"/>
    </row>
    <row r="359" spans="2:4">
      <c r="B359" s="332"/>
      <c r="C359" s="332"/>
      <c r="D359" s="332"/>
    </row>
    <row r="360" spans="2:4">
      <c r="B360" s="332"/>
      <c r="C360" s="332"/>
      <c r="D360" s="332"/>
    </row>
    <row r="361" spans="2:4">
      <c r="B361" s="332"/>
      <c r="C361" s="332"/>
      <c r="D361" s="332"/>
    </row>
    <row r="362" spans="2:4">
      <c r="B362" s="332"/>
      <c r="C362" s="332"/>
      <c r="D362" s="332"/>
    </row>
    <row r="363" spans="2:4">
      <c r="B363" s="332"/>
      <c r="C363" s="332"/>
      <c r="D363" s="332"/>
    </row>
    <row r="364" spans="2:4">
      <c r="B364" s="332"/>
      <c r="C364" s="332"/>
      <c r="D364" s="332"/>
    </row>
    <row r="365" spans="2:4">
      <c r="B365" s="332"/>
      <c r="C365" s="332"/>
      <c r="D365" s="332"/>
    </row>
    <row r="366" spans="2:4">
      <c r="B366" s="332"/>
      <c r="C366" s="332"/>
      <c r="D366" s="332"/>
    </row>
    <row r="367" spans="2:4">
      <c r="B367" s="332"/>
      <c r="C367" s="332"/>
      <c r="D367" s="332"/>
    </row>
    <row r="368" spans="2:4">
      <c r="B368" s="332"/>
      <c r="C368" s="332"/>
      <c r="D368" s="332"/>
    </row>
    <row r="369" spans="2:4">
      <c r="B369" s="332"/>
      <c r="C369" s="332"/>
      <c r="D369" s="332"/>
    </row>
    <row r="370" spans="2:4">
      <c r="B370" s="332"/>
      <c r="C370" s="332"/>
      <c r="D370" s="332"/>
    </row>
    <row r="371" spans="2:4">
      <c r="B371" s="332"/>
      <c r="C371" s="332"/>
      <c r="D371" s="332"/>
    </row>
    <row r="372" spans="2:4">
      <c r="B372" s="332"/>
      <c r="C372" s="332"/>
      <c r="D372" s="332"/>
    </row>
    <row r="373" spans="2:4">
      <c r="B373" s="332"/>
      <c r="C373" s="332"/>
      <c r="D373" s="332"/>
    </row>
    <row r="374" spans="2:4">
      <c r="B374" s="332"/>
      <c r="C374" s="332"/>
      <c r="D374" s="332"/>
    </row>
    <row r="375" spans="2:4">
      <c r="B375" s="332"/>
      <c r="C375" s="332"/>
      <c r="D375" s="332"/>
    </row>
    <row r="376" spans="2:4">
      <c r="B376" s="332"/>
      <c r="C376" s="332"/>
      <c r="D376" s="332"/>
    </row>
    <row r="377" spans="2:4">
      <c r="B377" s="332"/>
      <c r="C377" s="332"/>
      <c r="D377" s="332"/>
    </row>
    <row r="378" spans="2:4">
      <c r="B378" s="332"/>
      <c r="C378" s="332"/>
      <c r="D378" s="332"/>
    </row>
    <row r="379" spans="2:4">
      <c r="B379" s="332"/>
      <c r="C379" s="332"/>
      <c r="D379" s="332"/>
    </row>
    <row r="380" spans="2:4">
      <c r="B380" s="332"/>
      <c r="C380" s="332"/>
      <c r="D380" s="332"/>
    </row>
    <row r="381" spans="2:4">
      <c r="B381" s="332"/>
      <c r="C381" s="332"/>
      <c r="D381" s="332"/>
    </row>
    <row r="382" spans="2:4">
      <c r="B382" s="332"/>
      <c r="C382" s="332"/>
      <c r="D382" s="332"/>
    </row>
    <row r="383" spans="2:4">
      <c r="B383" s="332"/>
      <c r="C383" s="332"/>
      <c r="D383" s="332"/>
    </row>
    <row r="384" spans="2:4">
      <c r="B384" s="332"/>
      <c r="C384" s="332"/>
      <c r="D384" s="332"/>
    </row>
    <row r="385" spans="2:4">
      <c r="B385" s="332"/>
      <c r="C385" s="332"/>
      <c r="D385" s="332"/>
    </row>
    <row r="386" spans="2:4">
      <c r="B386" s="332"/>
      <c r="C386" s="332"/>
      <c r="D386" s="332"/>
    </row>
    <row r="387" spans="2:4">
      <c r="B387" s="332"/>
      <c r="C387" s="332"/>
      <c r="D387" s="332"/>
    </row>
    <row r="388" spans="2:4">
      <c r="B388" s="332"/>
      <c r="C388" s="332"/>
      <c r="D388" s="332"/>
    </row>
    <row r="389" spans="2:4">
      <c r="B389" s="332"/>
      <c r="C389" s="332"/>
      <c r="D389" s="332"/>
    </row>
    <row r="390" spans="2:4">
      <c r="B390" s="332"/>
      <c r="C390" s="332"/>
      <c r="D390" s="332"/>
    </row>
    <row r="391" spans="2:4">
      <c r="B391" s="332"/>
      <c r="C391" s="332"/>
      <c r="D391" s="332"/>
    </row>
    <row r="392" spans="2:4">
      <c r="B392" s="332"/>
      <c r="C392" s="332"/>
      <c r="D392" s="332"/>
    </row>
    <row r="393" spans="2:4">
      <c r="B393" s="332"/>
      <c r="C393" s="332"/>
      <c r="D393" s="332"/>
    </row>
    <row r="394" spans="2:4">
      <c r="B394" s="332"/>
      <c r="C394" s="332"/>
      <c r="D394" s="332"/>
    </row>
    <row r="395" spans="2:4">
      <c r="B395" s="332"/>
      <c r="C395" s="332"/>
      <c r="D395" s="332"/>
    </row>
    <row r="396" spans="2:4">
      <c r="B396" s="332"/>
      <c r="C396" s="332"/>
      <c r="D396" s="332"/>
    </row>
    <row r="397" spans="2:4">
      <c r="B397" s="332"/>
      <c r="C397" s="332"/>
      <c r="D397" s="332"/>
    </row>
    <row r="398" spans="2:4">
      <c r="B398" s="332"/>
      <c r="C398" s="332"/>
      <c r="D398" s="332"/>
    </row>
    <row r="399" spans="2:4">
      <c r="B399" s="332"/>
      <c r="C399" s="332"/>
      <c r="D399" s="332"/>
    </row>
    <row r="400" spans="2:4">
      <c r="B400" s="332"/>
      <c r="C400" s="332"/>
      <c r="D400" s="332"/>
    </row>
    <row r="401" spans="2:4">
      <c r="B401" s="332"/>
      <c r="C401" s="332"/>
      <c r="D401" s="332"/>
    </row>
    <row r="402" spans="2:4">
      <c r="B402" s="332"/>
      <c r="C402" s="332"/>
      <c r="D402" s="332"/>
    </row>
  </sheetData>
  <sheetProtection sheet="1" objects="1" scenarios="1"/>
  <mergeCells count="5">
    <mergeCell ref="A299:D299"/>
    <mergeCell ref="A64:D64"/>
    <mergeCell ref="A121:D121"/>
    <mergeCell ref="A178:D178"/>
    <mergeCell ref="A239:D239"/>
  </mergeCells>
  <phoneticPr fontId="0" type="noConversion"/>
  <pageMargins left="1.1200000000000001" right="0.5" top="0.74" bottom="0.34" header="0.5" footer="0"/>
  <pageSetup scale="71" orientation="portrait" blackAndWhite="1" r:id="rId1"/>
  <headerFooter alignWithMargins="0">
    <oddHeader xml:space="preserve">&amp;RState of Kansas
County
</oddHeader>
  </headerFooter>
  <rowBreaks count="4" manualBreakCount="4">
    <brk id="64" max="16383" man="1"/>
    <brk id="121" max="3" man="1"/>
    <brk id="178" max="16383" man="1"/>
    <brk id="239" max="16383" man="1"/>
  </rowBreaks>
</worksheet>
</file>

<file path=xl/worksheets/sheet15.xml><?xml version="1.0" encoding="utf-8"?>
<worksheet xmlns="http://schemas.openxmlformats.org/spreadsheetml/2006/main" xmlns:r="http://schemas.openxmlformats.org/officeDocument/2006/relationships">
  <sheetPr>
    <pageSetUpPr fitToPage="1"/>
  </sheetPr>
  <dimension ref="B1:K71"/>
  <sheetViews>
    <sheetView topLeftCell="A46" zoomScaleNormal="100" workbookViewId="0">
      <selection activeCell="I56" sqref="I56"/>
    </sheetView>
  </sheetViews>
  <sheetFormatPr defaultColWidth="8.88671875" defaultRowHeight="15.75"/>
  <cols>
    <col min="1" max="1" width="2.44140625" style="143" customWidth="1"/>
    <col min="2" max="2" width="31.109375" style="143" customWidth="1"/>
    <col min="3" max="4" width="16.21875" style="143" customWidth="1"/>
    <col min="5" max="5" width="16.33203125" style="143" customWidth="1"/>
    <col min="6" max="6" width="7.44140625" style="143" customWidth="1"/>
    <col min="7" max="7" width="10.21875" style="143" customWidth="1"/>
    <col min="8" max="8" width="8.88671875" style="143"/>
    <col min="9" max="9" width="5" style="143" customWidth="1"/>
    <col min="10" max="10" width="10" style="143" customWidth="1"/>
    <col min="11" max="16384" width="8.88671875" style="143"/>
  </cols>
  <sheetData>
    <row r="1" spans="2:5">
      <c r="B1" s="228" t="str">
        <f>inputPrYr!C2</f>
        <v>Franklin County</v>
      </c>
      <c r="C1" s="85"/>
      <c r="D1" s="85"/>
      <c r="E1" s="254">
        <f>inputPrYr!$C$4</f>
        <v>2013</v>
      </c>
    </row>
    <row r="2" spans="2:5">
      <c r="B2" s="85"/>
      <c r="C2" s="85"/>
      <c r="D2" s="85"/>
      <c r="E2" s="240"/>
    </row>
    <row r="3" spans="2:5">
      <c r="B3" s="152" t="s">
        <v>238</v>
      </c>
      <c r="C3" s="333"/>
      <c r="D3" s="333"/>
      <c r="E3" s="334"/>
    </row>
    <row r="4" spans="2:5">
      <c r="B4" s="85"/>
      <c r="C4" s="327"/>
      <c r="D4" s="327"/>
      <c r="E4" s="327"/>
    </row>
    <row r="5" spans="2:5">
      <c r="B5" s="84" t="s">
        <v>159</v>
      </c>
      <c r="C5" s="703" t="s">
        <v>841</v>
      </c>
      <c r="D5" s="704" t="s">
        <v>842</v>
      </c>
      <c r="E5" s="215" t="s">
        <v>843</v>
      </c>
    </row>
    <row r="6" spans="2:5">
      <c r="B6" s="484" t="str">
        <f>inputPrYr!B17</f>
        <v>Debt Service</v>
      </c>
      <c r="C6" s="455" t="str">
        <f>CONCATENATE("Actual for ",E1-2,"")</f>
        <v>Actual for 2011</v>
      </c>
      <c r="D6" s="455" t="str">
        <f>CONCATENATE("Estimate for ",E1-1,"")</f>
        <v>Estimate for 2012</v>
      </c>
      <c r="E6" s="302" t="str">
        <f>CONCATENATE("Year for ",E1,"")</f>
        <v>Year for 2013</v>
      </c>
    </row>
    <row r="7" spans="2:5">
      <c r="B7" s="148" t="s">
        <v>280</v>
      </c>
      <c r="C7" s="459">
        <v>52191</v>
      </c>
      <c r="D7" s="461">
        <f>C51</f>
        <v>49971</v>
      </c>
      <c r="E7" s="335">
        <f>D51</f>
        <v>28176</v>
      </c>
    </row>
    <row r="8" spans="2:5">
      <c r="B8" s="336" t="s">
        <v>282</v>
      </c>
      <c r="C8" s="460"/>
      <c r="D8" s="461"/>
      <c r="E8" s="335"/>
    </row>
    <row r="9" spans="2:5">
      <c r="B9" s="148" t="s">
        <v>160</v>
      </c>
      <c r="C9" s="452">
        <v>912840</v>
      </c>
      <c r="D9" s="458">
        <f>IF(inputPrYr!H17&gt;0,inputPrYr!H17,inputPrYr!E17)</f>
        <v>940342</v>
      </c>
      <c r="E9" s="337" t="s">
        <v>146</v>
      </c>
    </row>
    <row r="10" spans="2:5">
      <c r="B10" s="148" t="s">
        <v>161</v>
      </c>
      <c r="C10" s="452">
        <v>39435</v>
      </c>
      <c r="D10" s="452">
        <v>17000</v>
      </c>
      <c r="E10" s="338">
        <v>20000</v>
      </c>
    </row>
    <row r="11" spans="2:5">
      <c r="B11" s="148" t="s">
        <v>162</v>
      </c>
      <c r="C11" s="452">
        <v>139318</v>
      </c>
      <c r="D11" s="452">
        <v>114471</v>
      </c>
      <c r="E11" s="339">
        <f>mvalloc!E8</f>
        <v>112362</v>
      </c>
    </row>
    <row r="12" spans="2:5">
      <c r="B12" s="148" t="s">
        <v>163</v>
      </c>
      <c r="C12" s="452">
        <v>2774</v>
      </c>
      <c r="D12" s="452">
        <v>2474</v>
      </c>
      <c r="E12" s="339">
        <f>mvalloc!F8</f>
        <v>1733</v>
      </c>
    </row>
    <row r="13" spans="2:5">
      <c r="B13" s="340" t="s">
        <v>262</v>
      </c>
      <c r="C13" s="452">
        <v>2277</v>
      </c>
      <c r="D13" s="452">
        <v>3918</v>
      </c>
      <c r="E13" s="339">
        <f>mvalloc!G8</f>
        <v>3310</v>
      </c>
    </row>
    <row r="14" spans="2:5">
      <c r="B14" s="341"/>
      <c r="C14" s="452"/>
      <c r="D14" s="452"/>
      <c r="E14" s="342"/>
    </row>
    <row r="15" spans="2:5">
      <c r="B15" s="341"/>
      <c r="C15" s="452"/>
      <c r="D15" s="452"/>
      <c r="E15" s="338"/>
    </row>
    <row r="16" spans="2:5">
      <c r="B16" s="341"/>
      <c r="C16" s="452"/>
      <c r="D16" s="452"/>
      <c r="E16" s="338"/>
    </row>
    <row r="17" spans="2:5">
      <c r="B17" s="341"/>
      <c r="C17" s="452"/>
      <c r="D17" s="452"/>
      <c r="E17" s="338"/>
    </row>
    <row r="18" spans="2:5">
      <c r="B18" s="341"/>
      <c r="C18" s="452"/>
      <c r="D18" s="452"/>
      <c r="E18" s="338"/>
    </row>
    <row r="19" spans="2:5">
      <c r="B19" s="341"/>
      <c r="C19" s="452"/>
      <c r="D19" s="452"/>
      <c r="E19" s="338"/>
    </row>
    <row r="20" spans="2:5">
      <c r="B20" s="341"/>
      <c r="C20" s="452"/>
      <c r="D20" s="452"/>
      <c r="E20" s="338"/>
    </row>
    <row r="21" spans="2:5">
      <c r="B21" s="341"/>
      <c r="C21" s="452"/>
      <c r="D21" s="452"/>
      <c r="E21" s="338"/>
    </row>
    <row r="22" spans="2:5">
      <c r="B22" s="341"/>
      <c r="C22" s="452"/>
      <c r="D22" s="452"/>
      <c r="E22" s="338"/>
    </row>
    <row r="23" spans="2:5">
      <c r="B23" s="343"/>
      <c r="C23" s="452"/>
      <c r="D23" s="452"/>
      <c r="E23" s="338"/>
    </row>
    <row r="24" spans="2:5">
      <c r="B24" s="309" t="s">
        <v>73</v>
      </c>
      <c r="C24" s="452"/>
      <c r="D24" s="452"/>
      <c r="E24" s="338"/>
    </row>
    <row r="25" spans="2:5">
      <c r="B25" s="309" t="s">
        <v>74</v>
      </c>
      <c r="C25" s="453" t="str">
        <f>IF(C26*0.1&lt;C24,"Exceed 10% Rule","")</f>
        <v/>
      </c>
      <c r="D25" s="453" t="str">
        <f>IF(D26*0.1&lt;D24,"Exceed 10% Rule","")</f>
        <v/>
      </c>
      <c r="E25" s="344" t="str">
        <f>IF(E26*0.1+E57&lt;E24,"Exceed 10% Rule","")</f>
        <v/>
      </c>
    </row>
    <row r="26" spans="2:5">
      <c r="B26" s="311" t="s">
        <v>165</v>
      </c>
      <c r="C26" s="462">
        <f>SUM(C9:C24)</f>
        <v>1096644</v>
      </c>
      <c r="D26" s="463">
        <f>SUM(D9:D24)</f>
        <v>1078205</v>
      </c>
      <c r="E26" s="345">
        <f>SUM(E9:E24)</f>
        <v>137405</v>
      </c>
    </row>
    <row r="27" spans="2:5">
      <c r="B27" s="311" t="s">
        <v>166</v>
      </c>
      <c r="C27" s="463">
        <f>C7+C26</f>
        <v>1148835</v>
      </c>
      <c r="D27" s="463">
        <f>D7+D26</f>
        <v>1128176</v>
      </c>
      <c r="E27" s="346">
        <f>E7+E26</f>
        <v>165581</v>
      </c>
    </row>
    <row r="28" spans="2:5">
      <c r="B28" s="336" t="s">
        <v>169</v>
      </c>
      <c r="C28" s="460"/>
      <c r="D28" s="460"/>
      <c r="E28" s="339"/>
    </row>
    <row r="29" spans="2:5">
      <c r="B29" s="318" t="s">
        <v>1006</v>
      </c>
      <c r="C29" s="452">
        <v>1175062</v>
      </c>
      <c r="D29" s="452">
        <v>1100000</v>
      </c>
      <c r="E29" s="338">
        <v>1125000</v>
      </c>
    </row>
    <row r="30" spans="2:5">
      <c r="B30" s="318" t="s">
        <v>958</v>
      </c>
      <c r="C30" s="452">
        <v>-76198</v>
      </c>
      <c r="D30" s="452">
        <v>0</v>
      </c>
      <c r="E30" s="338">
        <v>0</v>
      </c>
    </row>
    <row r="31" spans="2:5">
      <c r="B31" s="318"/>
      <c r="C31" s="452"/>
      <c r="D31" s="452"/>
      <c r="E31" s="338"/>
    </row>
    <row r="32" spans="2:5">
      <c r="B32" s="318"/>
      <c r="C32" s="452"/>
      <c r="D32" s="452"/>
      <c r="E32" s="338"/>
    </row>
    <row r="33" spans="2:10">
      <c r="B33" s="318"/>
      <c r="C33" s="452"/>
      <c r="D33" s="452"/>
      <c r="E33" s="338"/>
    </row>
    <row r="34" spans="2:10">
      <c r="B34" s="318"/>
      <c r="C34" s="452"/>
      <c r="D34" s="452"/>
      <c r="E34" s="338"/>
    </row>
    <row r="35" spans="2:10">
      <c r="B35" s="318"/>
      <c r="C35" s="452"/>
      <c r="D35" s="452"/>
      <c r="E35" s="338"/>
    </row>
    <row r="36" spans="2:10">
      <c r="B36" s="318"/>
      <c r="C36" s="452"/>
      <c r="D36" s="452"/>
      <c r="E36" s="338"/>
    </row>
    <row r="37" spans="2:10">
      <c r="B37" s="318"/>
      <c r="C37" s="452"/>
      <c r="D37" s="452"/>
      <c r="E37" s="338"/>
    </row>
    <row r="38" spans="2:10">
      <c r="B38" s="318"/>
      <c r="C38" s="452"/>
      <c r="D38" s="452"/>
      <c r="E38" s="338"/>
    </row>
    <row r="39" spans="2:10">
      <c r="B39" s="318"/>
      <c r="C39" s="452"/>
      <c r="D39" s="452"/>
      <c r="E39" s="338"/>
    </row>
    <row r="40" spans="2:10">
      <c r="B40" s="318"/>
      <c r="C40" s="452"/>
      <c r="D40" s="452"/>
      <c r="E40" s="338"/>
    </row>
    <row r="41" spans="2:10">
      <c r="B41" s="318"/>
      <c r="C41" s="452"/>
      <c r="D41" s="452"/>
      <c r="E41" s="338"/>
    </row>
    <row r="42" spans="2:10">
      <c r="B42" s="318"/>
      <c r="C42" s="452"/>
      <c r="D42" s="452"/>
      <c r="E42" s="338"/>
      <c r="G42" s="784" t="str">
        <f>CONCATENATE("Desired Carryover Into ",E1+1,"")</f>
        <v>Desired Carryover Into 2014</v>
      </c>
      <c r="H42" s="785"/>
      <c r="I42" s="785"/>
      <c r="J42" s="786"/>
    </row>
    <row r="43" spans="2:10">
      <c r="B43" s="318"/>
      <c r="C43" s="452"/>
      <c r="D43" s="452"/>
      <c r="E43" s="338"/>
      <c r="G43" s="650"/>
      <c r="H43" s="651"/>
      <c r="I43" s="652"/>
      <c r="J43" s="653"/>
    </row>
    <row r="44" spans="2:10">
      <c r="B44" s="318"/>
      <c r="C44" s="452"/>
      <c r="D44" s="452"/>
      <c r="E44" s="338"/>
      <c r="G44" s="654" t="s">
        <v>687</v>
      </c>
      <c r="H44" s="652"/>
      <c r="I44" s="652"/>
      <c r="J44" s="655">
        <v>0</v>
      </c>
    </row>
    <row r="45" spans="2:10">
      <c r="B45" s="318"/>
      <c r="C45" s="452"/>
      <c r="D45" s="452"/>
      <c r="E45" s="338"/>
      <c r="G45" s="650" t="s">
        <v>688</v>
      </c>
      <c r="H45" s="651"/>
      <c r="I45" s="651"/>
      <c r="J45" s="656" t="str">
        <f>IF(J44=0,"",ROUND((J44+E57-G57)/inputOth!E6*1000,3)-G62)</f>
        <v/>
      </c>
    </row>
    <row r="46" spans="2:10">
      <c r="B46" s="318"/>
      <c r="C46" s="452"/>
      <c r="D46" s="452"/>
      <c r="E46" s="338"/>
      <c r="G46" s="657" t="str">
        <f>CONCATENATE("",E1," Tot Exp/Non-Appr Must Be:")</f>
        <v>2013 Tot Exp/Non-Appr Must Be:</v>
      </c>
      <c r="H46" s="658"/>
      <c r="I46" s="659"/>
      <c r="J46" s="660">
        <f>IF(J44&gt;0,IF(E54&lt;E27,IF(J44=G57,E54,((J44-G57)*(1-D56))+E27),E54+(J44-G57)),0)</f>
        <v>0</v>
      </c>
    </row>
    <row r="47" spans="2:10">
      <c r="B47" s="309" t="s">
        <v>75</v>
      </c>
      <c r="C47" s="452"/>
      <c r="D47" s="452"/>
      <c r="E47" s="319">
        <f>Nhood!E7</f>
        <v>2804</v>
      </c>
      <c r="G47" s="661" t="s">
        <v>839</v>
      </c>
      <c r="H47" s="662"/>
      <c r="I47" s="662"/>
      <c r="J47" s="663">
        <f>IF(J44&gt;0,J46-E54,0)</f>
        <v>0</v>
      </c>
    </row>
    <row r="48" spans="2:10">
      <c r="B48" s="309" t="s">
        <v>73</v>
      </c>
      <c r="C48" s="452"/>
      <c r="D48" s="452"/>
      <c r="E48" s="338"/>
    </row>
    <row r="49" spans="2:11">
      <c r="B49" s="309" t="s">
        <v>76</v>
      </c>
      <c r="C49" s="453" t="str">
        <f>IF(C50*0.1&lt;C48,"Exceed 10% Rule","")</f>
        <v/>
      </c>
      <c r="D49" s="453" t="str">
        <f>IF(D50*0.1&lt;D48,"Exceed 10% Rule","")</f>
        <v/>
      </c>
      <c r="E49" s="344" t="str">
        <f>IF(E50*0.1&lt;E48,"Exceed 10% Rule","")</f>
        <v/>
      </c>
      <c r="G49" s="778" t="str">
        <f>CONCATENATE("Projected Carryover Into ",E1+1,"")</f>
        <v>Projected Carryover Into 2014</v>
      </c>
      <c r="H49" s="785"/>
      <c r="I49" s="785"/>
      <c r="J49" s="786"/>
    </row>
    <row r="50" spans="2:11">
      <c r="B50" s="311" t="s">
        <v>170</v>
      </c>
      <c r="C50" s="462">
        <f>SUM(C29:C48)</f>
        <v>1098864</v>
      </c>
      <c r="D50" s="463">
        <f>SUM(D29:D48)</f>
        <v>1100000</v>
      </c>
      <c r="E50" s="345">
        <f>SUM(E29:E48)</f>
        <v>1127804</v>
      </c>
      <c r="G50" s="472"/>
      <c r="H50" s="499"/>
      <c r="I50" s="499"/>
      <c r="J50" s="664"/>
    </row>
    <row r="51" spans="2:11">
      <c r="B51" s="148" t="s">
        <v>281</v>
      </c>
      <c r="C51" s="464">
        <f>C27-C50</f>
        <v>49971</v>
      </c>
      <c r="D51" s="464">
        <f>D27-D50</f>
        <v>28176</v>
      </c>
      <c r="E51" s="337" t="s">
        <v>146</v>
      </c>
      <c r="G51" s="503">
        <f>D51</f>
        <v>28176</v>
      </c>
      <c r="H51" s="501" t="str">
        <f>CONCATENATE("",E1-1," Ending Cash Balance (est.)")</f>
        <v>2012 Ending Cash Balance (est.)</v>
      </c>
      <c r="I51" s="500"/>
      <c r="J51" s="665"/>
    </row>
    <row r="52" spans="2:11">
      <c r="B52" s="287" t="str">
        <f>CONCATENATE("",E$1-2,"/",E$1-1," Budget Authority Amount:")</f>
        <v>2011/2012 Budget Authority Amount:</v>
      </c>
      <c r="C52" s="279">
        <f>inputOth!B31</f>
        <v>1204330</v>
      </c>
      <c r="D52" s="279">
        <f>inputPrYr!D17</f>
        <v>1103427</v>
      </c>
      <c r="E52" s="337" t="s">
        <v>146</v>
      </c>
      <c r="F52" s="347"/>
      <c r="G52" s="503">
        <f>E26</f>
        <v>137405</v>
      </c>
      <c r="H52" s="499" t="str">
        <f>CONCATENATE("",E1," Non-AV Receipts (est.)")</f>
        <v>2013 Non-AV Receipts (est.)</v>
      </c>
      <c r="I52" s="499"/>
      <c r="J52" s="664"/>
    </row>
    <row r="53" spans="2:11">
      <c r="B53" s="287"/>
      <c r="C53" s="774" t="s">
        <v>684</v>
      </c>
      <c r="D53" s="775"/>
      <c r="E53" s="112"/>
      <c r="F53" s="470" t="str">
        <f>IF(E50/0.95-E50&lt;E53,"Exceeds 5%","")</f>
        <v/>
      </c>
      <c r="G53" s="498">
        <f>IF(E56&gt;0,E55,E57)</f>
        <v>962223</v>
      </c>
      <c r="H53" s="499" t="str">
        <f>CONCATENATE("",E1," Ad Valorem Tax (est.)")</f>
        <v>2013 Ad Valorem Tax (est.)</v>
      </c>
      <c r="I53" s="499"/>
      <c r="J53" s="664"/>
      <c r="K53" s="666" t="str">
        <f>IF(G53=E57,"","Note: Does not include Delinquent Taxes")</f>
        <v>Note: Does not include Delinquent Taxes</v>
      </c>
    </row>
    <row r="54" spans="2:11">
      <c r="B54" s="506" t="str">
        <f>CONCATENATE(C70,"     ",D70)</f>
        <v xml:space="preserve">     </v>
      </c>
      <c r="C54" s="776" t="s">
        <v>685</v>
      </c>
      <c r="D54" s="777"/>
      <c r="E54" s="265">
        <f>E50+E53</f>
        <v>1127804</v>
      </c>
      <c r="G54" s="503">
        <f>SUM(G51:G53)</f>
        <v>1127804</v>
      </c>
      <c r="H54" s="499" t="str">
        <f>CONCATENATE("Total ",E1," Resources Available")</f>
        <v>Total 2013 Resources Available</v>
      </c>
      <c r="I54" s="500"/>
      <c r="J54" s="665"/>
    </row>
    <row r="55" spans="2:11">
      <c r="B55" s="506" t="str">
        <f>CONCATENATE(C71,"     ",D71)</f>
        <v xml:space="preserve">     </v>
      </c>
      <c r="C55" s="321"/>
      <c r="D55" s="240" t="s">
        <v>171</v>
      </c>
      <c r="E55" s="120">
        <f>IF(E54-E27&gt;0,E54-E27,0)</f>
        <v>962223</v>
      </c>
      <c r="G55" s="497"/>
      <c r="H55" s="499"/>
      <c r="I55" s="499"/>
      <c r="J55" s="664"/>
    </row>
    <row r="56" spans="2:11">
      <c r="B56" s="240"/>
      <c r="C56" s="504" t="s">
        <v>686</v>
      </c>
      <c r="D56" s="649">
        <f>inputOth!$E$23</f>
        <v>0.05</v>
      </c>
      <c r="E56" s="265">
        <f>ROUND(IF(D56&gt;0,(E55*D56),0),0)</f>
        <v>48111</v>
      </c>
      <c r="G56" s="498">
        <f>C50</f>
        <v>1098864</v>
      </c>
      <c r="H56" s="499" t="str">
        <f>CONCATENATE("Less ",E1-2," Expenditures")</f>
        <v>Less 2011 Expenditures</v>
      </c>
      <c r="I56" s="499"/>
      <c r="J56" s="664"/>
    </row>
    <row r="57" spans="2:11">
      <c r="B57" s="85"/>
      <c r="C57" s="782" t="str">
        <f>CONCATENATE("Amount of  ",$E$1-1," Ad Valorem Tax")</f>
        <v>Amount of  2012 Ad Valorem Tax</v>
      </c>
      <c r="D57" s="783"/>
      <c r="E57" s="348">
        <f>E55+E56</f>
        <v>1010334</v>
      </c>
      <c r="G57" s="699">
        <f>G54-G56</f>
        <v>28940</v>
      </c>
      <c r="H57" s="471" t="str">
        <f>CONCATENATE("Projected ",E1+1," carryover (est.)")</f>
        <v>Projected 2014 carryover (est.)</v>
      </c>
      <c r="I57" s="474"/>
      <c r="J57" s="667"/>
    </row>
    <row r="58" spans="2:11">
      <c r="B58" s="240"/>
      <c r="C58" s="85"/>
      <c r="D58" s="85"/>
      <c r="E58" s="85"/>
    </row>
    <row r="59" spans="2:11">
      <c r="B59" s="287" t="s">
        <v>190</v>
      </c>
      <c r="C59" s="349"/>
      <c r="D59" s="85"/>
      <c r="E59" s="85"/>
      <c r="G59" s="787" t="s">
        <v>840</v>
      </c>
      <c r="H59" s="788"/>
      <c r="I59" s="788"/>
      <c r="J59" s="789"/>
    </row>
    <row r="60" spans="2:11">
      <c r="G60" s="668"/>
      <c r="H60" s="669"/>
      <c r="I60" s="670"/>
      <c r="J60" s="671"/>
    </row>
    <row r="61" spans="2:11">
      <c r="G61" s="672">
        <f>summ!H17</f>
        <v>4.74</v>
      </c>
      <c r="H61" s="669" t="str">
        <f>CONCATENATE("",E1," Fund Mill Rate")</f>
        <v>2013 Fund Mill Rate</v>
      </c>
      <c r="I61" s="670"/>
      <c r="J61" s="671"/>
    </row>
    <row r="62" spans="2:11">
      <c r="G62" s="673">
        <f>summ!E17</f>
        <v>4.5250000000000004</v>
      </c>
      <c r="H62" s="669" t="str">
        <f>CONCATENATE("",E1-1," Fund Mill Rate")</f>
        <v>2012 Fund Mill Rate</v>
      </c>
      <c r="I62" s="670"/>
      <c r="J62" s="671"/>
    </row>
    <row r="63" spans="2:11">
      <c r="G63" s="674">
        <f>summ!H61</f>
        <v>59.232000000000006</v>
      </c>
      <c r="H63" s="669" t="str">
        <f>CONCATENATE("Total ",E1," Mill Rate")</f>
        <v>Total 2013 Mill Rate</v>
      </c>
      <c r="I63" s="670"/>
      <c r="J63" s="671"/>
    </row>
    <row r="64" spans="2:11">
      <c r="G64" s="673">
        <f>summ!E61</f>
        <v>59.207000000000001</v>
      </c>
      <c r="H64" s="675" t="str">
        <f>CONCATENATE("Total ",E1-1," Mill Rate")</f>
        <v>Total 2012 Mill Rate</v>
      </c>
      <c r="I64" s="676"/>
      <c r="J64" s="677"/>
    </row>
    <row r="70" spans="3:4" hidden="1">
      <c r="C70" s="143" t="str">
        <f>IF(C50&gt;C52,"SeeTab A","")</f>
        <v/>
      </c>
      <c r="D70" s="143" t="str">
        <f>IF(D50&gt;D52,"See Tab C","")</f>
        <v/>
      </c>
    </row>
    <row r="71" spans="3:4" hidden="1">
      <c r="C71" s="143" t="str">
        <f>IF(C51&lt;0,"See Tab B","")</f>
        <v/>
      </c>
      <c r="D71" s="143" t="str">
        <f>IF(D51&lt;0,"See Tab D","")</f>
        <v/>
      </c>
    </row>
  </sheetData>
  <sheetProtection sheet="1"/>
  <mergeCells count="6">
    <mergeCell ref="G59:J59"/>
    <mergeCell ref="C53:D53"/>
    <mergeCell ref="C54:D54"/>
    <mergeCell ref="C57:D57"/>
    <mergeCell ref="G42:J42"/>
    <mergeCell ref="G49:J49"/>
  </mergeCells>
  <phoneticPr fontId="8" type="noConversion"/>
  <conditionalFormatting sqref="E48">
    <cfRule type="cellIs" dxfId="396" priority="2" stopIfTrue="1" operator="greaterThan">
      <formula>$E$50*0.1</formula>
    </cfRule>
  </conditionalFormatting>
  <conditionalFormatting sqref="E53">
    <cfRule type="cellIs" dxfId="395" priority="3" stopIfTrue="1" operator="greaterThan">
      <formula>$E$50/0.95-$E$50</formula>
    </cfRule>
  </conditionalFormatting>
  <conditionalFormatting sqref="C51">
    <cfRule type="cellIs" dxfId="394" priority="4" stopIfTrue="1" operator="lessThan">
      <formula>0</formula>
    </cfRule>
  </conditionalFormatting>
  <conditionalFormatting sqref="C50">
    <cfRule type="cellIs" dxfId="393" priority="5" stopIfTrue="1" operator="greaterThan">
      <formula>$C$52</formula>
    </cfRule>
  </conditionalFormatting>
  <conditionalFormatting sqref="D50">
    <cfRule type="cellIs" dxfId="392" priority="6" stopIfTrue="1" operator="greaterThan">
      <formula>$D$52</formula>
    </cfRule>
  </conditionalFormatting>
  <conditionalFormatting sqref="C24">
    <cfRule type="cellIs" dxfId="391" priority="7" stopIfTrue="1" operator="greaterThan">
      <formula>$C$26*0.1</formula>
    </cfRule>
  </conditionalFormatting>
  <conditionalFormatting sqref="D24">
    <cfRule type="cellIs" dxfId="390" priority="8" stopIfTrue="1" operator="greaterThan">
      <formula>$D$26*0.1</formula>
    </cfRule>
  </conditionalFormatting>
  <conditionalFormatting sqref="E24">
    <cfRule type="cellIs" dxfId="389" priority="9" stopIfTrue="1" operator="greaterThan">
      <formula>$E$26*0.1+E57</formula>
    </cfRule>
  </conditionalFormatting>
  <conditionalFormatting sqref="C48">
    <cfRule type="cellIs" dxfId="388" priority="10" stopIfTrue="1" operator="greaterThan">
      <formula>$C$50*0.1</formula>
    </cfRule>
  </conditionalFormatting>
  <conditionalFormatting sqref="D48">
    <cfRule type="cellIs" dxfId="387" priority="11" stopIfTrue="1" operator="greaterThan">
      <formula>$D$50*0.1</formula>
    </cfRule>
  </conditionalFormatting>
  <conditionalFormatting sqref="D51">
    <cfRule type="cellIs" dxfId="386" priority="1" stopIfTrue="1" operator="lessThan">
      <formula>0</formula>
    </cfRule>
  </conditionalFormatting>
  <pageMargins left="0.75" right="0.75" top="1" bottom="1" header="0.5" footer="0.5"/>
  <pageSetup scale="71" orientation="portrait" blackAndWhite="1" r:id="rId1"/>
  <headerFooter alignWithMargins="0">
    <oddHeader>&amp;RState of Kansas
County</oddHeader>
  </headerFooter>
</worksheet>
</file>

<file path=xl/worksheets/sheet16.xml><?xml version="1.0" encoding="utf-8"?>
<worksheet xmlns="http://schemas.openxmlformats.org/spreadsheetml/2006/main" xmlns:r="http://schemas.openxmlformats.org/officeDocument/2006/relationships">
  <dimension ref="B1:K130"/>
  <sheetViews>
    <sheetView zoomScaleNormal="100" workbookViewId="0">
      <selection activeCell="D13" sqref="D13"/>
    </sheetView>
  </sheetViews>
  <sheetFormatPr defaultColWidth="8.88671875" defaultRowHeight="15.75"/>
  <cols>
    <col min="1" max="1" width="2.44140625" style="72" customWidth="1"/>
    <col min="2" max="2" width="31.109375" style="72" customWidth="1"/>
    <col min="3" max="4" width="15.77734375" style="72" customWidth="1"/>
    <col min="5" max="5" width="16.21875" style="72" customWidth="1"/>
    <col min="6" max="6" width="7.44140625" style="72" customWidth="1"/>
    <col min="7" max="7" width="10.21875" style="72" customWidth="1"/>
    <col min="8" max="8" width="8.88671875" style="72"/>
    <col min="9" max="9" width="5" style="72" customWidth="1"/>
    <col min="10" max="10" width="10" style="72" customWidth="1"/>
    <col min="11" max="16384" width="8.88671875" style="72"/>
  </cols>
  <sheetData>
    <row r="1" spans="2:5">
      <c r="B1" s="228" t="str">
        <f>inputPrYr!C2</f>
        <v>Franklin County</v>
      </c>
      <c r="C1" s="85"/>
      <c r="D1" s="85"/>
      <c r="E1" s="286">
        <f>inputPrYr!C4</f>
        <v>2013</v>
      </c>
    </row>
    <row r="2" spans="2:5">
      <c r="B2" s="85"/>
      <c r="C2" s="85"/>
      <c r="D2" s="85"/>
      <c r="E2" s="240"/>
    </row>
    <row r="3" spans="2:5">
      <c r="B3" s="152" t="s">
        <v>238</v>
      </c>
      <c r="C3" s="85"/>
      <c r="D3" s="85"/>
      <c r="E3" s="300"/>
    </row>
    <row r="4" spans="2:5">
      <c r="B4" s="301" t="s">
        <v>159</v>
      </c>
      <c r="C4" s="703" t="s">
        <v>841</v>
      </c>
      <c r="D4" s="704" t="s">
        <v>842</v>
      </c>
      <c r="E4" s="215" t="s">
        <v>843</v>
      </c>
    </row>
    <row r="5" spans="2:5">
      <c r="B5" s="484" t="str">
        <f>inputPrYr!B18</f>
        <v>Road &amp; Bridge</v>
      </c>
      <c r="C5" s="455" t="str">
        <f>CONCATENATE("Actual for ",E1-2,"")</f>
        <v>Actual for 2011</v>
      </c>
      <c r="D5" s="455" t="str">
        <f>CONCATENATE("Estimate for ",E1-1,"")</f>
        <v>Estimate for 2012</v>
      </c>
      <c r="E5" s="302" t="str">
        <f>CONCATENATE("Year for ",E1,"")</f>
        <v>Year for 2013</v>
      </c>
    </row>
    <row r="6" spans="2:5">
      <c r="B6" s="303" t="s">
        <v>280</v>
      </c>
      <c r="C6" s="452">
        <v>1467763</v>
      </c>
      <c r="D6" s="456">
        <f>C112</f>
        <v>1275502</v>
      </c>
      <c r="E6" s="265">
        <f>D112</f>
        <v>752576</v>
      </c>
    </row>
    <row r="7" spans="2:5">
      <c r="B7" s="290" t="s">
        <v>282</v>
      </c>
      <c r="C7" s="305"/>
      <c r="D7" s="305"/>
      <c r="E7" s="127"/>
    </row>
    <row r="8" spans="2:5">
      <c r="B8" s="303" t="s">
        <v>160</v>
      </c>
      <c r="C8" s="452">
        <v>2654398</v>
      </c>
      <c r="D8" s="456">
        <f>IF(inputPrYr!H18&gt;0,inputPrYr!H18,inputPrYr!E18)</f>
        <v>2807471</v>
      </c>
      <c r="E8" s="221" t="s">
        <v>146</v>
      </c>
    </row>
    <row r="9" spans="2:5">
      <c r="B9" s="303" t="s">
        <v>161</v>
      </c>
      <c r="C9" s="452">
        <v>145375</v>
      </c>
      <c r="D9" s="452">
        <v>90000</v>
      </c>
      <c r="E9" s="306">
        <v>90000</v>
      </c>
    </row>
    <row r="10" spans="2:5">
      <c r="B10" s="303" t="s">
        <v>162</v>
      </c>
      <c r="C10" s="452">
        <v>382110</v>
      </c>
      <c r="D10" s="452">
        <v>332864</v>
      </c>
      <c r="E10" s="127">
        <f>mvalloc!E9</f>
        <v>335465</v>
      </c>
    </row>
    <row r="11" spans="2:5">
      <c r="B11" s="303" t="s">
        <v>163</v>
      </c>
      <c r="C11" s="452">
        <v>7528</v>
      </c>
      <c r="D11" s="452">
        <v>7195</v>
      </c>
      <c r="E11" s="127">
        <f>mvalloc!F9</f>
        <v>5173</v>
      </c>
    </row>
    <row r="12" spans="2:5">
      <c r="B12" s="305" t="s">
        <v>262</v>
      </c>
      <c r="C12" s="452">
        <v>14590</v>
      </c>
      <c r="D12" s="452">
        <v>11393</v>
      </c>
      <c r="E12" s="127">
        <f>mvalloc!G9</f>
        <v>9882</v>
      </c>
    </row>
    <row r="13" spans="2:5">
      <c r="B13" s="350" t="s">
        <v>1007</v>
      </c>
      <c r="C13" s="452">
        <v>735624</v>
      </c>
      <c r="D13" s="452">
        <v>732000</v>
      </c>
      <c r="E13" s="147">
        <v>732000</v>
      </c>
    </row>
    <row r="14" spans="2:5">
      <c r="B14" s="350" t="s">
        <v>1008</v>
      </c>
      <c r="C14" s="452">
        <v>33492</v>
      </c>
      <c r="D14" s="452">
        <v>0</v>
      </c>
      <c r="E14" s="147">
        <v>0</v>
      </c>
    </row>
    <row r="15" spans="2:5">
      <c r="B15" s="350"/>
      <c r="C15" s="452"/>
      <c r="D15" s="452"/>
      <c r="E15" s="147"/>
    </row>
    <row r="16" spans="2:5">
      <c r="B16" s="351"/>
      <c r="C16" s="452"/>
      <c r="D16" s="452"/>
      <c r="E16" s="147"/>
    </row>
    <row r="17" spans="2:5">
      <c r="B17" s="307"/>
      <c r="C17" s="452"/>
      <c r="D17" s="452"/>
      <c r="E17" s="306"/>
    </row>
    <row r="18" spans="2:5">
      <c r="B18" s="307"/>
      <c r="C18" s="452"/>
      <c r="D18" s="452"/>
      <c r="E18" s="306"/>
    </row>
    <row r="19" spans="2:5">
      <c r="B19" s="307"/>
      <c r="C19" s="452"/>
      <c r="D19" s="452"/>
      <c r="E19" s="306"/>
    </row>
    <row r="20" spans="2:5">
      <c r="B20" s="308"/>
      <c r="C20" s="452"/>
      <c r="D20" s="452"/>
      <c r="E20" s="306"/>
    </row>
    <row r="21" spans="2:5">
      <c r="B21" s="308"/>
      <c r="C21" s="452"/>
      <c r="D21" s="452"/>
      <c r="E21" s="306"/>
    </row>
    <row r="22" spans="2:5">
      <c r="B22" s="307"/>
      <c r="C22" s="452"/>
      <c r="D22" s="452"/>
      <c r="E22" s="306"/>
    </row>
    <row r="23" spans="2:5">
      <c r="B23" s="307"/>
      <c r="C23" s="452"/>
      <c r="D23" s="452"/>
      <c r="E23" s="306"/>
    </row>
    <row r="24" spans="2:5">
      <c r="B24" s="307"/>
      <c r="C24" s="452"/>
      <c r="D24" s="452"/>
      <c r="E24" s="306"/>
    </row>
    <row r="25" spans="2:5">
      <c r="B25" s="307"/>
      <c r="C25" s="452"/>
      <c r="D25" s="452"/>
      <c r="E25" s="306"/>
    </row>
    <row r="26" spans="2:5">
      <c r="B26" s="307"/>
      <c r="C26" s="452"/>
      <c r="D26" s="452"/>
      <c r="E26" s="306"/>
    </row>
    <row r="27" spans="2:5">
      <c r="B27" s="307"/>
      <c r="C27" s="452"/>
      <c r="D27" s="452"/>
      <c r="E27" s="306"/>
    </row>
    <row r="28" spans="2:5">
      <c r="B28" s="307"/>
      <c r="C28" s="452"/>
      <c r="D28" s="452"/>
      <c r="E28" s="306"/>
    </row>
    <row r="29" spans="2:5">
      <c r="B29" s="307"/>
      <c r="C29" s="452"/>
      <c r="D29" s="452"/>
      <c r="E29" s="306"/>
    </row>
    <row r="30" spans="2:5">
      <c r="B30" s="307"/>
      <c r="C30" s="452"/>
      <c r="D30" s="452"/>
      <c r="E30" s="306"/>
    </row>
    <row r="31" spans="2:5">
      <c r="B31" s="307"/>
      <c r="C31" s="452"/>
      <c r="D31" s="452"/>
      <c r="E31" s="306"/>
    </row>
    <row r="32" spans="2:5">
      <c r="B32" s="307"/>
      <c r="C32" s="452"/>
      <c r="D32" s="452"/>
      <c r="E32" s="306"/>
    </row>
    <row r="33" spans="2:5">
      <c r="B33" s="307"/>
      <c r="C33" s="452"/>
      <c r="D33" s="452"/>
      <c r="E33" s="306"/>
    </row>
    <row r="34" spans="2:5">
      <c r="B34" s="307"/>
      <c r="C34" s="452"/>
      <c r="D34" s="452"/>
      <c r="E34" s="306"/>
    </row>
    <row r="35" spans="2:5">
      <c r="B35" s="307"/>
      <c r="C35" s="452"/>
      <c r="D35" s="452"/>
      <c r="E35" s="306"/>
    </row>
    <row r="36" spans="2:5">
      <c r="B36" s="307"/>
      <c r="C36" s="452"/>
      <c r="D36" s="452"/>
      <c r="E36" s="306"/>
    </row>
    <row r="37" spans="2:5">
      <c r="B37" s="307"/>
      <c r="C37" s="452"/>
      <c r="D37" s="452"/>
      <c r="E37" s="306"/>
    </row>
    <row r="38" spans="2:5">
      <c r="B38" s="307"/>
      <c r="C38" s="452"/>
      <c r="D38" s="452"/>
      <c r="E38" s="306"/>
    </row>
    <row r="39" spans="2:5">
      <c r="B39" s="307"/>
      <c r="C39" s="452"/>
      <c r="D39" s="452"/>
      <c r="E39" s="306"/>
    </row>
    <row r="40" spans="2:5">
      <c r="B40" s="307"/>
      <c r="C40" s="452"/>
      <c r="D40" s="452"/>
      <c r="E40" s="306"/>
    </row>
    <row r="41" spans="2:5">
      <c r="B41" s="307"/>
      <c r="C41" s="452"/>
      <c r="D41" s="452"/>
      <c r="E41" s="306"/>
    </row>
    <row r="42" spans="2:5">
      <c r="B42" s="307"/>
      <c r="C42" s="452"/>
      <c r="D42" s="452"/>
      <c r="E42" s="306"/>
    </row>
    <row r="43" spans="2:5">
      <c r="B43" s="307"/>
      <c r="C43" s="452"/>
      <c r="D43" s="452"/>
      <c r="E43" s="306"/>
    </row>
    <row r="44" spans="2:5">
      <c r="B44" s="307"/>
      <c r="C44" s="452"/>
      <c r="D44" s="452"/>
      <c r="E44" s="306"/>
    </row>
    <row r="45" spans="2:5">
      <c r="B45" s="307"/>
      <c r="C45" s="452"/>
      <c r="D45" s="452"/>
      <c r="E45" s="306"/>
    </row>
    <row r="46" spans="2:5">
      <c r="B46" s="307"/>
      <c r="C46" s="452"/>
      <c r="D46" s="452"/>
      <c r="E46" s="306"/>
    </row>
    <row r="47" spans="2:5">
      <c r="B47" s="307"/>
      <c r="C47" s="452"/>
      <c r="D47" s="452"/>
      <c r="E47" s="306"/>
    </row>
    <row r="48" spans="2:5">
      <c r="B48" s="307"/>
      <c r="C48" s="452"/>
      <c r="D48" s="452"/>
      <c r="E48" s="306"/>
    </row>
    <row r="49" spans="2:5">
      <c r="B49" s="307"/>
      <c r="C49" s="452"/>
      <c r="D49" s="452"/>
      <c r="E49" s="306"/>
    </row>
    <row r="50" spans="2:5">
      <c r="B50" s="307"/>
      <c r="C50" s="452"/>
      <c r="D50" s="452"/>
      <c r="E50" s="306"/>
    </row>
    <row r="51" spans="2:5">
      <c r="B51" s="308"/>
      <c r="C51" s="452"/>
      <c r="D51" s="452"/>
      <c r="E51" s="306"/>
    </row>
    <row r="52" spans="2:5">
      <c r="B52" s="309" t="s">
        <v>73</v>
      </c>
      <c r="C52" s="452"/>
      <c r="D52" s="452"/>
      <c r="E52" s="306"/>
    </row>
    <row r="53" spans="2:5">
      <c r="B53" s="309" t="s">
        <v>681</v>
      </c>
      <c r="C53" s="453" t="str">
        <f>IF(C54*0.1&lt;C52,"Exceed 10% Rule","")</f>
        <v/>
      </c>
      <c r="D53" s="453" t="str">
        <f>IF(D54*0.1&lt;D52,"Exceed 10% Rule","")</f>
        <v/>
      </c>
      <c r="E53" s="344" t="str">
        <f>IF(E54*0.1+E118&lt;E52,"Exceed 10% Rule","")</f>
        <v/>
      </c>
    </row>
    <row r="54" spans="2:5">
      <c r="B54" s="311" t="s">
        <v>165</v>
      </c>
      <c r="C54" s="454">
        <f>SUM(C8:C52)</f>
        <v>3973117</v>
      </c>
      <c r="D54" s="454">
        <f>SUM(D8:D52)</f>
        <v>3980923</v>
      </c>
      <c r="E54" s="352">
        <f>SUM(E9:E52)</f>
        <v>1172520</v>
      </c>
    </row>
    <row r="55" spans="2:5">
      <c r="B55" s="311" t="s">
        <v>166</v>
      </c>
      <c r="C55" s="454">
        <f>C6+C54</f>
        <v>5440880</v>
      </c>
      <c r="D55" s="454">
        <f>D6+D54</f>
        <v>5256425</v>
      </c>
      <c r="E55" s="352">
        <f>E6+E54</f>
        <v>1925096</v>
      </c>
    </row>
    <row r="56" spans="2:5">
      <c r="B56" s="85"/>
      <c r="C56" s="228"/>
      <c r="D56" s="228"/>
      <c r="E56" s="228"/>
    </row>
    <row r="57" spans="2:5">
      <c r="B57" s="287" t="s">
        <v>190</v>
      </c>
      <c r="C57" s="349"/>
      <c r="D57" s="97"/>
      <c r="E57" s="97"/>
    </row>
    <row r="58" spans="2:5">
      <c r="B58" s="97"/>
      <c r="C58" s="97"/>
      <c r="D58" s="97"/>
      <c r="E58" s="97"/>
    </row>
    <row r="59" spans="2:5">
      <c r="B59" s="228" t="str">
        <f>inputPrYr!C2</f>
        <v>Franklin County</v>
      </c>
      <c r="C59" s="228"/>
      <c r="D59" s="228"/>
      <c r="E59" s="286">
        <f>inputPrYr!C4</f>
        <v>2013</v>
      </c>
    </row>
    <row r="60" spans="2:5">
      <c r="B60" s="85"/>
      <c r="C60" s="228"/>
      <c r="D60" s="228"/>
      <c r="E60" s="240"/>
    </row>
    <row r="61" spans="2:5">
      <c r="B61" s="313" t="s">
        <v>236</v>
      </c>
      <c r="C61" s="314"/>
      <c r="D61" s="314"/>
      <c r="E61" s="314"/>
    </row>
    <row r="62" spans="2:5">
      <c r="B62" s="85" t="s">
        <v>159</v>
      </c>
      <c r="C62" s="703" t="s">
        <v>841</v>
      </c>
      <c r="D62" s="704" t="s">
        <v>842</v>
      </c>
      <c r="E62" s="215" t="s">
        <v>843</v>
      </c>
    </row>
    <row r="63" spans="2:5">
      <c r="B63" s="153" t="str">
        <f>B5</f>
        <v>Road &amp; Bridge</v>
      </c>
      <c r="C63" s="455" t="str">
        <f>CONCATENATE("Actual for ",E59-2,"")</f>
        <v>Actual for 2011</v>
      </c>
      <c r="D63" s="455" t="str">
        <f>CONCATENATE("Estimate for ",E59-1,"")</f>
        <v>Estimate for 2012</v>
      </c>
      <c r="E63" s="302" t="str">
        <f>CONCATENATE("Year for ",E59,"")</f>
        <v>Year for 2013</v>
      </c>
    </row>
    <row r="64" spans="2:5">
      <c r="B64" s="311" t="s">
        <v>166</v>
      </c>
      <c r="C64" s="456">
        <f>C55</f>
        <v>5440880</v>
      </c>
      <c r="D64" s="456">
        <f>D55</f>
        <v>5256425</v>
      </c>
      <c r="E64" s="265">
        <f>E55</f>
        <v>1925096</v>
      </c>
    </row>
    <row r="65" spans="2:5">
      <c r="B65" s="303" t="s">
        <v>7</v>
      </c>
      <c r="C65" s="305"/>
      <c r="D65" s="305"/>
      <c r="E65" s="127"/>
    </row>
    <row r="66" spans="2:5">
      <c r="B66" s="305" t="str">
        <f>IF(('Road &amp; Bridge Expd.'!$A7&gt;" "),('Road &amp; Bridge Expd.'!$A7)," ")</f>
        <v xml:space="preserve">Road &amp; Bridge Fund </v>
      </c>
      <c r="C66" s="456">
        <f>'Road &amp; Bridge Expd.'!$B12</f>
        <v>4474210</v>
      </c>
      <c r="D66" s="456">
        <f>'Road &amp; Bridge Expd.'!$C12</f>
        <v>4501149</v>
      </c>
      <c r="E66" s="265">
        <f>'Road &amp; Bridge Expd.'!$D12</f>
        <v>4877701</v>
      </c>
    </row>
    <row r="67" spans="2:5">
      <c r="B67" s="305" t="str">
        <f>IF(('Road &amp; Bridge Expd.'!$A13&gt;" "),('Road &amp; Bridge Expd.'!$A13)," ")</f>
        <v xml:space="preserve">Road &amp; Bridge Fund </v>
      </c>
      <c r="C67" s="456">
        <f>'Road &amp; Bridge Expd.'!$B18</f>
        <v>-308832</v>
      </c>
      <c r="D67" s="456">
        <f>'Road &amp; Bridge Expd.'!$C18</f>
        <v>2700</v>
      </c>
      <c r="E67" s="265">
        <f>'Road &amp; Bridge Expd.'!$D18</f>
        <v>266200</v>
      </c>
    </row>
    <row r="68" spans="2:5">
      <c r="B68" s="305" t="str">
        <f>IF(('Road &amp; Bridge Expd.'!$A19&gt;" "),('Road &amp; Bridge Expd.'!$A19)," ")</f>
        <v xml:space="preserve"> </v>
      </c>
      <c r="C68" s="456">
        <f>'Road &amp; Bridge Expd.'!$B24</f>
        <v>0</v>
      </c>
      <c r="D68" s="456">
        <f>'Road &amp; Bridge Expd.'!$C24</f>
        <v>0</v>
      </c>
      <c r="E68" s="265">
        <f>'Road &amp; Bridge Expd.'!$D24</f>
        <v>0</v>
      </c>
    </row>
    <row r="69" spans="2:5">
      <c r="B69" s="305" t="str">
        <f>IF(('Road &amp; Bridge Expd.'!$A25&gt;" "),('Road &amp; Bridge Expd.'!$A25)," ")</f>
        <v xml:space="preserve"> </v>
      </c>
      <c r="C69" s="456">
        <f>'Road &amp; Bridge Expd.'!$B30</f>
        <v>0</v>
      </c>
      <c r="D69" s="456">
        <f>'Road &amp; Bridge Expd.'!$C30</f>
        <v>0</v>
      </c>
      <c r="E69" s="265">
        <f>'Road &amp; Bridge Expd.'!$D30</f>
        <v>0</v>
      </c>
    </row>
    <row r="70" spans="2:5">
      <c r="B70" s="305" t="str">
        <f>IF(('Road &amp; Bridge Expd.'!$A31&gt;" "),('Road &amp; Bridge Expd.'!$A31)," ")</f>
        <v xml:space="preserve"> </v>
      </c>
      <c r="C70" s="456">
        <f>'Road &amp; Bridge Expd.'!$B36</f>
        <v>0</v>
      </c>
      <c r="D70" s="456">
        <f>'Road &amp; Bridge Expd.'!$C36</f>
        <v>0</v>
      </c>
      <c r="E70" s="265">
        <f>'Road &amp; Bridge Expd.'!$D36</f>
        <v>0</v>
      </c>
    </row>
    <row r="71" spans="2:5">
      <c r="B71" s="305" t="str">
        <f>IF(('Road &amp; Bridge Expd.'!$A37&gt;" "),('Road &amp; Bridge Expd.'!$A37)," ")</f>
        <v xml:space="preserve"> </v>
      </c>
      <c r="C71" s="456">
        <f>'Road &amp; Bridge Expd.'!$B42</f>
        <v>0</v>
      </c>
      <c r="D71" s="456">
        <f>'Road &amp; Bridge Expd.'!$C42</f>
        <v>0</v>
      </c>
      <c r="E71" s="265">
        <f>'Road &amp; Bridge Expd.'!$D42</f>
        <v>0</v>
      </c>
    </row>
    <row r="72" spans="2:5">
      <c r="B72" s="316" t="s">
        <v>28</v>
      </c>
      <c r="C72" s="485">
        <f>SUM(C66:C71)</f>
        <v>4165378</v>
      </c>
      <c r="D72" s="485">
        <f>SUM(D66:D71)</f>
        <v>4503849</v>
      </c>
      <c r="E72" s="348">
        <f>SUM(E66:E71)</f>
        <v>5143901</v>
      </c>
    </row>
    <row r="73" spans="2:5">
      <c r="B73" s="354"/>
      <c r="C73" s="452"/>
      <c r="D73" s="452"/>
      <c r="E73" s="147"/>
    </row>
    <row r="74" spans="2:5">
      <c r="B74" s="354"/>
      <c r="C74" s="452"/>
      <c r="D74" s="452"/>
      <c r="E74" s="147"/>
    </row>
    <row r="75" spans="2:5">
      <c r="B75" s="354"/>
      <c r="C75" s="452"/>
      <c r="D75" s="452"/>
      <c r="E75" s="147"/>
    </row>
    <row r="76" spans="2:5">
      <c r="B76" s="354"/>
      <c r="C76" s="452"/>
      <c r="D76" s="452"/>
      <c r="E76" s="147"/>
    </row>
    <row r="77" spans="2:5">
      <c r="B77" s="354"/>
      <c r="C77" s="452"/>
      <c r="D77" s="452"/>
      <c r="E77" s="147"/>
    </row>
    <row r="78" spans="2:5">
      <c r="B78" s="354"/>
      <c r="C78" s="452"/>
      <c r="D78" s="452"/>
      <c r="E78" s="147"/>
    </row>
    <row r="79" spans="2:5">
      <c r="B79" s="354"/>
      <c r="C79" s="452"/>
      <c r="D79" s="452"/>
      <c r="E79" s="147"/>
    </row>
    <row r="80" spans="2:5">
      <c r="B80" s="354"/>
      <c r="C80" s="452"/>
      <c r="D80" s="452"/>
      <c r="E80" s="147"/>
    </row>
    <row r="81" spans="2:5">
      <c r="B81" s="354"/>
      <c r="C81" s="452"/>
      <c r="D81" s="452"/>
      <c r="E81" s="147"/>
    </row>
    <row r="82" spans="2:5">
      <c r="B82" s="354"/>
      <c r="C82" s="452"/>
      <c r="D82" s="452"/>
      <c r="E82" s="147"/>
    </row>
    <row r="83" spans="2:5">
      <c r="B83" s="354"/>
      <c r="C83" s="452"/>
      <c r="D83" s="452"/>
      <c r="E83" s="147"/>
    </row>
    <row r="84" spans="2:5">
      <c r="B84" s="354"/>
      <c r="C84" s="452"/>
      <c r="D84" s="452"/>
      <c r="E84" s="147"/>
    </row>
    <row r="85" spans="2:5">
      <c r="B85" s="354"/>
      <c r="C85" s="452"/>
      <c r="D85" s="452"/>
      <c r="E85" s="147"/>
    </row>
    <row r="86" spans="2:5">
      <c r="B86" s="354"/>
      <c r="C86" s="452"/>
      <c r="D86" s="452"/>
      <c r="E86" s="147"/>
    </row>
    <row r="87" spans="2:5">
      <c r="B87" s="354"/>
      <c r="C87" s="452"/>
      <c r="D87" s="452"/>
      <c r="E87" s="147"/>
    </row>
    <row r="88" spans="2:5">
      <c r="B88" s="354"/>
      <c r="C88" s="452"/>
      <c r="D88" s="452"/>
      <c r="E88" s="147"/>
    </row>
    <row r="89" spans="2:5">
      <c r="B89" s="354"/>
      <c r="C89" s="452"/>
      <c r="D89" s="452"/>
      <c r="E89" s="147"/>
    </row>
    <row r="90" spans="2:5">
      <c r="B90" s="354"/>
      <c r="C90" s="452"/>
      <c r="D90" s="452"/>
      <c r="E90" s="147"/>
    </row>
    <row r="91" spans="2:5">
      <c r="B91" s="354"/>
      <c r="C91" s="452"/>
      <c r="D91" s="452"/>
      <c r="E91" s="147"/>
    </row>
    <row r="92" spans="2:5">
      <c r="B92" s="354"/>
      <c r="C92" s="452"/>
      <c r="D92" s="452"/>
      <c r="E92" s="147"/>
    </row>
    <row r="93" spans="2:5">
      <c r="B93" s="354"/>
      <c r="C93" s="452"/>
      <c r="D93" s="452"/>
      <c r="E93" s="147"/>
    </row>
    <row r="94" spans="2:5">
      <c r="B94" s="354"/>
      <c r="C94" s="452"/>
      <c r="D94" s="452"/>
      <c r="E94" s="147"/>
    </row>
    <row r="95" spans="2:5">
      <c r="B95" s="354"/>
      <c r="C95" s="452"/>
      <c r="D95" s="452"/>
      <c r="E95" s="147"/>
    </row>
    <row r="96" spans="2:5">
      <c r="B96" s="354"/>
      <c r="C96" s="452"/>
      <c r="D96" s="452"/>
      <c r="E96" s="147"/>
    </row>
    <row r="97" spans="2:10">
      <c r="B97" s="354"/>
      <c r="C97" s="452"/>
      <c r="D97" s="452"/>
      <c r="E97" s="147"/>
    </row>
    <row r="98" spans="2:10">
      <c r="B98" s="354"/>
      <c r="C98" s="452"/>
      <c r="D98" s="452"/>
      <c r="E98" s="147"/>
    </row>
    <row r="99" spans="2:10">
      <c r="B99" s="354"/>
      <c r="C99" s="452"/>
      <c r="D99" s="452"/>
      <c r="E99" s="147"/>
    </row>
    <row r="100" spans="2:10">
      <c r="B100" s="354"/>
      <c r="C100" s="452"/>
      <c r="D100" s="452"/>
      <c r="E100" s="147"/>
    </row>
    <row r="101" spans="2:10">
      <c r="B101" s="354"/>
      <c r="C101" s="452"/>
      <c r="D101" s="452"/>
      <c r="E101" s="147"/>
    </row>
    <row r="102" spans="2:10">
      <c r="B102" s="354"/>
      <c r="C102" s="452"/>
      <c r="D102" s="452"/>
      <c r="E102" s="147"/>
    </row>
    <row r="103" spans="2:10">
      <c r="B103" s="354"/>
      <c r="C103" s="452"/>
      <c r="D103" s="452"/>
      <c r="E103" s="147"/>
      <c r="G103" s="784" t="str">
        <f>CONCATENATE("Desired Carryover Into ",E1+1,"")</f>
        <v>Desired Carryover Into 2014</v>
      </c>
      <c r="H103" s="785"/>
      <c r="I103" s="785"/>
      <c r="J103" s="786"/>
    </row>
    <row r="104" spans="2:10">
      <c r="B104" s="354"/>
      <c r="C104" s="452"/>
      <c r="D104" s="452"/>
      <c r="E104" s="147"/>
      <c r="G104" s="650"/>
      <c r="H104" s="651"/>
      <c r="I104" s="652"/>
      <c r="J104" s="653"/>
    </row>
    <row r="105" spans="2:10">
      <c r="B105" s="354"/>
      <c r="C105" s="452"/>
      <c r="D105" s="452"/>
      <c r="E105" s="147"/>
      <c r="G105" s="654" t="s">
        <v>687</v>
      </c>
      <c r="H105" s="652"/>
      <c r="I105" s="652"/>
      <c r="J105" s="655">
        <v>0</v>
      </c>
    </row>
    <row r="106" spans="2:10">
      <c r="B106" s="354"/>
      <c r="C106" s="452"/>
      <c r="D106" s="452"/>
      <c r="E106" s="147"/>
      <c r="G106" s="650" t="s">
        <v>688</v>
      </c>
      <c r="H106" s="651"/>
      <c r="I106" s="651"/>
      <c r="J106" s="656" t="str">
        <f>IF(J105=0,"",ROUND((J105+E118-G118)/inputOth!E6*1000,3)-G123)</f>
        <v/>
      </c>
    </row>
    <row r="107" spans="2:10">
      <c r="B107" s="318"/>
      <c r="C107" s="452"/>
      <c r="D107" s="452"/>
      <c r="E107" s="306"/>
      <c r="G107" s="657" t="str">
        <f>CONCATENATE("",E1," Tot Exp/Non-Appr Must Be:")</f>
        <v>2013 Tot Exp/Non-Appr Must Be:</v>
      </c>
      <c r="H107" s="658"/>
      <c r="I107" s="659"/>
      <c r="J107" s="660">
        <f>IF(J105&gt;0,IF(E115&lt;E55,IF(J105=G118,E115,((J105-G118)*(1-D117))+E55),E115+(J105-G118)),0)</f>
        <v>0</v>
      </c>
    </row>
    <row r="108" spans="2:10">
      <c r="B108" s="309" t="s">
        <v>75</v>
      </c>
      <c r="C108" s="452"/>
      <c r="D108" s="452"/>
      <c r="E108" s="319">
        <f>Nhood!E8</f>
        <v>9407</v>
      </c>
      <c r="G108" s="661" t="s">
        <v>839</v>
      </c>
      <c r="H108" s="662"/>
      <c r="I108" s="662"/>
      <c r="J108" s="663">
        <f>IF(J105&gt;0,J107-E115,0)</f>
        <v>0</v>
      </c>
    </row>
    <row r="109" spans="2:10">
      <c r="B109" s="309" t="s">
        <v>73</v>
      </c>
      <c r="C109" s="452"/>
      <c r="D109" s="452"/>
      <c r="E109" s="306"/>
    </row>
    <row r="110" spans="2:10">
      <c r="B110" s="309" t="s">
        <v>680</v>
      </c>
      <c r="C110" s="453" t="str">
        <f>IF(C111*0.1&lt;C109,"Exceed 10% Rule","")</f>
        <v/>
      </c>
      <c r="D110" s="453" t="str">
        <f>IF(D111*0.1&lt;D109,"Exceed 10% Rule","")</f>
        <v/>
      </c>
      <c r="E110" s="344" t="str">
        <f>IF(E111*0.1&lt;E109,"Exceed 10% Rule","")</f>
        <v/>
      </c>
      <c r="G110" s="778" t="str">
        <f>CONCATENATE("Projected Carryover Into ",E1+1,"")</f>
        <v>Projected Carryover Into 2014</v>
      </c>
      <c r="H110" s="779"/>
      <c r="I110" s="779"/>
      <c r="J110" s="780"/>
    </row>
    <row r="111" spans="2:10">
      <c r="B111" s="311" t="s">
        <v>170</v>
      </c>
      <c r="C111" s="454">
        <f>SUM(C72:C109)</f>
        <v>4165378</v>
      </c>
      <c r="D111" s="454">
        <f>SUM(D72:D109)</f>
        <v>4503849</v>
      </c>
      <c r="E111" s="352">
        <f>SUM(E72:E109)</f>
        <v>5153308</v>
      </c>
      <c r="G111" s="517"/>
      <c r="H111" s="516"/>
      <c r="I111" s="516"/>
      <c r="J111" s="518"/>
    </row>
    <row r="112" spans="2:10">
      <c r="B112" s="148" t="s">
        <v>281</v>
      </c>
      <c r="C112" s="457">
        <f>C55-C111</f>
        <v>1275502</v>
      </c>
      <c r="D112" s="457">
        <f>D55-D111</f>
        <v>752576</v>
      </c>
      <c r="E112" s="221" t="s">
        <v>146</v>
      </c>
      <c r="G112" s="503">
        <f>D112</f>
        <v>752576</v>
      </c>
      <c r="H112" s="501" t="str">
        <f>CONCATENATE("",E1-1," Ending Cash Balance (est.)")</f>
        <v>2012 Ending Cash Balance (est.)</v>
      </c>
      <c r="I112" s="500"/>
      <c r="J112" s="518"/>
    </row>
    <row r="113" spans="2:11">
      <c r="B113" s="287" t="str">
        <f>CONCATENATE("",E$1-2,"/",E$1-1," Budget Authority Amount:")</f>
        <v>2011/2012 Budget Authority Amount:</v>
      </c>
      <c r="C113" s="279">
        <f>inputOth!$B32</f>
        <v>5056663</v>
      </c>
      <c r="D113" s="279">
        <f>inputPrYr!D18</f>
        <v>4712754</v>
      </c>
      <c r="E113" s="221" t="s">
        <v>146</v>
      </c>
      <c r="F113" s="320"/>
      <c r="G113" s="503">
        <f>E54</f>
        <v>1172520</v>
      </c>
      <c r="H113" s="499" t="str">
        <f>CONCATENATE("",E1," Non-AV Receipts (est.)")</f>
        <v>2013 Non-AV Receipts (est.)</v>
      </c>
      <c r="I113" s="500"/>
      <c r="J113" s="518"/>
    </row>
    <row r="114" spans="2:11">
      <c r="B114" s="287"/>
      <c r="C114" s="774" t="s">
        <v>684</v>
      </c>
      <c r="D114" s="775"/>
      <c r="E114" s="112"/>
      <c r="F114" s="502" t="str">
        <f>IF(E111/0.95-E111&lt;E114,"Exceeds 5%","")</f>
        <v/>
      </c>
      <c r="G114" s="498">
        <f>IF(E117&gt;0,E116,E118)</f>
        <v>3228212</v>
      </c>
      <c r="H114" s="499" t="str">
        <f>CONCATENATE("",E1," Ad Valorem Tax (est.)")</f>
        <v>2013 Ad Valorem Tax (est.)</v>
      </c>
      <c r="I114" s="500"/>
      <c r="J114" s="518"/>
      <c r="K114" s="666" t="str">
        <f>IF(G114=E118,"","Note: Does not include Delinquent Taxes")</f>
        <v>Note: Does not include Delinquent Taxes</v>
      </c>
    </row>
    <row r="115" spans="2:11">
      <c r="B115" s="506" t="str">
        <f>CONCATENATE(C129,"     ",D129)</f>
        <v xml:space="preserve">     </v>
      </c>
      <c r="C115" s="776" t="s">
        <v>685</v>
      </c>
      <c r="D115" s="777"/>
      <c r="E115" s="265">
        <f>E111+E114</f>
        <v>5153308</v>
      </c>
      <c r="G115" s="503">
        <f>SUM(G112:G114)</f>
        <v>5153308</v>
      </c>
      <c r="H115" s="499" t="str">
        <f>CONCATENATE("Total ",E1," Resources Available")</f>
        <v>Total 2013 Resources Available</v>
      </c>
      <c r="I115" s="500"/>
      <c r="J115" s="518"/>
    </row>
    <row r="116" spans="2:11">
      <c r="B116" s="506" t="str">
        <f>CONCATENATE(C130,"     ",D130)</f>
        <v xml:space="preserve">     </v>
      </c>
      <c r="C116" s="321"/>
      <c r="D116" s="240" t="s">
        <v>171</v>
      </c>
      <c r="E116" s="120">
        <f>IF(E115-E55&gt;0,E115-E55,0)</f>
        <v>3228212</v>
      </c>
      <c r="G116" s="497"/>
      <c r="H116" s="499"/>
      <c r="I116" s="499"/>
      <c r="J116" s="518"/>
    </row>
    <row r="117" spans="2:11">
      <c r="B117" s="287"/>
      <c r="C117" s="504" t="s">
        <v>686</v>
      </c>
      <c r="D117" s="649">
        <f>inputOth!$E$23</f>
        <v>0.05</v>
      </c>
      <c r="E117" s="265">
        <f>IF(D117&gt;0,(E116*D117),0)</f>
        <v>161410.6</v>
      </c>
      <c r="G117" s="498">
        <f>C111*0.05+C111</f>
        <v>4373646.9000000004</v>
      </c>
      <c r="H117" s="499" t="str">
        <f>CONCATENATE("Less ",E1-2," Expenditures + 5%")</f>
        <v>Less 2011 Expenditures + 5%</v>
      </c>
      <c r="I117" s="500"/>
      <c r="J117" s="518"/>
    </row>
    <row r="118" spans="2:11">
      <c r="B118" s="85"/>
      <c r="C118" s="782" t="str">
        <f>CONCATENATE("Amount of  ",$E$1-1," Ad Valorem Tax")</f>
        <v>Amount of  2012 Ad Valorem Tax</v>
      </c>
      <c r="D118" s="783"/>
      <c r="E118" s="348">
        <f>E116+E117</f>
        <v>3389622.6</v>
      </c>
      <c r="G118" s="496">
        <f>G115-G117</f>
        <v>779661.09999999963</v>
      </c>
      <c r="H118" s="495" t="str">
        <f>CONCATENATE("Projected ",E1," Carryover (est.)")</f>
        <v>Projected 2013 Carryover (est.)</v>
      </c>
      <c r="I118" s="474"/>
      <c r="J118" s="473"/>
    </row>
    <row r="119" spans="2:11">
      <c r="B119" s="85"/>
      <c r="C119" s="85"/>
      <c r="D119" s="85"/>
      <c r="E119" s="85"/>
    </row>
    <row r="120" spans="2:11">
      <c r="B120" s="97"/>
      <c r="C120" s="97" t="str">
        <f>CONCATENATE("Page No. ",C57,"a")</f>
        <v>Page No. a</v>
      </c>
      <c r="D120" s="353"/>
      <c r="E120" s="353"/>
      <c r="G120" s="787" t="s">
        <v>840</v>
      </c>
      <c r="H120" s="788"/>
      <c r="I120" s="788"/>
      <c r="J120" s="789"/>
    </row>
    <row r="121" spans="2:11">
      <c r="G121" s="668"/>
      <c r="H121" s="669"/>
      <c r="I121" s="670"/>
      <c r="J121" s="671"/>
    </row>
    <row r="122" spans="2:11">
      <c r="G122" s="672">
        <f>summ!H18</f>
        <v>15.901999999999999</v>
      </c>
      <c r="H122" s="669" t="str">
        <f>CONCATENATE("",E1," Fund Mill Rate")</f>
        <v>2013 Fund Mill Rate</v>
      </c>
      <c r="I122" s="670"/>
      <c r="J122" s="671"/>
    </row>
    <row r="123" spans="2:11">
      <c r="G123" s="673">
        <f>summ!E18</f>
        <v>13.506</v>
      </c>
      <c r="H123" s="669" t="str">
        <f>CONCATENATE("",E1-1," Fund Mill Rate")</f>
        <v>2012 Fund Mill Rate</v>
      </c>
      <c r="I123" s="670"/>
      <c r="J123" s="671"/>
    </row>
    <row r="124" spans="2:11">
      <c r="G124" s="674">
        <f>summ!H61</f>
        <v>59.232000000000006</v>
      </c>
      <c r="H124" s="669" t="str">
        <f>CONCATENATE("Total ",E1," Mill Rate")</f>
        <v>Total 2013 Mill Rate</v>
      </c>
      <c r="I124" s="670"/>
      <c r="J124" s="671"/>
    </row>
    <row r="125" spans="2:11">
      <c r="G125" s="673">
        <f>summ!E61</f>
        <v>59.207000000000001</v>
      </c>
      <c r="H125" s="675" t="str">
        <f>CONCATENATE("Total ",E1-1," Mill Rate")</f>
        <v>Total 2012 Mill Rate</v>
      </c>
      <c r="I125" s="676"/>
      <c r="J125" s="677"/>
    </row>
    <row r="129" spans="3:4" hidden="1">
      <c r="C129" s="72" t="str">
        <f>IF(C111&gt;C113,"See Tab A","")</f>
        <v/>
      </c>
      <c r="D129" s="72" t="str">
        <f>IF(D111&gt;D113,"See Tab C","")</f>
        <v/>
      </c>
    </row>
    <row r="130" spans="3:4" hidden="1">
      <c r="C130" s="72" t="str">
        <f>IF(C112&lt;0,"See Tab B","")</f>
        <v/>
      </c>
      <c r="D130" s="72" t="str">
        <f>IF(D112&lt;0,"See Tab D","")</f>
        <v/>
      </c>
    </row>
  </sheetData>
  <sheetProtection sheet="1" objects="1" scenarios="1"/>
  <mergeCells count="6">
    <mergeCell ref="G120:J120"/>
    <mergeCell ref="C114:D114"/>
    <mergeCell ref="C115:D115"/>
    <mergeCell ref="C118:D118"/>
    <mergeCell ref="G103:J103"/>
    <mergeCell ref="G110:J110"/>
  </mergeCells>
  <phoneticPr fontId="8" type="noConversion"/>
  <conditionalFormatting sqref="E109">
    <cfRule type="cellIs" dxfId="385" priority="2" stopIfTrue="1" operator="greaterThan">
      <formula>$E$111*0.1</formula>
    </cfRule>
  </conditionalFormatting>
  <conditionalFormatting sqref="E114">
    <cfRule type="cellIs" dxfId="384" priority="3" stopIfTrue="1" operator="greaterThan">
      <formula>$E$111/0.95-$E$111</formula>
    </cfRule>
  </conditionalFormatting>
  <conditionalFormatting sqref="C52">
    <cfRule type="cellIs" dxfId="383" priority="4" stopIfTrue="1" operator="greaterThan">
      <formula>$C$54*0.1</formula>
    </cfRule>
  </conditionalFormatting>
  <conditionalFormatting sqref="D52">
    <cfRule type="cellIs" dxfId="382" priority="5" stopIfTrue="1" operator="greaterThan">
      <formula>$D$54*0.1</formula>
    </cfRule>
  </conditionalFormatting>
  <conditionalFormatting sqref="E52">
    <cfRule type="cellIs" dxfId="381" priority="6" stopIfTrue="1" operator="greaterThan">
      <formula>$E$54*0.1+E118</formula>
    </cfRule>
  </conditionalFormatting>
  <conditionalFormatting sqref="C109">
    <cfRule type="cellIs" dxfId="380" priority="7" stopIfTrue="1" operator="greaterThan">
      <formula>$C$111*0.1</formula>
    </cfRule>
  </conditionalFormatting>
  <conditionalFormatting sqref="D109">
    <cfRule type="cellIs" dxfId="379" priority="8" stopIfTrue="1" operator="greaterThan">
      <formula>$D$111*0.1</formula>
    </cfRule>
  </conditionalFormatting>
  <conditionalFormatting sqref="C111">
    <cfRule type="cellIs" dxfId="378" priority="9" stopIfTrue="1" operator="greaterThan">
      <formula>$C$113</formula>
    </cfRule>
  </conditionalFormatting>
  <conditionalFormatting sqref="C112">
    <cfRule type="cellIs" dxfId="377" priority="10" stopIfTrue="1" operator="lessThan">
      <formula>0</formula>
    </cfRule>
  </conditionalFormatting>
  <conditionalFormatting sqref="D111">
    <cfRule type="cellIs" dxfId="376" priority="11" stopIfTrue="1" operator="greaterThan">
      <formula>$D$113</formula>
    </cfRule>
  </conditionalFormatting>
  <conditionalFormatting sqref="D112">
    <cfRule type="cellIs" dxfId="375" priority="1" stopIfTrue="1" operator="lessThan">
      <formula>0</formula>
    </cfRule>
  </conditionalFormatting>
  <pageMargins left="0.75" right="0.75" top="1" bottom="0.5" header="0.5" footer="0.5"/>
  <pageSetup scale="73" fitToHeight="2" orientation="portrait" blackAndWhite="1" r:id="rId1"/>
  <headerFooter alignWithMargins="0">
    <oddHeader>&amp;RState of Kansas
County</oddHeader>
  </headerFooter>
  <rowBreaks count="1" manualBreakCount="1">
    <brk id="58" min="1" max="4" man="1"/>
  </rowBreaks>
</worksheet>
</file>

<file path=xl/worksheets/sheet17.xml><?xml version="1.0" encoding="utf-8"?>
<worksheet xmlns="http://schemas.openxmlformats.org/spreadsheetml/2006/main" xmlns:r="http://schemas.openxmlformats.org/officeDocument/2006/relationships">
  <sheetPr codeName="Sheet13"/>
  <dimension ref="A1:D47"/>
  <sheetViews>
    <sheetView topLeftCell="A3" workbookViewId="0">
      <selection activeCell="I56" sqref="I56"/>
    </sheetView>
  </sheetViews>
  <sheetFormatPr defaultColWidth="8.88671875" defaultRowHeight="15.75"/>
  <cols>
    <col min="1" max="1" width="28.33203125" style="72" customWidth="1"/>
    <col min="2" max="3" width="15.77734375" style="72" customWidth="1"/>
    <col min="4" max="4" width="16.21875" style="72" customWidth="1"/>
    <col min="5" max="16384" width="8.88671875" style="72"/>
  </cols>
  <sheetData>
    <row r="1" spans="1:4">
      <c r="A1" s="228" t="str">
        <f>inputPrYr!C2</f>
        <v>Franklin County</v>
      </c>
      <c r="B1" s="85"/>
      <c r="C1" s="301"/>
      <c r="D1" s="85">
        <f>inputPrYr!C4</f>
        <v>2013</v>
      </c>
    </row>
    <row r="2" spans="1:4">
      <c r="A2" s="85"/>
      <c r="B2" s="85"/>
      <c r="C2" s="85"/>
      <c r="D2" s="301"/>
    </row>
    <row r="3" spans="1:4">
      <c r="A3" s="152" t="s">
        <v>237</v>
      </c>
      <c r="B3" s="314"/>
      <c r="C3" s="314"/>
      <c r="D3" s="314"/>
    </row>
    <row r="4" spans="1:4">
      <c r="A4" s="301" t="s">
        <v>159</v>
      </c>
      <c r="B4" s="703" t="s">
        <v>841</v>
      </c>
      <c r="C4" s="704" t="s">
        <v>842</v>
      </c>
      <c r="D4" s="215" t="s">
        <v>843</v>
      </c>
    </row>
    <row r="5" spans="1:4" ht="18.75" customHeight="1">
      <c r="A5" s="482" t="s">
        <v>682</v>
      </c>
      <c r="B5" s="455" t="str">
        <f>CONCATENATE("Actual for ",D1-2,"")</f>
        <v>Actual for 2011</v>
      </c>
      <c r="C5" s="455" t="str">
        <f>CONCATENATE("Estimate for ",D1-1,"")</f>
        <v>Estimate for 2012</v>
      </c>
      <c r="D5" s="302" t="str">
        <f>CONCATENATE("Year for ",D1,"")</f>
        <v>Year for 2013</v>
      </c>
    </row>
    <row r="6" spans="1:4">
      <c r="A6" s="262" t="s">
        <v>169</v>
      </c>
      <c r="B6" s="315"/>
      <c r="C6" s="315"/>
      <c r="D6" s="302"/>
    </row>
    <row r="7" spans="1:4">
      <c r="A7" s="324" t="s">
        <v>682</v>
      </c>
      <c r="B7" s="127"/>
      <c r="C7" s="127"/>
      <c r="D7" s="127"/>
    </row>
    <row r="8" spans="1:4">
      <c r="A8" s="110" t="s">
        <v>174</v>
      </c>
      <c r="B8" s="306">
        <v>972836</v>
      </c>
      <c r="C8" s="306">
        <v>987884</v>
      </c>
      <c r="D8" s="306">
        <v>1139901</v>
      </c>
    </row>
    <row r="9" spans="1:4">
      <c r="A9" s="110" t="s">
        <v>175</v>
      </c>
      <c r="B9" s="306">
        <v>1329461</v>
      </c>
      <c r="C9" s="306">
        <v>1230565</v>
      </c>
      <c r="D9" s="306">
        <v>1256600</v>
      </c>
    </row>
    <row r="10" spans="1:4">
      <c r="A10" s="110" t="s">
        <v>176</v>
      </c>
      <c r="B10" s="306">
        <v>2003714</v>
      </c>
      <c r="C10" s="306">
        <v>2114500</v>
      </c>
      <c r="D10" s="306">
        <v>2313000</v>
      </c>
    </row>
    <row r="11" spans="1:4">
      <c r="A11" s="110" t="s">
        <v>1006</v>
      </c>
      <c r="B11" s="306">
        <v>168199</v>
      </c>
      <c r="C11" s="306">
        <v>168200</v>
      </c>
      <c r="D11" s="306">
        <v>168200</v>
      </c>
    </row>
    <row r="12" spans="1:4">
      <c r="A12" s="262" t="s">
        <v>130</v>
      </c>
      <c r="B12" s="319">
        <f>SUM(B8:B11)</f>
        <v>4474210</v>
      </c>
      <c r="C12" s="319">
        <f>SUM(C8:C11)</f>
        <v>4501149</v>
      </c>
      <c r="D12" s="319">
        <f>SUM(D8:D11)</f>
        <v>4877701</v>
      </c>
    </row>
    <row r="13" spans="1:4">
      <c r="A13" s="324" t="s">
        <v>682</v>
      </c>
      <c r="B13" s="127"/>
      <c r="C13" s="127"/>
      <c r="D13" s="127"/>
    </row>
    <row r="14" spans="1:4">
      <c r="A14" s="110" t="s">
        <v>177</v>
      </c>
      <c r="B14" s="306">
        <v>242804</v>
      </c>
      <c r="C14" s="306">
        <v>202700</v>
      </c>
      <c r="D14" s="306">
        <v>202700</v>
      </c>
    </row>
    <row r="15" spans="1:4">
      <c r="A15" s="110" t="s">
        <v>1010</v>
      </c>
      <c r="B15" s="306">
        <v>339661</v>
      </c>
      <c r="C15" s="306">
        <v>200000</v>
      </c>
      <c r="D15" s="306">
        <v>268500</v>
      </c>
    </row>
    <row r="16" spans="1:4">
      <c r="A16" s="110" t="s">
        <v>958</v>
      </c>
      <c r="B16" s="306">
        <v>-891297</v>
      </c>
      <c r="C16" s="306">
        <v>-400000</v>
      </c>
      <c r="D16" s="306">
        <v>-205000</v>
      </c>
    </row>
    <row r="17" spans="1:4">
      <c r="A17" s="110"/>
      <c r="B17" s="306"/>
      <c r="C17" s="306"/>
      <c r="D17" s="306"/>
    </row>
    <row r="18" spans="1:4">
      <c r="A18" s="262" t="s">
        <v>130</v>
      </c>
      <c r="B18" s="319">
        <f>SUM(B14:B17)</f>
        <v>-308832</v>
      </c>
      <c r="C18" s="319">
        <f>SUM(C14:C17)</f>
        <v>2700</v>
      </c>
      <c r="D18" s="319">
        <f>SUM(D14:D17)</f>
        <v>266200</v>
      </c>
    </row>
    <row r="19" spans="1:4">
      <c r="A19" s="324"/>
      <c r="B19" s="127"/>
      <c r="C19" s="127"/>
      <c r="D19" s="127"/>
    </row>
    <row r="20" spans="1:4">
      <c r="A20" s="110"/>
      <c r="B20" s="306"/>
      <c r="C20" s="306"/>
      <c r="D20" s="306"/>
    </row>
    <row r="21" spans="1:4">
      <c r="A21" s="110"/>
      <c r="B21" s="306"/>
      <c r="C21" s="306"/>
      <c r="D21" s="306"/>
    </row>
    <row r="22" spans="1:4">
      <c r="A22" s="110"/>
      <c r="B22" s="306"/>
      <c r="C22" s="306"/>
      <c r="D22" s="306"/>
    </row>
    <row r="23" spans="1:4">
      <c r="A23" s="110"/>
      <c r="B23" s="147"/>
      <c r="C23" s="147"/>
      <c r="D23" s="147"/>
    </row>
    <row r="24" spans="1:4">
      <c r="A24" s="262" t="s">
        <v>130</v>
      </c>
      <c r="B24" s="319">
        <f>SUM(B20:B23)</f>
        <v>0</v>
      </c>
      <c r="C24" s="319">
        <f>SUM(C20:C23)</f>
        <v>0</v>
      </c>
      <c r="D24" s="319">
        <f>SUM(D20:D23)</f>
        <v>0</v>
      </c>
    </row>
    <row r="25" spans="1:4">
      <c r="A25" s="324"/>
      <c r="B25" s="127"/>
      <c r="C25" s="127"/>
      <c r="D25" s="127"/>
    </row>
    <row r="26" spans="1:4">
      <c r="A26" s="110"/>
      <c r="B26" s="306"/>
      <c r="C26" s="306"/>
      <c r="D26" s="306"/>
    </row>
    <row r="27" spans="1:4">
      <c r="A27" s="110"/>
      <c r="B27" s="306"/>
      <c r="C27" s="306"/>
      <c r="D27" s="306"/>
    </row>
    <row r="28" spans="1:4">
      <c r="A28" s="110"/>
      <c r="B28" s="306"/>
      <c r="C28" s="306"/>
      <c r="D28" s="306"/>
    </row>
    <row r="29" spans="1:4">
      <c r="A29" s="110"/>
      <c r="B29" s="306"/>
      <c r="C29" s="306"/>
      <c r="D29" s="306"/>
    </row>
    <row r="30" spans="1:4">
      <c r="A30" s="262" t="s">
        <v>130</v>
      </c>
      <c r="B30" s="319">
        <f>SUM(B26:B29)</f>
        <v>0</v>
      </c>
      <c r="C30" s="319">
        <f>SUM(C26:C29)</f>
        <v>0</v>
      </c>
      <c r="D30" s="319">
        <f>SUM(D26:D29)</f>
        <v>0</v>
      </c>
    </row>
    <row r="31" spans="1:4">
      <c r="A31" s="324"/>
      <c r="B31" s="127"/>
      <c r="C31" s="127"/>
      <c r="D31" s="127"/>
    </row>
    <row r="32" spans="1:4">
      <c r="A32" s="110"/>
      <c r="B32" s="306"/>
      <c r="C32" s="306"/>
      <c r="D32" s="306"/>
    </row>
    <row r="33" spans="1:4">
      <c r="A33" s="110"/>
      <c r="B33" s="306"/>
      <c r="C33" s="306"/>
      <c r="D33" s="306"/>
    </row>
    <row r="34" spans="1:4">
      <c r="A34" s="110"/>
      <c r="B34" s="306"/>
      <c r="C34" s="306"/>
      <c r="D34" s="306"/>
    </row>
    <row r="35" spans="1:4">
      <c r="A35" s="110"/>
      <c r="B35" s="306"/>
      <c r="C35" s="306"/>
      <c r="D35" s="306"/>
    </row>
    <row r="36" spans="1:4">
      <c r="A36" s="262" t="s">
        <v>130</v>
      </c>
      <c r="B36" s="319">
        <f>SUM(B32:B35)</f>
        <v>0</v>
      </c>
      <c r="C36" s="319">
        <f>SUM(C32:C35)</f>
        <v>0</v>
      </c>
      <c r="D36" s="319">
        <f>SUM(D32:D35)</f>
        <v>0</v>
      </c>
    </row>
    <row r="37" spans="1:4">
      <c r="A37" s="324"/>
      <c r="B37" s="127"/>
      <c r="C37" s="127"/>
      <c r="D37" s="127"/>
    </row>
    <row r="38" spans="1:4">
      <c r="A38" s="110"/>
      <c r="B38" s="306"/>
      <c r="C38" s="306"/>
      <c r="D38" s="306"/>
    </row>
    <row r="39" spans="1:4">
      <c r="A39" s="110"/>
      <c r="B39" s="306"/>
      <c r="C39" s="306"/>
      <c r="D39" s="306"/>
    </row>
    <row r="40" spans="1:4">
      <c r="A40" s="110"/>
      <c r="B40" s="306"/>
      <c r="C40" s="306"/>
      <c r="D40" s="306"/>
    </row>
    <row r="41" spans="1:4">
      <c r="A41" s="110"/>
      <c r="B41" s="306"/>
      <c r="C41" s="306"/>
      <c r="D41" s="306"/>
    </row>
    <row r="42" spans="1:4">
      <c r="A42" s="262" t="s">
        <v>130</v>
      </c>
      <c r="B42" s="319">
        <f>SUM(B38:B41)</f>
        <v>0</v>
      </c>
      <c r="C42" s="319">
        <f>SUM(C38:C41)</f>
        <v>0</v>
      </c>
      <c r="D42" s="319">
        <f>SUM(D38:D41)</f>
        <v>0</v>
      </c>
    </row>
    <row r="43" spans="1:4">
      <c r="A43" s="108" t="s">
        <v>32</v>
      </c>
      <c r="B43" s="317">
        <f>SUM(B12+B18+B24+B30+B36+B42)</f>
        <v>4165378</v>
      </c>
      <c r="C43" s="317">
        <f>SUM(C12+C18+C24+C30+C36+C42)</f>
        <v>4503849</v>
      </c>
      <c r="D43" s="317">
        <f>SUM(D12+D18+D24+D30+D36+D42)</f>
        <v>5143901</v>
      </c>
    </row>
    <row r="44" spans="1:4">
      <c r="A44" s="355" t="s">
        <v>31</v>
      </c>
      <c r="B44" s="299"/>
      <c r="C44" s="356"/>
      <c r="D44" s="228"/>
    </row>
    <row r="45" spans="1:4">
      <c r="A45" s="85"/>
      <c r="B45" s="85"/>
      <c r="C45" s="85"/>
      <c r="D45" s="85"/>
    </row>
    <row r="46" spans="1:4">
      <c r="A46" s="85"/>
      <c r="B46" s="85"/>
      <c r="C46" s="85"/>
      <c r="D46" s="85"/>
    </row>
    <row r="47" spans="1:4">
      <c r="A47" s="85"/>
      <c r="B47" s="101" t="str">
        <f>CONCATENATE("Page No.",'Road &amp; Bridge'!C57,"b")</f>
        <v>Page No.b</v>
      </c>
      <c r="C47" s="85"/>
      <c r="D47" s="85"/>
    </row>
  </sheetData>
  <sheetProtection sheet="1"/>
  <phoneticPr fontId="0" type="noConversion"/>
  <pageMargins left="1.1200000000000001" right="0.5" top="0.74" bottom="0.34" header="0.5" footer="0"/>
  <pageSetup scale="75" orientation="portrait" blackAndWhite="1" r:id="rId1"/>
  <headerFooter alignWithMargins="0">
    <oddHeader xml:space="preserve">&amp;RState of Kansas
County
</oddHeader>
  </headerFooter>
</worksheet>
</file>

<file path=xl/worksheets/sheet18.xml><?xml version="1.0" encoding="utf-8"?>
<worksheet xmlns="http://schemas.openxmlformats.org/spreadsheetml/2006/main" xmlns:r="http://schemas.openxmlformats.org/officeDocument/2006/relationships">
  <sheetPr codeName="Sheet12">
    <pageSetUpPr fitToPage="1"/>
  </sheetPr>
  <dimension ref="B1:K94"/>
  <sheetViews>
    <sheetView topLeftCell="A10" zoomScaleNormal="100" workbookViewId="0">
      <selection activeCell="B28" sqref="B28"/>
    </sheetView>
  </sheetViews>
  <sheetFormatPr defaultColWidth="8.88671875" defaultRowHeight="15.75"/>
  <cols>
    <col min="1" max="1" width="2.44140625" style="72" customWidth="1"/>
    <col min="2" max="2" width="31.109375" style="72" customWidth="1"/>
    <col min="3" max="4" width="15.77734375" style="72" customWidth="1"/>
    <col min="5" max="5" width="16.109375" style="72" customWidth="1"/>
    <col min="6" max="6" width="7.44140625" style="72" customWidth="1"/>
    <col min="7" max="7" width="10.21875" style="72" customWidth="1"/>
    <col min="8" max="8" width="8.88671875" style="72"/>
    <col min="9" max="9" width="5" style="72" customWidth="1"/>
    <col min="10" max="10" width="10" style="72" customWidth="1"/>
    <col min="11" max="16384" width="8.88671875" style="72"/>
  </cols>
  <sheetData>
    <row r="1" spans="2:5">
      <c r="B1" s="228" t="str">
        <f>(inputPrYr!C2)</f>
        <v>Franklin County</v>
      </c>
      <c r="C1" s="85"/>
      <c r="D1" s="85"/>
      <c r="E1" s="286">
        <f>inputPrYr!C4</f>
        <v>2013</v>
      </c>
    </row>
    <row r="2" spans="2:5">
      <c r="B2" s="85"/>
      <c r="C2" s="85"/>
      <c r="D2" s="85"/>
      <c r="E2" s="240"/>
    </row>
    <row r="3" spans="2:5">
      <c r="B3" s="152" t="s">
        <v>238</v>
      </c>
      <c r="C3" s="333"/>
      <c r="D3" s="333"/>
      <c r="E3" s="334"/>
    </row>
    <row r="4" spans="2:5">
      <c r="B4" s="84" t="s">
        <v>159</v>
      </c>
      <c r="C4" s="703" t="s">
        <v>841</v>
      </c>
      <c r="D4" s="704" t="s">
        <v>842</v>
      </c>
      <c r="E4" s="215" t="s">
        <v>843</v>
      </c>
    </row>
    <row r="5" spans="2:5">
      <c r="B5" s="484" t="str">
        <f>inputPrYr!B19</f>
        <v>Special Road and Bridge</v>
      </c>
      <c r="C5" s="455" t="str">
        <f>CONCATENATE("Actual for ",E1-2,"")</f>
        <v>Actual for 2011</v>
      </c>
      <c r="D5" s="455" t="str">
        <f>CONCATENATE("Estimate for ",E1-1,"")</f>
        <v>Estimate for 2012</v>
      </c>
      <c r="E5" s="302" t="str">
        <f>CONCATENATE("Year for ",E1,"")</f>
        <v>Year for 2013</v>
      </c>
    </row>
    <row r="6" spans="2:5">
      <c r="B6" s="148" t="s">
        <v>280</v>
      </c>
      <c r="C6" s="452">
        <v>129290</v>
      </c>
      <c r="D6" s="456">
        <f>C34</f>
        <v>51700</v>
      </c>
      <c r="E6" s="265">
        <f>D34</f>
        <v>60238</v>
      </c>
    </row>
    <row r="7" spans="2:5">
      <c r="B7" s="290" t="s">
        <v>282</v>
      </c>
      <c r="C7" s="305"/>
      <c r="D7" s="305"/>
      <c r="E7" s="127"/>
    </row>
    <row r="8" spans="2:5">
      <c r="B8" s="148" t="s">
        <v>160</v>
      </c>
      <c r="C8" s="452">
        <v>97534</v>
      </c>
      <c r="D8" s="456">
        <f>IF(inputPrYr!H19&gt;0,inputPrYr!H19,inputPrYr!E19)</f>
        <v>259405</v>
      </c>
      <c r="E8" s="337" t="s">
        <v>146</v>
      </c>
    </row>
    <row r="9" spans="2:5">
      <c r="B9" s="148" t="s">
        <v>161</v>
      </c>
      <c r="C9" s="452">
        <v>7974</v>
      </c>
      <c r="D9" s="452">
        <v>5000</v>
      </c>
      <c r="E9" s="112">
        <v>5000</v>
      </c>
    </row>
    <row r="10" spans="2:5">
      <c r="B10" s="148" t="s">
        <v>162</v>
      </c>
      <c r="C10" s="452">
        <v>20623</v>
      </c>
      <c r="D10" s="452">
        <v>19476</v>
      </c>
      <c r="E10" s="265">
        <f>mvalloc!E10</f>
        <v>30996</v>
      </c>
    </row>
    <row r="11" spans="2:5">
      <c r="B11" s="148" t="s">
        <v>163</v>
      </c>
      <c r="C11" s="452">
        <v>406</v>
      </c>
      <c r="D11" s="452">
        <v>264</v>
      </c>
      <c r="E11" s="265">
        <f>mvalloc!F10</f>
        <v>478</v>
      </c>
    </row>
    <row r="12" spans="2:5">
      <c r="B12" s="305" t="s">
        <v>229</v>
      </c>
      <c r="C12" s="452">
        <v>822</v>
      </c>
      <c r="D12" s="452">
        <v>419</v>
      </c>
      <c r="E12" s="265">
        <f>mvalloc!G10</f>
        <v>913</v>
      </c>
    </row>
    <row r="13" spans="2:5">
      <c r="B13" s="318"/>
      <c r="C13" s="452"/>
      <c r="D13" s="452"/>
      <c r="E13" s="112"/>
    </row>
    <row r="14" spans="2:5">
      <c r="B14" s="318"/>
      <c r="C14" s="452"/>
      <c r="D14" s="452"/>
      <c r="E14" s="112"/>
    </row>
    <row r="15" spans="2:5">
      <c r="B15" s="318"/>
      <c r="C15" s="452"/>
      <c r="D15" s="452"/>
      <c r="E15" s="112"/>
    </row>
    <row r="16" spans="2:5">
      <c r="B16" s="318"/>
      <c r="C16" s="452"/>
      <c r="D16" s="452"/>
      <c r="E16" s="112"/>
    </row>
    <row r="17" spans="2:10">
      <c r="B17" s="308"/>
      <c r="C17" s="452"/>
      <c r="D17" s="452"/>
      <c r="E17" s="112"/>
    </row>
    <row r="18" spans="2:10">
      <c r="B18" s="309" t="s">
        <v>73</v>
      </c>
      <c r="C18" s="452"/>
      <c r="D18" s="452"/>
      <c r="E18" s="112"/>
    </row>
    <row r="19" spans="2:10">
      <c r="B19" s="309" t="s">
        <v>681</v>
      </c>
      <c r="C19" s="453" t="str">
        <f>IF(C20*0.1&lt;C18,"Exceed 10% Rule","")</f>
        <v/>
      </c>
      <c r="D19" s="453" t="str">
        <f>IF(D20*0.1&lt;D18,"Exceed 10% Rule","")</f>
        <v/>
      </c>
      <c r="E19" s="344" t="str">
        <f>IF(E20*0.1+E40&lt;E18,"Exceed 10% Rule","")</f>
        <v/>
      </c>
    </row>
    <row r="20" spans="2:10">
      <c r="B20" s="311" t="s">
        <v>165</v>
      </c>
      <c r="C20" s="454">
        <f>SUM(C8:C18)</f>
        <v>127359</v>
      </c>
      <c r="D20" s="454">
        <f>SUM(D8:D18)</f>
        <v>284564</v>
      </c>
      <c r="E20" s="352">
        <f>SUM(E8:E18)</f>
        <v>37387</v>
      </c>
    </row>
    <row r="21" spans="2:10">
      <c r="B21" s="311" t="s">
        <v>166</v>
      </c>
      <c r="C21" s="454">
        <f>C6+C20</f>
        <v>256649</v>
      </c>
      <c r="D21" s="454">
        <f>D6+D20</f>
        <v>336264</v>
      </c>
      <c r="E21" s="352">
        <f>E6+E20</f>
        <v>97625</v>
      </c>
    </row>
    <row r="22" spans="2:10">
      <c r="B22" s="148" t="s">
        <v>169</v>
      </c>
      <c r="C22" s="309"/>
      <c r="D22" s="309"/>
      <c r="E22" s="108"/>
    </row>
    <row r="23" spans="2:10">
      <c r="B23" s="318" t="s">
        <v>174</v>
      </c>
      <c r="C23" s="452">
        <v>113469</v>
      </c>
      <c r="D23" s="452">
        <v>118026</v>
      </c>
      <c r="E23" s="112">
        <v>0</v>
      </c>
    </row>
    <row r="24" spans="2:10">
      <c r="B24" s="318" t="s">
        <v>175</v>
      </c>
      <c r="C24" s="452">
        <v>21202</v>
      </c>
      <c r="D24" s="452">
        <v>41000</v>
      </c>
      <c r="E24" s="112">
        <v>0</v>
      </c>
      <c r="G24" s="784" t="str">
        <f>CONCATENATE("Desired Carryover Into ",E1+1,"")</f>
        <v>Desired Carryover Into 2014</v>
      </c>
      <c r="H24" s="785"/>
      <c r="I24" s="785"/>
      <c r="J24" s="786"/>
    </row>
    <row r="25" spans="2:10">
      <c r="B25" s="318" t="s">
        <v>176</v>
      </c>
      <c r="C25" s="452">
        <v>98494</v>
      </c>
      <c r="D25" s="452">
        <v>103500</v>
      </c>
      <c r="E25" s="112">
        <v>0</v>
      </c>
      <c r="G25" s="650"/>
      <c r="H25" s="651"/>
      <c r="I25" s="652"/>
      <c r="J25" s="653"/>
    </row>
    <row r="26" spans="2:10">
      <c r="B26" s="318" t="s">
        <v>1009</v>
      </c>
      <c r="C26" s="452">
        <v>0</v>
      </c>
      <c r="D26" s="452">
        <v>18500</v>
      </c>
      <c r="E26" s="112">
        <v>0</v>
      </c>
      <c r="G26" s="654" t="s">
        <v>687</v>
      </c>
      <c r="H26" s="652"/>
      <c r="I26" s="652"/>
      <c r="J26" s="655">
        <v>0</v>
      </c>
    </row>
    <row r="27" spans="2:10">
      <c r="B27" s="318" t="s">
        <v>1074</v>
      </c>
      <c r="C27" s="452">
        <v>0</v>
      </c>
      <c r="D27" s="452">
        <v>0</v>
      </c>
      <c r="E27" s="112">
        <v>97625</v>
      </c>
      <c r="G27" s="650" t="s">
        <v>688</v>
      </c>
      <c r="H27" s="651"/>
      <c r="I27" s="651"/>
      <c r="J27" s="656" t="str">
        <f>IF(J26=0,"",ROUND((J26+E40-G39)/inputOth!E6*1000,3)-G44)</f>
        <v/>
      </c>
    </row>
    <row r="28" spans="2:10">
      <c r="B28" s="318" t="s">
        <v>958</v>
      </c>
      <c r="C28" s="452">
        <v>-28216</v>
      </c>
      <c r="D28" s="452">
        <v>-5000</v>
      </c>
      <c r="E28" s="112">
        <v>0</v>
      </c>
      <c r="G28" s="657" t="str">
        <f>CONCATENATE("",E1," Tot Exp/Non-Appr Must Be:")</f>
        <v>2013 Tot Exp/Non-Appr Must Be:</v>
      </c>
      <c r="H28" s="658"/>
      <c r="I28" s="659"/>
      <c r="J28" s="660">
        <f>IF(J26&gt;0,IF(E37&lt;E21,IF(J26=G39,E37,((J26-G39)*(1-D39))+E21),E37+(J26-G39)),0)</f>
        <v>0</v>
      </c>
    </row>
    <row r="29" spans="2:10">
      <c r="B29" s="318"/>
      <c r="C29" s="452"/>
      <c r="D29" s="452"/>
      <c r="E29" s="112"/>
      <c r="G29" s="661" t="s">
        <v>839</v>
      </c>
      <c r="H29" s="662"/>
      <c r="I29" s="662"/>
      <c r="J29" s="663">
        <f>IF(J26&gt;0,J28-E37,0)</f>
        <v>0</v>
      </c>
    </row>
    <row r="30" spans="2:10">
      <c r="B30" s="309" t="s">
        <v>75</v>
      </c>
      <c r="C30" s="452"/>
      <c r="D30" s="452"/>
      <c r="E30" s="120" t="str">
        <f>Nhood!E9</f>
        <v/>
      </c>
      <c r="G30" s="1"/>
      <c r="H30" s="1"/>
      <c r="I30" s="1"/>
      <c r="J30" s="1"/>
    </row>
    <row r="31" spans="2:10">
      <c r="B31" s="309" t="s">
        <v>73</v>
      </c>
      <c r="C31" s="452"/>
      <c r="D31" s="452"/>
      <c r="E31" s="112"/>
      <c r="G31" s="784" t="str">
        <f>CONCATENATE("Projected Carryover Into ",E1+1,"")</f>
        <v>Projected Carryover Into 2014</v>
      </c>
      <c r="H31" s="791"/>
      <c r="I31" s="791"/>
      <c r="J31" s="792"/>
    </row>
    <row r="32" spans="2:10">
      <c r="B32" s="309" t="s">
        <v>680</v>
      </c>
      <c r="C32" s="453" t="str">
        <f>IF(C33*0.1&lt;C31,"Exceed 10% Rule","")</f>
        <v/>
      </c>
      <c r="D32" s="453" t="str">
        <f>IF(D33*0.1&lt;D31,"Exceed 10% Rule","")</f>
        <v/>
      </c>
      <c r="E32" s="344" t="str">
        <f>IF(E33*0.1&lt;E31,"Exceed 10% Rule","")</f>
        <v/>
      </c>
      <c r="G32" s="650"/>
      <c r="H32" s="652"/>
      <c r="I32" s="652"/>
      <c r="J32" s="678"/>
    </row>
    <row r="33" spans="2:11">
      <c r="B33" s="311" t="s">
        <v>170</v>
      </c>
      <c r="C33" s="454">
        <f>SUM(C23:C31)</f>
        <v>204949</v>
      </c>
      <c r="D33" s="454">
        <f>SUM(D23:D31)</f>
        <v>276026</v>
      </c>
      <c r="E33" s="352">
        <f>SUM(E23:E31)</f>
        <v>97625</v>
      </c>
      <c r="G33" s="679">
        <f>D34</f>
        <v>60238</v>
      </c>
      <c r="H33" s="669" t="str">
        <f>CONCATENATE("",E1-1," Ending Cash Balance (est.)")</f>
        <v>2012 Ending Cash Balance (est.)</v>
      </c>
      <c r="I33" s="680"/>
      <c r="J33" s="678"/>
    </row>
    <row r="34" spans="2:11">
      <c r="B34" s="148" t="s">
        <v>281</v>
      </c>
      <c r="C34" s="457">
        <f>C21-C33</f>
        <v>51700</v>
      </c>
      <c r="D34" s="457">
        <f>D21-D33</f>
        <v>60238</v>
      </c>
      <c r="E34" s="337" t="s">
        <v>146</v>
      </c>
      <c r="G34" s="679">
        <f>E20</f>
        <v>37387</v>
      </c>
      <c r="H34" s="652" t="str">
        <f>CONCATENATE("",E1," Non-AV Receipts (est.)")</f>
        <v>2013 Non-AV Receipts (est.)</v>
      </c>
      <c r="I34" s="680"/>
      <c r="J34" s="678"/>
    </row>
    <row r="35" spans="2:11">
      <c r="B35" s="287" t="str">
        <f>CONCATENATE("",E$1-2,"/",E$1-1," Budget Authority Amount:")</f>
        <v>2011/2012 Budget Authority Amount:</v>
      </c>
      <c r="C35" s="279">
        <f>inputOth!B33</f>
        <v>290050</v>
      </c>
      <c r="D35" s="279">
        <f>inputPrYr!D19</f>
        <v>276971</v>
      </c>
      <c r="E35" s="337" t="s">
        <v>146</v>
      </c>
      <c r="F35" s="320"/>
      <c r="G35" s="681">
        <f>IF(E39&gt;0,E38,E40)</f>
        <v>0</v>
      </c>
      <c r="H35" s="652" t="str">
        <f>CONCATENATE("",E1," Ad Valorem Tax (est.)")</f>
        <v>2013 Ad Valorem Tax (est.)</v>
      </c>
      <c r="I35" s="680"/>
      <c r="J35" s="678"/>
      <c r="K35" s="666" t="str">
        <f>IF(G35=E40,"","Note: Does not include Delinquent Taxes")</f>
        <v/>
      </c>
    </row>
    <row r="36" spans="2:11">
      <c r="B36" s="287"/>
      <c r="C36" s="774" t="s">
        <v>684</v>
      </c>
      <c r="D36" s="775"/>
      <c r="E36" s="112"/>
      <c r="F36" s="502" t="str">
        <f>IF(E33/0.95-E33&lt;E36,"Exceeds 5%","")</f>
        <v/>
      </c>
      <c r="G36" s="679">
        <f>SUM(G33:G35)</f>
        <v>97625</v>
      </c>
      <c r="H36" s="652" t="str">
        <f>CONCATENATE("Total ",E1," Resources Available")</f>
        <v>Total 2013 Resources Available</v>
      </c>
      <c r="I36" s="680"/>
      <c r="J36" s="678"/>
    </row>
    <row r="37" spans="2:11">
      <c r="B37" s="506" t="str">
        <f>CONCATENATE(C91,"     ",D91)</f>
        <v xml:space="preserve">     </v>
      </c>
      <c r="C37" s="776" t="s">
        <v>685</v>
      </c>
      <c r="D37" s="777"/>
      <c r="E37" s="265">
        <f>E33+E36</f>
        <v>97625</v>
      </c>
      <c r="G37" s="682"/>
      <c r="H37" s="652"/>
      <c r="I37" s="652"/>
      <c r="J37" s="678"/>
    </row>
    <row r="38" spans="2:11">
      <c r="B38" s="506" t="str">
        <f>CONCATENATE(C92,"     ",D92)</f>
        <v xml:space="preserve">     </v>
      </c>
      <c r="C38" s="321"/>
      <c r="D38" s="240" t="s">
        <v>171</v>
      </c>
      <c r="E38" s="120">
        <f>IF(E37-E21&gt;0,E37-E21,0)</f>
        <v>0</v>
      </c>
      <c r="G38" s="681">
        <f>ROUND(C33*0.05+C33,0)</f>
        <v>215196</v>
      </c>
      <c r="H38" s="652" t="str">
        <f>CONCATENATE("Less ",E1-2," Expenditures + 5%")</f>
        <v>Less 2011 Expenditures + 5%</v>
      </c>
      <c r="I38" s="680"/>
      <c r="J38" s="683"/>
    </row>
    <row r="39" spans="2:11">
      <c r="B39" s="240"/>
      <c r="C39" s="504" t="s">
        <v>686</v>
      </c>
      <c r="D39" s="649">
        <f>inputOth!$E$23</f>
        <v>0.05</v>
      </c>
      <c r="E39" s="265">
        <f>ROUND(IF(D39&gt;0,($E$38*D39),0),0)</f>
        <v>0</v>
      </c>
      <c r="G39" s="684">
        <f>G36-G38</f>
        <v>-117571</v>
      </c>
      <c r="H39" s="685" t="str">
        <f>CONCATENATE("Projected ",E1+1," carryover (est.)")</f>
        <v>Projected 2014 carryover (est.)</v>
      </c>
      <c r="I39" s="686"/>
      <c r="J39" s="687"/>
    </row>
    <row r="40" spans="2:11">
      <c r="B40" s="85"/>
      <c r="C40" s="782" t="str">
        <f>CONCATENATE("Amount of  ",$E$1-1," Ad Valorem Tax")</f>
        <v>Amount of  2012 Ad Valorem Tax</v>
      </c>
      <c r="D40" s="783"/>
      <c r="E40" s="348">
        <f>E38+E39</f>
        <v>0</v>
      </c>
      <c r="G40" s="1"/>
      <c r="H40" s="1"/>
      <c r="I40" s="1"/>
      <c r="J40" s="1"/>
    </row>
    <row r="41" spans="2:11">
      <c r="B41" s="85"/>
      <c r="C41" s="327"/>
      <c r="D41" s="327"/>
      <c r="E41" s="327"/>
      <c r="G41" s="787" t="s">
        <v>840</v>
      </c>
      <c r="H41" s="788"/>
      <c r="I41" s="788"/>
      <c r="J41" s="789"/>
    </row>
    <row r="42" spans="2:11">
      <c r="B42" s="84" t="s">
        <v>159</v>
      </c>
      <c r="C42" s="703" t="str">
        <f t="shared" ref="C42:E43" si="0">C4</f>
        <v xml:space="preserve">Prior Year </v>
      </c>
      <c r="D42" s="704" t="str">
        <f t="shared" si="0"/>
        <v xml:space="preserve">Current Year </v>
      </c>
      <c r="E42" s="215" t="str">
        <f t="shared" si="0"/>
        <v xml:space="preserve">Proposed Budget </v>
      </c>
      <c r="G42" s="668"/>
      <c r="H42" s="669"/>
      <c r="I42" s="670"/>
      <c r="J42" s="671"/>
    </row>
    <row r="43" spans="2:11">
      <c r="B43" s="483" t="str">
        <f>(inputPrYr!B20)</f>
        <v>Ambulance</v>
      </c>
      <c r="C43" s="455" t="str">
        <f t="shared" si="0"/>
        <v>Actual for 2011</v>
      </c>
      <c r="D43" s="455" t="str">
        <f t="shared" si="0"/>
        <v>Estimate for 2012</v>
      </c>
      <c r="E43" s="302" t="str">
        <f t="shared" si="0"/>
        <v>Year for 2013</v>
      </c>
      <c r="G43" s="672" t="str">
        <f>summ!H19</f>
        <v xml:space="preserve">  </v>
      </c>
      <c r="H43" s="669" t="str">
        <f>CONCATENATE("",E1," Fund Mill Rate")</f>
        <v>2013 Fund Mill Rate</v>
      </c>
      <c r="I43" s="670"/>
      <c r="J43" s="671"/>
    </row>
    <row r="44" spans="2:11">
      <c r="B44" s="148" t="s">
        <v>280</v>
      </c>
      <c r="C44" s="452">
        <v>56939</v>
      </c>
      <c r="D44" s="456">
        <f>C74</f>
        <v>69398</v>
      </c>
      <c r="E44" s="265">
        <f>D74</f>
        <v>140533</v>
      </c>
      <c r="G44" s="673">
        <f>summ!E19</f>
        <v>1.248</v>
      </c>
      <c r="H44" s="669" t="str">
        <f>CONCATENATE("",E1-1," Fund Mill Rate")</f>
        <v>2012 Fund Mill Rate</v>
      </c>
      <c r="I44" s="670"/>
      <c r="J44" s="671"/>
    </row>
    <row r="45" spans="2:11">
      <c r="B45" s="303" t="s">
        <v>282</v>
      </c>
      <c r="C45" s="305"/>
      <c r="D45" s="305"/>
      <c r="E45" s="127"/>
      <c r="G45" s="674">
        <f>summ!H61</f>
        <v>59.232000000000006</v>
      </c>
      <c r="H45" s="669" t="str">
        <f>CONCATENATE("Total ",E1," Mill Rate")</f>
        <v>Total 2013 Mill Rate</v>
      </c>
      <c r="I45" s="670"/>
      <c r="J45" s="671"/>
    </row>
    <row r="46" spans="2:11">
      <c r="B46" s="148" t="s">
        <v>160</v>
      </c>
      <c r="C46" s="452">
        <v>516554</v>
      </c>
      <c r="D46" s="456">
        <f>IF(inputPrYr!H20&gt;0,inputPrYr!H20,inputPrYr!E20)</f>
        <v>744289</v>
      </c>
      <c r="E46" s="337" t="s">
        <v>146</v>
      </c>
      <c r="G46" s="673">
        <f>summ!E61</f>
        <v>59.207000000000001</v>
      </c>
      <c r="H46" s="675" t="str">
        <f>CONCATENATE("Total ",E1-1," Mill Rate")</f>
        <v>Total 2012 Mill Rate</v>
      </c>
      <c r="I46" s="676"/>
      <c r="J46" s="677"/>
    </row>
    <row r="47" spans="2:11">
      <c r="B47" s="148" t="s">
        <v>161</v>
      </c>
      <c r="C47" s="452">
        <v>25591</v>
      </c>
      <c r="D47" s="452">
        <v>15000</v>
      </c>
      <c r="E47" s="112">
        <v>20000</v>
      </c>
      <c r="G47" s="1"/>
      <c r="H47" s="1"/>
      <c r="I47" s="1"/>
      <c r="J47" s="1"/>
    </row>
    <row r="48" spans="2:11">
      <c r="B48" s="148" t="s">
        <v>162</v>
      </c>
      <c r="C48" s="452">
        <v>65052</v>
      </c>
      <c r="D48" s="452">
        <v>64761</v>
      </c>
      <c r="E48" s="265">
        <f>mvalloc!E11</f>
        <v>88935</v>
      </c>
      <c r="G48" s="1"/>
      <c r="H48" s="1"/>
      <c r="I48" s="1"/>
      <c r="J48" s="1"/>
    </row>
    <row r="49" spans="2:10">
      <c r="B49" s="148" t="s">
        <v>163</v>
      </c>
      <c r="C49" s="452">
        <v>1276</v>
      </c>
      <c r="D49" s="452">
        <v>1400</v>
      </c>
      <c r="E49" s="265">
        <f>mvalloc!F11</f>
        <v>1372</v>
      </c>
      <c r="G49" s="1"/>
      <c r="H49" s="1"/>
      <c r="I49" s="1"/>
      <c r="J49" s="1"/>
    </row>
    <row r="50" spans="2:10">
      <c r="B50" s="305" t="s">
        <v>229</v>
      </c>
      <c r="C50" s="452">
        <v>3065</v>
      </c>
      <c r="D50" s="452">
        <v>2217</v>
      </c>
      <c r="E50" s="265">
        <f>mvalloc!G11</f>
        <v>2620</v>
      </c>
      <c r="G50" s="1"/>
      <c r="H50" s="1"/>
      <c r="I50" s="1"/>
      <c r="J50" s="1"/>
    </row>
    <row r="51" spans="2:10">
      <c r="B51" s="318" t="s">
        <v>1011</v>
      </c>
      <c r="C51" s="452">
        <v>850099</v>
      </c>
      <c r="D51" s="452">
        <v>750000</v>
      </c>
      <c r="E51" s="452">
        <v>750000</v>
      </c>
      <c r="G51" s="1"/>
      <c r="H51" s="1"/>
      <c r="I51" s="1"/>
      <c r="J51" s="1"/>
    </row>
    <row r="52" spans="2:10">
      <c r="B52" s="318"/>
      <c r="C52" s="452"/>
      <c r="D52" s="452"/>
      <c r="E52" s="112"/>
      <c r="G52" s="1"/>
      <c r="H52" s="1"/>
      <c r="I52" s="1"/>
      <c r="J52" s="1"/>
    </row>
    <row r="53" spans="2:10">
      <c r="B53" s="318"/>
      <c r="C53" s="452"/>
      <c r="D53" s="452"/>
      <c r="E53" s="112"/>
      <c r="G53" s="1"/>
      <c r="H53" s="1"/>
      <c r="I53" s="1"/>
      <c r="J53" s="1"/>
    </row>
    <row r="54" spans="2:10">
      <c r="B54" s="318"/>
      <c r="C54" s="452"/>
      <c r="D54" s="452"/>
      <c r="E54" s="112"/>
      <c r="G54" s="1"/>
      <c r="H54" s="1"/>
      <c r="I54" s="1"/>
      <c r="J54" s="1"/>
    </row>
    <row r="55" spans="2:10">
      <c r="B55" s="318"/>
      <c r="C55" s="452"/>
      <c r="D55" s="452"/>
      <c r="E55" s="112"/>
      <c r="G55" s="1"/>
      <c r="H55" s="1"/>
      <c r="I55" s="1"/>
      <c r="J55" s="1"/>
    </row>
    <row r="56" spans="2:10">
      <c r="B56" s="318"/>
      <c r="C56" s="452"/>
      <c r="D56" s="452"/>
      <c r="E56" s="112"/>
      <c r="G56" s="1"/>
      <c r="H56" s="1"/>
      <c r="I56" s="1"/>
      <c r="J56" s="1"/>
    </row>
    <row r="57" spans="2:10">
      <c r="B57" s="308"/>
      <c r="C57" s="452"/>
      <c r="D57" s="452"/>
      <c r="E57" s="112"/>
      <c r="G57" s="1"/>
      <c r="H57" s="1"/>
      <c r="I57" s="1"/>
      <c r="J57" s="1"/>
    </row>
    <row r="58" spans="2:10">
      <c r="B58" s="309" t="s">
        <v>73</v>
      </c>
      <c r="C58" s="452"/>
      <c r="D58" s="452"/>
      <c r="E58" s="112"/>
      <c r="G58" s="1"/>
      <c r="H58" s="1"/>
      <c r="I58" s="1"/>
      <c r="J58" s="1"/>
    </row>
    <row r="59" spans="2:10">
      <c r="B59" s="309" t="s">
        <v>681</v>
      </c>
      <c r="C59" s="453" t="str">
        <f>IF(C60*0.1&lt;C58,"Exceed 10% Rule","")</f>
        <v/>
      </c>
      <c r="D59" s="453" t="str">
        <f>IF(D60*0.1&lt;D58,"Exceed 10% Rule","")</f>
        <v/>
      </c>
      <c r="E59" s="344" t="str">
        <f>IF(E60*0.1+E80&lt;E58,"Exceed 10% Rule","")</f>
        <v/>
      </c>
      <c r="G59" s="1"/>
      <c r="H59" s="1"/>
      <c r="I59" s="1"/>
      <c r="J59" s="1"/>
    </row>
    <row r="60" spans="2:10">
      <c r="B60" s="311" t="s">
        <v>165</v>
      </c>
      <c r="C60" s="454">
        <f>SUM(C46:C58)</f>
        <v>1461637</v>
      </c>
      <c r="D60" s="454">
        <f>SUM(D46:D58)</f>
        <v>1577667</v>
      </c>
      <c r="E60" s="352">
        <f>SUM(E46:E58)</f>
        <v>862927</v>
      </c>
      <c r="G60" s="1"/>
      <c r="H60" s="1"/>
      <c r="I60" s="1"/>
      <c r="J60" s="1"/>
    </row>
    <row r="61" spans="2:10">
      <c r="B61" s="311" t="s">
        <v>166</v>
      </c>
      <c r="C61" s="454">
        <f>C44+C60</f>
        <v>1518576</v>
      </c>
      <c r="D61" s="454">
        <f>D44+D60</f>
        <v>1647065</v>
      </c>
      <c r="E61" s="352">
        <f>E44+E60</f>
        <v>1003460</v>
      </c>
      <c r="G61" s="1"/>
      <c r="H61" s="1"/>
      <c r="I61" s="1"/>
      <c r="J61" s="1"/>
    </row>
    <row r="62" spans="2:10">
      <c r="B62" s="148" t="s">
        <v>169</v>
      </c>
      <c r="C62" s="309"/>
      <c r="D62" s="309"/>
      <c r="E62" s="108"/>
      <c r="G62" s="1"/>
      <c r="H62" s="1"/>
      <c r="I62" s="1"/>
      <c r="J62" s="1"/>
    </row>
    <row r="63" spans="2:10">
      <c r="B63" s="318" t="s">
        <v>174</v>
      </c>
      <c r="C63" s="452">
        <v>1229553</v>
      </c>
      <c r="D63" s="452">
        <v>1222907</v>
      </c>
      <c r="E63" s="112">
        <v>1257901</v>
      </c>
      <c r="G63" s="1"/>
      <c r="H63" s="1"/>
      <c r="I63" s="1"/>
      <c r="J63" s="1"/>
    </row>
    <row r="64" spans="2:10">
      <c r="B64" s="318" t="s">
        <v>175</v>
      </c>
      <c r="C64" s="452">
        <v>58453</v>
      </c>
      <c r="D64" s="452">
        <v>59475</v>
      </c>
      <c r="E64" s="112">
        <v>70500</v>
      </c>
      <c r="G64" s="784" t="str">
        <f>CONCATENATE("Desired Carryover Into ",E1+1,"")</f>
        <v>Desired Carryover Into 2014</v>
      </c>
      <c r="H64" s="785"/>
      <c r="I64" s="785"/>
      <c r="J64" s="786"/>
    </row>
    <row r="65" spans="2:11">
      <c r="B65" s="318" t="s">
        <v>176</v>
      </c>
      <c r="C65" s="452">
        <v>111172</v>
      </c>
      <c r="D65" s="452">
        <v>124150</v>
      </c>
      <c r="E65" s="112">
        <v>138500</v>
      </c>
      <c r="G65" s="650"/>
      <c r="H65" s="651"/>
      <c r="I65" s="652"/>
      <c r="J65" s="653"/>
    </row>
    <row r="66" spans="2:11">
      <c r="B66" s="318" t="s">
        <v>1012</v>
      </c>
      <c r="C66" s="452">
        <v>50000</v>
      </c>
      <c r="D66" s="452">
        <v>100000</v>
      </c>
      <c r="E66" s="112">
        <v>150000</v>
      </c>
      <c r="G66" s="654" t="s">
        <v>687</v>
      </c>
      <c r="H66" s="652"/>
      <c r="I66" s="652"/>
      <c r="J66" s="655">
        <v>0</v>
      </c>
    </row>
    <row r="67" spans="2:11">
      <c r="B67" s="318"/>
      <c r="C67" s="452"/>
      <c r="D67" s="452"/>
      <c r="E67" s="112"/>
      <c r="G67" s="650" t="s">
        <v>688</v>
      </c>
      <c r="H67" s="651"/>
      <c r="I67" s="651"/>
      <c r="J67" s="656" t="str">
        <f>IF(J66=0,"",ROUND((J66+E80-G79)/inputOth!E6*1000,3)-G84)</f>
        <v/>
      </c>
    </row>
    <row r="68" spans="2:11">
      <c r="B68" s="318"/>
      <c r="C68" s="452"/>
      <c r="D68" s="452"/>
      <c r="E68" s="112"/>
      <c r="G68" s="657" t="str">
        <f>CONCATENATE("",E1," Tot Exp/Non-Appr Must Be:")</f>
        <v>2013 Tot Exp/Non-Appr Must Be:</v>
      </c>
      <c r="H68" s="658"/>
      <c r="I68" s="659"/>
      <c r="J68" s="660">
        <f>IF(J66&gt;0,IF(E77&lt;E61,IF(J66=G79,E77,((J66-G79)*(1-D79))+E61),E77+(J66-G79)),0)</f>
        <v>0</v>
      </c>
    </row>
    <row r="69" spans="2:11">
      <c r="B69" s="318"/>
      <c r="C69" s="452"/>
      <c r="D69" s="452"/>
      <c r="E69" s="112"/>
      <c r="G69" s="661" t="s">
        <v>839</v>
      </c>
      <c r="H69" s="662"/>
      <c r="I69" s="662"/>
      <c r="J69" s="663">
        <f>IF(J66&gt;0,J68-E77,0)</f>
        <v>0</v>
      </c>
    </row>
    <row r="70" spans="2:11">
      <c r="B70" s="309" t="s">
        <v>75</v>
      </c>
      <c r="C70" s="452"/>
      <c r="D70" s="452"/>
      <c r="E70" s="120">
        <f>Nhood!E10</f>
        <v>1793</v>
      </c>
      <c r="G70" s="1"/>
      <c r="H70" s="1"/>
      <c r="I70" s="1"/>
      <c r="J70" s="1"/>
    </row>
    <row r="71" spans="2:11">
      <c r="B71" s="309" t="s">
        <v>73</v>
      </c>
      <c r="C71" s="452"/>
      <c r="D71" s="452"/>
      <c r="E71" s="112"/>
      <c r="G71" s="784" t="str">
        <f>CONCATENATE("Projected Carryover Into ",E1+1,"")</f>
        <v>Projected Carryover Into 2014</v>
      </c>
      <c r="H71" s="793"/>
      <c r="I71" s="793"/>
      <c r="J71" s="792"/>
    </row>
    <row r="72" spans="2:11">
      <c r="B72" s="309" t="s">
        <v>680</v>
      </c>
      <c r="C72" s="453" t="str">
        <f>IF(C73*0.1&lt;C71,"Exceed 10% Rule","")</f>
        <v/>
      </c>
      <c r="D72" s="453" t="str">
        <f>IF(D73*0.1&lt;D71,"Exceed 10% Rule","")</f>
        <v/>
      </c>
      <c r="E72" s="344" t="str">
        <f>IF(E73*0.1&lt;E71,"Exceed 10% Rule","")</f>
        <v/>
      </c>
      <c r="G72" s="688"/>
      <c r="H72" s="651"/>
      <c r="I72" s="651"/>
      <c r="J72" s="683"/>
    </row>
    <row r="73" spans="2:11">
      <c r="B73" s="311" t="s">
        <v>170</v>
      </c>
      <c r="C73" s="454">
        <f>SUM(C63:C71)</f>
        <v>1449178</v>
      </c>
      <c r="D73" s="454">
        <f>SUM(D63:D71)</f>
        <v>1506532</v>
      </c>
      <c r="E73" s="352">
        <f>SUM(E63:E71)</f>
        <v>1618694</v>
      </c>
      <c r="G73" s="679">
        <f>D74</f>
        <v>140533</v>
      </c>
      <c r="H73" s="669" t="str">
        <f>CONCATENATE("",E1-1," Ending Cash Balance (est.)")</f>
        <v>2012 Ending Cash Balance (est.)</v>
      </c>
      <c r="I73" s="680"/>
      <c r="J73" s="683"/>
    </row>
    <row r="74" spans="2:11">
      <c r="B74" s="148" t="s">
        <v>281</v>
      </c>
      <c r="C74" s="457">
        <f>C61-C73</f>
        <v>69398</v>
      </c>
      <c r="D74" s="457">
        <f>D61-D73</f>
        <v>140533</v>
      </c>
      <c r="E74" s="337" t="s">
        <v>146</v>
      </c>
      <c r="G74" s="679">
        <f>E60</f>
        <v>862927</v>
      </c>
      <c r="H74" s="652" t="str">
        <f>CONCATENATE("",E1," Non-AV Receipts (est.)")</f>
        <v>2013 Non-AV Receipts (est.)</v>
      </c>
      <c r="I74" s="680"/>
      <c r="J74" s="683"/>
    </row>
    <row r="75" spans="2:11">
      <c r="B75" s="287" t="str">
        <f>CONCATENATE("",E$1-2,"/",E$1-1," Budget Authority Amount:")</f>
        <v>2011/2012 Budget Authority Amount:</v>
      </c>
      <c r="C75" s="279">
        <f>inputOth!B34</f>
        <v>1476455</v>
      </c>
      <c r="D75" s="279">
        <f>inputPrYr!D20</f>
        <v>1542225</v>
      </c>
      <c r="E75" s="337" t="s">
        <v>146</v>
      </c>
      <c r="F75" s="320"/>
      <c r="G75" s="681">
        <f>IF(E79&gt;0,E78,E80)</f>
        <v>615234</v>
      </c>
      <c r="H75" s="652" t="str">
        <f>CONCATENATE("",E1," Ad Valorem Tax (est.)")</f>
        <v>2013 Ad Valorem Tax (est.)</v>
      </c>
      <c r="I75" s="680"/>
      <c r="J75" s="683"/>
      <c r="K75" s="666" t="str">
        <f>IF(G75=E80,"","Note: Does not include Delinquent Taxes")</f>
        <v>Note: Does not include Delinquent Taxes</v>
      </c>
    </row>
    <row r="76" spans="2:11">
      <c r="B76" s="287"/>
      <c r="C76" s="774" t="s">
        <v>684</v>
      </c>
      <c r="D76" s="775"/>
      <c r="E76" s="112"/>
      <c r="F76" s="502" t="str">
        <f>IF(E73/0.95-E73&lt;E76,"Exceeds 5%","")</f>
        <v/>
      </c>
      <c r="G76" s="689">
        <f>SUM(G73:G75)</f>
        <v>1618694</v>
      </c>
      <c r="H76" s="652" t="str">
        <f>CONCATENATE("Total ",E1," Resources Available")</f>
        <v>Total 2013 Resources Available</v>
      </c>
      <c r="I76" s="690"/>
      <c r="J76" s="683"/>
    </row>
    <row r="77" spans="2:11">
      <c r="B77" s="505" t="str">
        <f>CONCATENATE(C93,"     ",D93)</f>
        <v xml:space="preserve">     </v>
      </c>
      <c r="C77" s="776" t="s">
        <v>685</v>
      </c>
      <c r="D77" s="777"/>
      <c r="E77" s="265">
        <f>E73+E76</f>
        <v>1618694</v>
      </c>
      <c r="G77" s="691"/>
      <c r="H77" s="692"/>
      <c r="I77" s="651"/>
      <c r="J77" s="683"/>
    </row>
    <row r="78" spans="2:11">
      <c r="B78" s="505" t="str">
        <f>CONCATENATE(C94,"     ",D94)</f>
        <v xml:space="preserve">     </v>
      </c>
      <c r="C78" s="321"/>
      <c r="D78" s="240" t="s">
        <v>171</v>
      </c>
      <c r="E78" s="120">
        <f>IF(E77-E61&gt;0,E77-E61,0)</f>
        <v>615234</v>
      </c>
      <c r="G78" s="693">
        <f>ROUND(C73*0.05+C73,0)</f>
        <v>1521637</v>
      </c>
      <c r="H78" s="652" t="str">
        <f>CONCATENATE("Less ",E1-2," Expenditures + 5%")</f>
        <v>Less 2011 Expenditures + 5%</v>
      </c>
      <c r="I78" s="690"/>
      <c r="J78" s="683"/>
    </row>
    <row r="79" spans="2:11">
      <c r="B79" s="240"/>
      <c r="C79" s="504" t="s">
        <v>686</v>
      </c>
      <c r="D79" s="649">
        <f>inputOth!$E$23</f>
        <v>0.05</v>
      </c>
      <c r="E79" s="265">
        <f>ROUND(IF(D79&gt;0,($E$78*D79),0),0)</f>
        <v>30762</v>
      </c>
      <c r="G79" s="694">
        <f>G76-G78</f>
        <v>97057</v>
      </c>
      <c r="H79" s="685" t="str">
        <f>CONCATENATE("Projected ",E1+1," carryover (est.)")</f>
        <v>Projected 2014 carryover (est.)</v>
      </c>
      <c r="I79" s="695"/>
      <c r="J79" s="696"/>
    </row>
    <row r="80" spans="2:11">
      <c r="B80" s="85"/>
      <c r="C80" s="782" t="str">
        <f>CONCATENATE("Amount of  ",$E$1-1," Ad Valorem Tax")</f>
        <v>Amount of  2012 Ad Valorem Tax</v>
      </c>
      <c r="D80" s="783"/>
      <c r="E80" s="348">
        <f>E78+E79</f>
        <v>645996</v>
      </c>
      <c r="G80" s="1"/>
      <c r="H80" s="1"/>
      <c r="I80" s="1"/>
      <c r="J80" s="1"/>
    </row>
    <row r="81" spans="2:10">
      <c r="B81" s="287" t="s">
        <v>190</v>
      </c>
      <c r="C81" s="349"/>
      <c r="D81" s="85"/>
      <c r="E81" s="85"/>
      <c r="G81" s="787" t="s">
        <v>840</v>
      </c>
      <c r="H81" s="788"/>
      <c r="I81" s="788"/>
      <c r="J81" s="789"/>
    </row>
    <row r="82" spans="2:10">
      <c r="G82" s="668"/>
      <c r="H82" s="669"/>
      <c r="I82" s="670"/>
      <c r="J82" s="671"/>
    </row>
    <row r="83" spans="2:10">
      <c r="G83" s="672">
        <f>summ!H20</f>
        <v>3.0310000000000001</v>
      </c>
      <c r="H83" s="669" t="str">
        <f>CONCATENATE("",E1," Fund Mill Rate")</f>
        <v>2013 Fund Mill Rate</v>
      </c>
      <c r="I83" s="670"/>
      <c r="J83" s="671"/>
    </row>
    <row r="84" spans="2:10">
      <c r="G84" s="673">
        <f>summ!E20</f>
        <v>3.581</v>
      </c>
      <c r="H84" s="669" t="str">
        <f>CONCATENATE("",E1-1," Fund Mill Rate")</f>
        <v>2012 Fund Mill Rate</v>
      </c>
      <c r="I84" s="670"/>
      <c r="J84" s="671"/>
    </row>
    <row r="85" spans="2:10">
      <c r="G85" s="674">
        <f>summ!H61</f>
        <v>59.232000000000006</v>
      </c>
      <c r="H85" s="669" t="str">
        <f>CONCATENATE("Total ",E1," Mill Rate")</f>
        <v>Total 2013 Mill Rate</v>
      </c>
      <c r="I85" s="670"/>
      <c r="J85" s="671"/>
    </row>
    <row r="86" spans="2:10">
      <c r="G86" s="673">
        <f>summ!E61</f>
        <v>59.207000000000001</v>
      </c>
      <c r="H86" s="675" t="str">
        <f>CONCATENATE("Total ",E1-1," Mill Rate")</f>
        <v>Total 2012 Mill Rate</v>
      </c>
      <c r="I86" s="676"/>
      <c r="J86" s="677"/>
    </row>
    <row r="91" spans="2:10" hidden="1">
      <c r="C91" s="72" t="str">
        <f>IF(C33&gt;C35,"See Tab A","")</f>
        <v/>
      </c>
      <c r="D91" s="72" t="str">
        <f>IF(D33&gt;D35,"See Tab C","")</f>
        <v/>
      </c>
    </row>
    <row r="92" spans="2:10" hidden="1">
      <c r="C92" s="72" t="str">
        <f>IF(C34&lt;0,"See Tab B","")</f>
        <v/>
      </c>
      <c r="D92" s="72" t="str">
        <f>IF(D34&lt;0,"See Tab D","")</f>
        <v/>
      </c>
    </row>
    <row r="93" spans="2:10" hidden="1">
      <c r="C93" s="72" t="str">
        <f>IF(C73&gt;C75,"See Tab A","")</f>
        <v/>
      </c>
      <c r="D93" s="72" t="str">
        <f>IF(D73&gt;D75,"See Tab C","")</f>
        <v/>
      </c>
    </row>
    <row r="94" spans="2:10" hidden="1">
      <c r="C94" s="72" t="str">
        <f>IF(C74&lt;0,"See Tab B","")</f>
        <v/>
      </c>
      <c r="D94" s="72" t="str">
        <f>IF(D74&lt;0,"See Tab D","")</f>
        <v/>
      </c>
    </row>
  </sheetData>
  <sheetProtection sheet="1"/>
  <mergeCells count="12">
    <mergeCell ref="G81:J81"/>
    <mergeCell ref="C36:D36"/>
    <mergeCell ref="C37:D37"/>
    <mergeCell ref="C76:D76"/>
    <mergeCell ref="C77:D77"/>
    <mergeCell ref="C80:D80"/>
    <mergeCell ref="C40:D40"/>
    <mergeCell ref="G24:J24"/>
    <mergeCell ref="G31:J31"/>
    <mergeCell ref="G41:J41"/>
    <mergeCell ref="G64:J64"/>
    <mergeCell ref="G71:J71"/>
  </mergeCells>
  <phoneticPr fontId="0" type="noConversion"/>
  <conditionalFormatting sqref="E71">
    <cfRule type="cellIs" dxfId="374" priority="4" stopIfTrue="1" operator="greaterThan">
      <formula>$E$73*0.1</formula>
    </cfRule>
  </conditionalFormatting>
  <conditionalFormatting sqref="E76">
    <cfRule type="cellIs" dxfId="373" priority="5" stopIfTrue="1" operator="greaterThan">
      <formula>$E$73/0.95-$E$73</formula>
    </cfRule>
  </conditionalFormatting>
  <conditionalFormatting sqref="E36">
    <cfRule type="cellIs" dxfId="372" priority="6" stopIfTrue="1" operator="greaterThan">
      <formula>$E$33/0.95-$E$33</formula>
    </cfRule>
  </conditionalFormatting>
  <conditionalFormatting sqref="E31">
    <cfRule type="cellIs" dxfId="371" priority="7" stopIfTrue="1" operator="greaterThan">
      <formula>$E$33*0.1</formula>
    </cfRule>
  </conditionalFormatting>
  <conditionalFormatting sqref="C33">
    <cfRule type="cellIs" dxfId="370" priority="8" stopIfTrue="1" operator="greaterThan">
      <formula>$C$35</formula>
    </cfRule>
  </conditionalFormatting>
  <conditionalFormatting sqref="C74 C34">
    <cfRule type="cellIs" dxfId="369" priority="9" stopIfTrue="1" operator="lessThan">
      <formula>0</formula>
    </cfRule>
  </conditionalFormatting>
  <conditionalFormatting sqref="D33">
    <cfRule type="cellIs" dxfId="368" priority="10" stopIfTrue="1" operator="greaterThan">
      <formula>$D$35</formula>
    </cfRule>
  </conditionalFormatting>
  <conditionalFormatting sqref="C73">
    <cfRule type="cellIs" dxfId="367" priority="11" stopIfTrue="1" operator="greaterThan">
      <formula>$C$75</formula>
    </cfRule>
  </conditionalFormatting>
  <conditionalFormatting sqref="D73">
    <cfRule type="cellIs" dxfId="366" priority="12" stopIfTrue="1" operator="greaterThan">
      <formula>$D$75</formula>
    </cfRule>
  </conditionalFormatting>
  <conditionalFormatting sqref="C71">
    <cfRule type="cellIs" dxfId="365" priority="13" stopIfTrue="1" operator="greaterThan">
      <formula>$C$73*0.1</formula>
    </cfRule>
  </conditionalFormatting>
  <conditionalFormatting sqref="D71">
    <cfRule type="cellIs" dxfId="364" priority="14" stopIfTrue="1" operator="greaterThan">
      <formula>$D$73*0.1</formula>
    </cfRule>
  </conditionalFormatting>
  <conditionalFormatting sqref="E58">
    <cfRule type="cellIs" dxfId="363" priority="15" stopIfTrue="1" operator="greaterThan">
      <formula>$E$60*0.1+E80</formula>
    </cfRule>
  </conditionalFormatting>
  <conditionalFormatting sqref="C58">
    <cfRule type="cellIs" dxfId="362" priority="16" stopIfTrue="1" operator="greaterThan">
      <formula>$C$60*0.1</formula>
    </cfRule>
  </conditionalFormatting>
  <conditionalFormatting sqref="D58">
    <cfRule type="cellIs" dxfId="361" priority="17" stopIfTrue="1" operator="greaterThan">
      <formula>$D$60*0.1</formula>
    </cfRule>
  </conditionalFormatting>
  <conditionalFormatting sqref="C31">
    <cfRule type="cellIs" dxfId="360" priority="18" stopIfTrue="1" operator="greaterThan">
      <formula>$C$33*0.1</formula>
    </cfRule>
  </conditionalFormatting>
  <conditionalFormatting sqref="D31">
    <cfRule type="cellIs" dxfId="359" priority="19" stopIfTrue="1" operator="greaterThan">
      <formula>$D$33*0.1</formula>
    </cfRule>
  </conditionalFormatting>
  <conditionalFormatting sqref="E18">
    <cfRule type="cellIs" dxfId="358" priority="20" stopIfTrue="1" operator="greaterThan">
      <formula>$E$20*0.1+E40</formula>
    </cfRule>
  </conditionalFormatting>
  <conditionalFormatting sqref="C18">
    <cfRule type="cellIs" dxfId="357" priority="21" stopIfTrue="1" operator="greaterThan">
      <formula>$C$20*0.1</formula>
    </cfRule>
  </conditionalFormatting>
  <conditionalFormatting sqref="D18">
    <cfRule type="cellIs" dxfId="356" priority="22" stopIfTrue="1" operator="greaterThan">
      <formula>$D$20*0.1</formula>
    </cfRule>
  </conditionalFormatting>
  <conditionalFormatting sqref="D34">
    <cfRule type="cellIs" dxfId="355" priority="2" stopIfTrue="1" operator="lessThan">
      <formula>0</formula>
    </cfRule>
    <cfRule type="cellIs" dxfId="354" priority="3" stopIfTrue="1" operator="lessThan">
      <formula>0</formula>
    </cfRule>
  </conditionalFormatting>
  <conditionalFormatting sqref="D74">
    <cfRule type="cellIs" dxfId="353" priority="1" stopIfTrue="1" operator="lessThan">
      <formula>0</formula>
    </cfRule>
  </conditionalFormatting>
  <pageMargins left="1.1200000000000001" right="0.5" top="0.74" bottom="0.34" header="0.5" footer="0"/>
  <pageSetup scale="54" orientation="portrait" blackAndWhite="1" r:id="rId1"/>
  <headerFooter alignWithMargins="0">
    <oddHeader xml:space="preserve">&amp;RState of Kansas
County
</oddHeader>
  </headerFooter>
</worksheet>
</file>

<file path=xl/worksheets/sheet19.xml><?xml version="1.0" encoding="utf-8"?>
<worksheet xmlns="http://schemas.openxmlformats.org/spreadsheetml/2006/main" xmlns:r="http://schemas.openxmlformats.org/officeDocument/2006/relationships">
  <sheetPr codeName="Sheet14">
    <pageSetUpPr fitToPage="1"/>
  </sheetPr>
  <dimension ref="B1:K94"/>
  <sheetViews>
    <sheetView topLeftCell="A16" zoomScaleNormal="100" workbookViewId="0">
      <selection activeCell="B24" sqref="B24"/>
    </sheetView>
  </sheetViews>
  <sheetFormatPr defaultColWidth="8.88671875" defaultRowHeight="15.75"/>
  <cols>
    <col min="1" max="1" width="2.44140625" style="72" customWidth="1"/>
    <col min="2" max="2" width="31.109375" style="72" customWidth="1"/>
    <col min="3" max="4" width="15.77734375" style="72" customWidth="1"/>
    <col min="5" max="5" width="16.109375" style="72" customWidth="1"/>
    <col min="6" max="6" width="7.44140625" style="72" customWidth="1"/>
    <col min="7" max="7" width="10.21875" style="72" customWidth="1"/>
    <col min="8" max="8" width="8.88671875" style="72"/>
    <col min="9" max="9" width="5" style="72" customWidth="1"/>
    <col min="10" max="10" width="10" style="72" customWidth="1"/>
    <col min="11" max="16384" width="8.88671875" style="72"/>
  </cols>
  <sheetData>
    <row r="1" spans="2:5">
      <c r="B1" s="228" t="str">
        <f>(inputPrYr!C2)</f>
        <v>Franklin County</v>
      </c>
      <c r="C1" s="85"/>
      <c r="D1" s="85"/>
      <c r="E1" s="286">
        <f>inputPrYr!C4</f>
        <v>2013</v>
      </c>
    </row>
    <row r="2" spans="2:5">
      <c r="B2" s="85"/>
      <c r="C2" s="85"/>
      <c r="D2" s="85"/>
      <c r="E2" s="240"/>
    </row>
    <row r="3" spans="2:5">
      <c r="B3" s="152" t="s">
        <v>238</v>
      </c>
      <c r="C3" s="333"/>
      <c r="D3" s="333"/>
      <c r="E3" s="334"/>
    </row>
    <row r="4" spans="2:5">
      <c r="B4" s="84" t="s">
        <v>159</v>
      </c>
      <c r="C4" s="703" t="s">
        <v>841</v>
      </c>
      <c r="D4" s="704" t="s">
        <v>842</v>
      </c>
      <c r="E4" s="215" t="s">
        <v>843</v>
      </c>
    </row>
    <row r="5" spans="2:5">
      <c r="B5" s="484" t="str">
        <f>inputPrYr!B21</f>
        <v>Appraisal</v>
      </c>
      <c r="C5" s="455" t="str">
        <f>CONCATENATE("Actual for ",E1-2,"")</f>
        <v>Actual for 2011</v>
      </c>
      <c r="D5" s="455" t="str">
        <f>CONCATENATE("Estimate for ",E1-1,"")</f>
        <v>Estimate for 2012</v>
      </c>
      <c r="E5" s="302" t="str">
        <f>CONCATENATE("Year for ",E1,"")</f>
        <v>Year for 2013</v>
      </c>
    </row>
    <row r="6" spans="2:5">
      <c r="B6" s="148" t="s">
        <v>280</v>
      </c>
      <c r="C6" s="452">
        <v>30988</v>
      </c>
      <c r="D6" s="456">
        <f>C34</f>
        <v>0</v>
      </c>
      <c r="E6" s="265">
        <f>D34</f>
        <v>0</v>
      </c>
    </row>
    <row r="7" spans="2:5">
      <c r="B7" s="290" t="s">
        <v>282</v>
      </c>
      <c r="C7" s="305"/>
      <c r="D7" s="305"/>
      <c r="E7" s="127"/>
    </row>
    <row r="8" spans="2:5">
      <c r="B8" s="148" t="s">
        <v>160</v>
      </c>
      <c r="C8" s="452">
        <v>3</v>
      </c>
      <c r="D8" s="456">
        <f>IF(inputPrYr!H21&gt;0,inputPrYr!H21,inputPrYr!E21)</f>
        <v>0</v>
      </c>
      <c r="E8" s="337" t="s">
        <v>146</v>
      </c>
    </row>
    <row r="9" spans="2:5">
      <c r="B9" s="148" t="s">
        <v>161</v>
      </c>
      <c r="C9" s="452">
        <v>4077</v>
      </c>
      <c r="D9" s="452">
        <v>0</v>
      </c>
      <c r="E9" s="112">
        <v>0</v>
      </c>
    </row>
    <row r="10" spans="2:5">
      <c r="B10" s="148" t="s">
        <v>162</v>
      </c>
      <c r="C10" s="452">
        <v>12627</v>
      </c>
      <c r="D10" s="452">
        <v>0</v>
      </c>
      <c r="E10" s="265" t="str">
        <f>mvalloc!E12</f>
        <v xml:space="preserve">  </v>
      </c>
    </row>
    <row r="11" spans="2:5">
      <c r="B11" s="148" t="s">
        <v>163</v>
      </c>
      <c r="C11" s="452">
        <v>250</v>
      </c>
      <c r="D11" s="452">
        <v>0</v>
      </c>
      <c r="E11" s="265" t="str">
        <f>mvalloc!F12</f>
        <v xml:space="preserve">  </v>
      </c>
    </row>
    <row r="12" spans="2:5">
      <c r="B12" s="305" t="s">
        <v>229</v>
      </c>
      <c r="C12" s="452">
        <v>727</v>
      </c>
      <c r="D12" s="452">
        <v>0</v>
      </c>
      <c r="E12" s="265" t="str">
        <f>mvalloc!G12</f>
        <v xml:space="preserve">  </v>
      </c>
    </row>
    <row r="13" spans="2:5">
      <c r="B13" s="318"/>
      <c r="C13" s="452"/>
      <c r="D13" s="452"/>
      <c r="E13" s="112"/>
    </row>
    <row r="14" spans="2:5">
      <c r="B14" s="318"/>
      <c r="C14" s="452"/>
      <c r="D14" s="452"/>
      <c r="E14" s="112"/>
    </row>
    <row r="15" spans="2:5">
      <c r="B15" s="318"/>
      <c r="C15" s="452"/>
      <c r="D15" s="452"/>
      <c r="E15" s="112"/>
    </row>
    <row r="16" spans="2:5">
      <c r="B16" s="318"/>
      <c r="C16" s="452"/>
      <c r="D16" s="452"/>
      <c r="E16" s="112"/>
    </row>
    <row r="17" spans="2:10">
      <c r="B17" s="308"/>
      <c r="C17" s="452"/>
      <c r="D17" s="452"/>
      <c r="E17" s="112"/>
    </row>
    <row r="18" spans="2:10">
      <c r="B18" s="309" t="s">
        <v>73</v>
      </c>
      <c r="C18" s="452"/>
      <c r="D18" s="452"/>
      <c r="E18" s="112"/>
    </row>
    <row r="19" spans="2:10">
      <c r="B19" s="309" t="s">
        <v>681</v>
      </c>
      <c r="C19" s="453" t="str">
        <f>IF(C20*0.1&lt;C18,"Exceed 10% Rule","")</f>
        <v/>
      </c>
      <c r="D19" s="453" t="str">
        <f>IF(D20*0.1&lt;D18,"Exceed 10% Rule","")</f>
        <v/>
      </c>
      <c r="E19" s="344" t="str">
        <f>IF(E20*0.1+E40&lt;E18,"Exceed 10% Rule","")</f>
        <v/>
      </c>
    </row>
    <row r="20" spans="2:10">
      <c r="B20" s="311" t="s">
        <v>165</v>
      </c>
      <c r="C20" s="454">
        <f>SUM(C8:C18)</f>
        <v>17684</v>
      </c>
      <c r="D20" s="454">
        <f>SUM(D8:D18)</f>
        <v>0</v>
      </c>
      <c r="E20" s="352">
        <f>SUM(E8:E18)</f>
        <v>0</v>
      </c>
    </row>
    <row r="21" spans="2:10">
      <c r="B21" s="311" t="s">
        <v>166</v>
      </c>
      <c r="C21" s="454">
        <f>C6+C20</f>
        <v>48672</v>
      </c>
      <c r="D21" s="454">
        <f>D6+D20</f>
        <v>0</v>
      </c>
      <c r="E21" s="352">
        <f>E6+E20</f>
        <v>0</v>
      </c>
    </row>
    <row r="22" spans="2:10">
      <c r="B22" s="148" t="s">
        <v>169</v>
      </c>
      <c r="C22" s="309"/>
      <c r="D22" s="309"/>
      <c r="E22" s="108"/>
    </row>
    <row r="23" spans="2:10">
      <c r="B23" s="318" t="s">
        <v>1074</v>
      </c>
      <c r="C23" s="452">
        <v>48672</v>
      </c>
      <c r="D23" s="452">
        <v>0</v>
      </c>
      <c r="E23" s="112">
        <v>0</v>
      </c>
    </row>
    <row r="24" spans="2:10">
      <c r="B24" s="318"/>
      <c r="C24" s="452"/>
      <c r="D24" s="452"/>
      <c r="E24" s="112"/>
      <c r="G24" s="784" t="str">
        <f>CONCATENATE("Desired Carryover Into ",E1+1,"")</f>
        <v>Desired Carryover Into 2014</v>
      </c>
      <c r="H24" s="785"/>
      <c r="I24" s="785"/>
      <c r="J24" s="786"/>
    </row>
    <row r="25" spans="2:10">
      <c r="B25" s="318"/>
      <c r="C25" s="452"/>
      <c r="D25" s="452"/>
      <c r="E25" s="112"/>
      <c r="G25" s="650"/>
      <c r="H25" s="651"/>
      <c r="I25" s="652"/>
      <c r="J25" s="653"/>
    </row>
    <row r="26" spans="2:10">
      <c r="B26" s="318"/>
      <c r="C26" s="452"/>
      <c r="D26" s="452"/>
      <c r="E26" s="112"/>
      <c r="G26" s="654" t="s">
        <v>687</v>
      </c>
      <c r="H26" s="652"/>
      <c r="I26" s="652"/>
      <c r="J26" s="655">
        <v>0</v>
      </c>
    </row>
    <row r="27" spans="2:10">
      <c r="B27" s="318"/>
      <c r="C27" s="452"/>
      <c r="D27" s="452"/>
      <c r="E27" s="112"/>
      <c r="G27" s="650" t="s">
        <v>688</v>
      </c>
      <c r="H27" s="651"/>
      <c r="I27" s="651"/>
      <c r="J27" s="656" t="str">
        <f>IF(J26=0,"",ROUND((J26+E40-G39)/inputOth!E6*1000,3)-G44)</f>
        <v/>
      </c>
    </row>
    <row r="28" spans="2:10">
      <c r="B28" s="318"/>
      <c r="C28" s="452"/>
      <c r="D28" s="452"/>
      <c r="E28" s="112"/>
      <c r="G28" s="657" t="str">
        <f>CONCATENATE("",E1," Tot Exp/Non-Appr Must Be:")</f>
        <v>2013 Tot Exp/Non-Appr Must Be:</v>
      </c>
      <c r="H28" s="658"/>
      <c r="I28" s="659"/>
      <c r="J28" s="660">
        <f>IF(J26&gt;0,IF(E37&lt;E21,IF(J26=G39,E37,((J26-G39)*(1-D39))+E21),E37+(J26-G39)),0)</f>
        <v>0</v>
      </c>
    </row>
    <row r="29" spans="2:10">
      <c r="B29" s="318"/>
      <c r="C29" s="452"/>
      <c r="D29" s="452"/>
      <c r="E29" s="112"/>
      <c r="G29" s="661" t="s">
        <v>839</v>
      </c>
      <c r="H29" s="662"/>
      <c r="I29" s="662"/>
      <c r="J29" s="663">
        <f>IF(J26&gt;0,J28-E37,0)</f>
        <v>0</v>
      </c>
    </row>
    <row r="30" spans="2:10">
      <c r="B30" s="309" t="s">
        <v>75</v>
      </c>
      <c r="C30" s="452"/>
      <c r="D30" s="452"/>
      <c r="E30" s="120" t="str">
        <f>Nhood!E11</f>
        <v/>
      </c>
      <c r="G30" s="1"/>
      <c r="H30" s="1"/>
      <c r="I30" s="1"/>
      <c r="J30" s="1"/>
    </row>
    <row r="31" spans="2:10">
      <c r="B31" s="309" t="s">
        <v>73</v>
      </c>
      <c r="C31" s="452"/>
      <c r="D31" s="452"/>
      <c r="E31" s="112"/>
      <c r="G31" s="784" t="str">
        <f>CONCATENATE("Projected Carryover Into ",E1+1,"")</f>
        <v>Projected Carryover Into 2014</v>
      </c>
      <c r="H31" s="791"/>
      <c r="I31" s="791"/>
      <c r="J31" s="792"/>
    </row>
    <row r="32" spans="2:10">
      <c r="B32" s="309" t="s">
        <v>680</v>
      </c>
      <c r="C32" s="453" t="str">
        <f>IF(C33*0.1&lt;C31,"Exceed 10% Rule","")</f>
        <v/>
      </c>
      <c r="D32" s="453" t="str">
        <f>IF(D33*0.1&lt;D31,"Exceed 10% Rule","")</f>
        <v/>
      </c>
      <c r="E32" s="344" t="str">
        <f>IF(E33*0.1&lt;E31,"Exceed 10% Rule","")</f>
        <v/>
      </c>
      <c r="G32" s="650"/>
      <c r="H32" s="652"/>
      <c r="I32" s="652"/>
      <c r="J32" s="678"/>
    </row>
    <row r="33" spans="2:11">
      <c r="B33" s="311" t="s">
        <v>170</v>
      </c>
      <c r="C33" s="454">
        <f>SUM(C23:C31)</f>
        <v>48672</v>
      </c>
      <c r="D33" s="454">
        <f>SUM(D23:D31)</f>
        <v>0</v>
      </c>
      <c r="E33" s="352">
        <f>SUM(E23:E31)</f>
        <v>0</v>
      </c>
      <c r="G33" s="679">
        <f>D34</f>
        <v>0</v>
      </c>
      <c r="H33" s="669" t="str">
        <f>CONCATENATE("",E1-1," Ending Cash Balance (est.)")</f>
        <v>2012 Ending Cash Balance (est.)</v>
      </c>
      <c r="I33" s="680"/>
      <c r="J33" s="678"/>
    </row>
    <row r="34" spans="2:11">
      <c r="B34" s="148" t="s">
        <v>281</v>
      </c>
      <c r="C34" s="457">
        <f>C21-C33</f>
        <v>0</v>
      </c>
      <c r="D34" s="457">
        <f>D21-D33</f>
        <v>0</v>
      </c>
      <c r="E34" s="337" t="s">
        <v>146</v>
      </c>
      <c r="G34" s="679">
        <f>E20</f>
        <v>0</v>
      </c>
      <c r="H34" s="652" t="str">
        <f>CONCATENATE("",E1," Non-AV Receipts (est.)")</f>
        <v>2013 Non-AV Receipts (est.)</v>
      </c>
      <c r="I34" s="680"/>
      <c r="J34" s="678"/>
    </row>
    <row r="35" spans="2:11">
      <c r="B35" s="287" t="str">
        <f>CONCATENATE("",E$1-2,"/",E$1-1," Budget Authority Amount:")</f>
        <v>2011/2012 Budget Authority Amount:</v>
      </c>
      <c r="C35" s="279">
        <f>inputOth!B35</f>
        <v>89979</v>
      </c>
      <c r="D35" s="279">
        <f>inputPrYr!D21</f>
        <v>0</v>
      </c>
      <c r="E35" s="337" t="s">
        <v>146</v>
      </c>
      <c r="F35" s="320"/>
      <c r="G35" s="681">
        <f>IF(E39&gt;0,E38,E40)</f>
        <v>0</v>
      </c>
      <c r="H35" s="652" t="str">
        <f>CONCATENATE("",E1," Ad Valorem Tax (est.)")</f>
        <v>2013 Ad Valorem Tax (est.)</v>
      </c>
      <c r="I35" s="680"/>
      <c r="J35" s="678"/>
      <c r="K35" s="666" t="str">
        <f>IF(G35=E40,"","Note: Does not include Delinquent Taxes")</f>
        <v/>
      </c>
    </row>
    <row r="36" spans="2:11">
      <c r="B36" s="287"/>
      <c r="C36" s="774" t="s">
        <v>684</v>
      </c>
      <c r="D36" s="775"/>
      <c r="E36" s="293"/>
      <c r="F36" s="502" t="str">
        <f>IF(E33/0.95-E33&lt;E36,"Exceeds 5%","")</f>
        <v/>
      </c>
      <c r="G36" s="679">
        <f>SUM(G33:G35)</f>
        <v>0</v>
      </c>
      <c r="H36" s="652" t="str">
        <f>CONCATENATE("Total ",E1," Resources Available")</f>
        <v>Total 2013 Resources Available</v>
      </c>
      <c r="I36" s="680"/>
      <c r="J36" s="678"/>
    </row>
    <row r="37" spans="2:11">
      <c r="B37" s="506" t="str">
        <f>CONCATENATE(C91,"     ",D91)</f>
        <v xml:space="preserve">     </v>
      </c>
      <c r="C37" s="776" t="s">
        <v>685</v>
      </c>
      <c r="D37" s="777"/>
      <c r="E37" s="265">
        <f>E33+E36</f>
        <v>0</v>
      </c>
      <c r="G37" s="682"/>
      <c r="H37" s="652"/>
      <c r="I37" s="652"/>
      <c r="J37" s="678"/>
    </row>
    <row r="38" spans="2:11">
      <c r="B38" s="506" t="str">
        <f>CONCATENATE(C92,"     ",D92)</f>
        <v xml:space="preserve">     </v>
      </c>
      <c r="C38" s="321"/>
      <c r="D38" s="240" t="s">
        <v>171</v>
      </c>
      <c r="E38" s="120">
        <f>IF(E37-E21&gt;0,E37-E21,0)</f>
        <v>0</v>
      </c>
      <c r="G38" s="681">
        <f>ROUND(C33*0.05+C33,0)</f>
        <v>51106</v>
      </c>
      <c r="H38" s="652" t="str">
        <f>CONCATENATE("Less ",E1-2," Expenditures + 5%")</f>
        <v>Less 2011 Expenditures + 5%</v>
      </c>
      <c r="I38" s="680"/>
      <c r="J38" s="683"/>
    </row>
    <row r="39" spans="2:11">
      <c r="B39" s="240"/>
      <c r="C39" s="504" t="s">
        <v>686</v>
      </c>
      <c r="D39" s="649">
        <f>inputOth!$E$23</f>
        <v>0.05</v>
      </c>
      <c r="E39" s="265">
        <f>ROUND(IF(D39&gt;0,($E$38*D39),0),0)</f>
        <v>0</v>
      </c>
      <c r="G39" s="684">
        <f>G36-G38</f>
        <v>-51106</v>
      </c>
      <c r="H39" s="685" t="str">
        <f>CONCATENATE("Projected ",E1+1," carryover (est.)")</f>
        <v>Projected 2014 carryover (est.)</v>
      </c>
      <c r="I39" s="686"/>
      <c r="J39" s="687"/>
    </row>
    <row r="40" spans="2:11">
      <c r="B40" s="85"/>
      <c r="C40" s="782" t="str">
        <f>CONCATENATE("Amount of  ",$E$1-1," Ad Valorem Tax")</f>
        <v>Amount of  2012 Ad Valorem Tax</v>
      </c>
      <c r="D40" s="783"/>
      <c r="E40" s="348">
        <f>E38+E39</f>
        <v>0</v>
      </c>
      <c r="G40" s="1"/>
      <c r="H40" s="1"/>
      <c r="I40" s="1"/>
      <c r="J40" s="1"/>
    </row>
    <row r="41" spans="2:11">
      <c r="B41" s="84" t="s">
        <v>159</v>
      </c>
      <c r="C41" s="327"/>
      <c r="D41" s="327"/>
      <c r="E41" s="327"/>
      <c r="G41" s="787" t="s">
        <v>840</v>
      </c>
      <c r="H41" s="788"/>
      <c r="I41" s="788"/>
      <c r="J41" s="789"/>
    </row>
    <row r="42" spans="2:11">
      <c r="B42" s="85"/>
      <c r="C42" s="703" t="str">
        <f t="shared" ref="C42:E43" si="0">C4</f>
        <v xml:space="preserve">Prior Year </v>
      </c>
      <c r="D42" s="704" t="str">
        <f t="shared" si="0"/>
        <v xml:space="preserve">Current Year </v>
      </c>
      <c r="E42" s="215" t="str">
        <f t="shared" si="0"/>
        <v xml:space="preserve">Proposed Budget </v>
      </c>
      <c r="G42" s="668"/>
      <c r="H42" s="669"/>
      <c r="I42" s="670"/>
      <c r="J42" s="671"/>
    </row>
    <row r="43" spans="2:11">
      <c r="B43" s="483" t="str">
        <f>inputPrYr!B22</f>
        <v>County Building</v>
      </c>
      <c r="C43" s="455" t="str">
        <f t="shared" si="0"/>
        <v>Actual for 2011</v>
      </c>
      <c r="D43" s="455" t="str">
        <f t="shared" si="0"/>
        <v>Estimate for 2012</v>
      </c>
      <c r="E43" s="302" t="str">
        <f t="shared" si="0"/>
        <v>Year for 2013</v>
      </c>
      <c r="G43" s="672" t="str">
        <f>summ!H21</f>
        <v xml:space="preserve">  </v>
      </c>
      <c r="H43" s="669" t="str">
        <f>CONCATENATE("",E1," Fund Mill Rate")</f>
        <v>2013 Fund Mill Rate</v>
      </c>
      <c r="I43" s="670"/>
      <c r="J43" s="671"/>
    </row>
    <row r="44" spans="2:11">
      <c r="B44" s="148" t="s">
        <v>280</v>
      </c>
      <c r="C44" s="452">
        <v>6035</v>
      </c>
      <c r="D44" s="456">
        <f>C74</f>
        <v>109364</v>
      </c>
      <c r="E44" s="265">
        <f>D74</f>
        <v>636</v>
      </c>
      <c r="G44" s="673" t="str">
        <f>summ!E21</f>
        <v xml:space="preserve">  </v>
      </c>
      <c r="H44" s="669" t="str">
        <f>CONCATENATE("",E1-1," Fund Mill Rate")</f>
        <v>2012 Fund Mill Rate</v>
      </c>
      <c r="I44" s="670"/>
      <c r="J44" s="671"/>
    </row>
    <row r="45" spans="2:11">
      <c r="B45" s="303" t="s">
        <v>282</v>
      </c>
      <c r="C45" s="305"/>
      <c r="D45" s="305"/>
      <c r="E45" s="127"/>
      <c r="G45" s="674">
        <f>summ!H61</f>
        <v>59.232000000000006</v>
      </c>
      <c r="H45" s="669" t="str">
        <f>CONCATENATE("Total ",E1," Mill Rate")</f>
        <v>Total 2013 Mill Rate</v>
      </c>
      <c r="I45" s="670"/>
      <c r="J45" s="671"/>
    </row>
    <row r="46" spans="2:11">
      <c r="B46" s="148" t="s">
        <v>160</v>
      </c>
      <c r="C46" s="452">
        <v>240770</v>
      </c>
      <c r="D46" s="456">
        <f>IF(inputPrYr!H22&gt;0,inputPrYr!H22,inputPrYr!E22)</f>
        <v>22404</v>
      </c>
      <c r="E46" s="337" t="s">
        <v>146</v>
      </c>
      <c r="G46" s="673">
        <f>summ!E61</f>
        <v>59.207000000000001</v>
      </c>
      <c r="H46" s="675" t="str">
        <f>CONCATENATE("Total ",E1-1," Mill Rate")</f>
        <v>Total 2012 Mill Rate</v>
      </c>
      <c r="I46" s="676"/>
      <c r="J46" s="677"/>
    </row>
    <row r="47" spans="2:11">
      <c r="B47" s="148" t="s">
        <v>161</v>
      </c>
      <c r="C47" s="452">
        <v>4447</v>
      </c>
      <c r="D47" s="452">
        <v>3000</v>
      </c>
      <c r="E47" s="112">
        <v>3000</v>
      </c>
      <c r="G47" s="1"/>
      <c r="H47" s="1"/>
      <c r="I47" s="1"/>
      <c r="J47" s="1"/>
    </row>
    <row r="48" spans="2:11">
      <c r="B48" s="148" t="s">
        <v>162</v>
      </c>
      <c r="C48" s="452">
        <v>7213</v>
      </c>
      <c r="D48" s="452">
        <v>30183</v>
      </c>
      <c r="E48" s="265">
        <f>mvalloc!E13</f>
        <v>2677</v>
      </c>
      <c r="G48" s="1"/>
      <c r="H48" s="1"/>
      <c r="I48" s="1"/>
      <c r="J48" s="1"/>
    </row>
    <row r="49" spans="2:10">
      <c r="B49" s="148" t="s">
        <v>163</v>
      </c>
      <c r="C49" s="452">
        <v>137</v>
      </c>
      <c r="D49" s="452">
        <v>652</v>
      </c>
      <c r="E49" s="265">
        <f>mvalloc!F13</f>
        <v>41</v>
      </c>
      <c r="G49" s="1"/>
      <c r="H49" s="1"/>
      <c r="I49" s="1"/>
      <c r="J49" s="1"/>
    </row>
    <row r="50" spans="2:10">
      <c r="B50" s="305" t="s">
        <v>229</v>
      </c>
      <c r="C50" s="452">
        <v>762</v>
      </c>
      <c r="D50" s="452">
        <v>1033</v>
      </c>
      <c r="E50" s="265">
        <f>mvalloc!G13</f>
        <v>79</v>
      </c>
      <c r="G50" s="1"/>
      <c r="H50" s="1"/>
      <c r="I50" s="1"/>
      <c r="J50" s="1"/>
    </row>
    <row r="51" spans="2:10">
      <c r="B51" s="318"/>
      <c r="C51" s="452"/>
      <c r="D51" s="452"/>
      <c r="E51" s="112"/>
      <c r="G51" s="1"/>
      <c r="H51" s="1"/>
      <c r="I51" s="1"/>
      <c r="J51" s="1"/>
    </row>
    <row r="52" spans="2:10">
      <c r="B52" s="318"/>
      <c r="C52" s="452"/>
      <c r="D52" s="452"/>
      <c r="E52" s="112"/>
      <c r="G52" s="1"/>
      <c r="H52" s="1"/>
      <c r="I52" s="1"/>
      <c r="J52" s="1"/>
    </row>
    <row r="53" spans="2:10">
      <c r="B53" s="318"/>
      <c r="C53" s="452"/>
      <c r="D53" s="452"/>
      <c r="E53" s="112"/>
      <c r="G53" s="1"/>
      <c r="H53" s="1"/>
      <c r="I53" s="1"/>
      <c r="J53" s="1"/>
    </row>
    <row r="54" spans="2:10">
      <c r="B54" s="318"/>
      <c r="C54" s="452"/>
      <c r="D54" s="452"/>
      <c r="E54" s="112"/>
      <c r="G54" s="1"/>
      <c r="H54" s="1"/>
      <c r="I54" s="1"/>
      <c r="J54" s="1"/>
    </row>
    <row r="55" spans="2:10">
      <c r="B55" s="318"/>
      <c r="C55" s="452"/>
      <c r="D55" s="452"/>
      <c r="E55" s="112"/>
      <c r="G55" s="1"/>
      <c r="H55" s="1"/>
      <c r="I55" s="1"/>
      <c r="J55" s="1"/>
    </row>
    <row r="56" spans="2:10">
      <c r="B56" s="318"/>
      <c r="C56" s="452"/>
      <c r="D56" s="452"/>
      <c r="E56" s="112"/>
      <c r="G56" s="1"/>
      <c r="H56" s="1"/>
      <c r="I56" s="1"/>
      <c r="J56" s="1"/>
    </row>
    <row r="57" spans="2:10">
      <c r="B57" s="308"/>
      <c r="C57" s="452"/>
      <c r="D57" s="452"/>
      <c r="E57" s="112"/>
      <c r="G57" s="1"/>
      <c r="H57" s="1"/>
      <c r="I57" s="1"/>
      <c r="J57" s="1"/>
    </row>
    <row r="58" spans="2:10">
      <c r="B58" s="309" t="s">
        <v>73</v>
      </c>
      <c r="C58" s="452"/>
      <c r="D58" s="452"/>
      <c r="E58" s="112"/>
      <c r="G58" s="1"/>
      <c r="H58" s="1"/>
      <c r="I58" s="1"/>
      <c r="J58" s="1"/>
    </row>
    <row r="59" spans="2:10">
      <c r="B59" s="309" t="s">
        <v>681</v>
      </c>
      <c r="C59" s="453" t="str">
        <f>IF(C60*0.1&lt;C58,"Exceed 10% Rule","")</f>
        <v/>
      </c>
      <c r="D59" s="453" t="str">
        <f>IF(D60*0.1&lt;D58,"Exceed 10% Rule","")</f>
        <v/>
      </c>
      <c r="E59" s="344" t="str">
        <f>IF(E60*0.1+E80&lt;E58,"Exceed 10% Rule","")</f>
        <v/>
      </c>
      <c r="G59" s="1"/>
      <c r="H59" s="1"/>
      <c r="I59" s="1"/>
      <c r="J59" s="1"/>
    </row>
    <row r="60" spans="2:10">
      <c r="B60" s="311" t="s">
        <v>165</v>
      </c>
      <c r="C60" s="454">
        <f>SUM(C46:C58)</f>
        <v>253329</v>
      </c>
      <c r="D60" s="454">
        <f>SUM(D46:D58)</f>
        <v>57272</v>
      </c>
      <c r="E60" s="352">
        <f>SUM(E47:E58)</f>
        <v>5797</v>
      </c>
      <c r="G60" s="1"/>
      <c r="H60" s="1"/>
      <c r="I60" s="1"/>
      <c r="J60" s="1"/>
    </row>
    <row r="61" spans="2:10">
      <c r="B61" s="311" t="s">
        <v>166</v>
      </c>
      <c r="C61" s="454">
        <f>C44+C60</f>
        <v>259364</v>
      </c>
      <c r="D61" s="454">
        <f>D44+D60</f>
        <v>166636</v>
      </c>
      <c r="E61" s="352">
        <f>E44+E60</f>
        <v>6433</v>
      </c>
      <c r="G61" s="1"/>
      <c r="H61" s="1"/>
      <c r="I61" s="1"/>
      <c r="J61" s="1"/>
    </row>
    <row r="62" spans="2:10">
      <c r="B62" s="148" t="s">
        <v>169</v>
      </c>
      <c r="C62" s="309"/>
      <c r="D62" s="309"/>
      <c r="E62" s="108"/>
      <c r="G62" s="1"/>
      <c r="H62" s="1"/>
      <c r="I62" s="1"/>
      <c r="J62" s="1"/>
    </row>
    <row r="63" spans="2:10">
      <c r="B63" s="318" t="s">
        <v>1013</v>
      </c>
      <c r="C63" s="452">
        <v>75000</v>
      </c>
      <c r="D63" s="452">
        <v>75000</v>
      </c>
      <c r="E63" s="112">
        <v>175000</v>
      </c>
      <c r="G63" s="1"/>
      <c r="H63" s="1"/>
      <c r="I63" s="1"/>
      <c r="J63" s="1"/>
    </row>
    <row r="64" spans="2:10">
      <c r="B64" s="318" t="s">
        <v>1014</v>
      </c>
      <c r="C64" s="452">
        <v>75000</v>
      </c>
      <c r="D64" s="452">
        <v>91000</v>
      </c>
      <c r="E64" s="112">
        <v>175000</v>
      </c>
      <c r="G64" s="784" t="str">
        <f>CONCATENATE("Desired Carryover Into ",E1+1,"")</f>
        <v>Desired Carryover Into 2014</v>
      </c>
      <c r="H64" s="785"/>
      <c r="I64" s="785"/>
      <c r="J64" s="786"/>
    </row>
    <row r="65" spans="2:11">
      <c r="B65" s="318"/>
      <c r="C65" s="452"/>
      <c r="D65" s="452"/>
      <c r="E65" s="112"/>
      <c r="G65" s="650"/>
      <c r="H65" s="651"/>
      <c r="I65" s="652"/>
      <c r="J65" s="653"/>
    </row>
    <row r="66" spans="2:11">
      <c r="B66" s="318"/>
      <c r="C66" s="452"/>
      <c r="D66" s="452"/>
      <c r="E66" s="112"/>
      <c r="G66" s="654" t="s">
        <v>687</v>
      </c>
      <c r="H66" s="652"/>
      <c r="I66" s="652"/>
      <c r="J66" s="655">
        <v>0</v>
      </c>
    </row>
    <row r="67" spans="2:11">
      <c r="B67" s="318"/>
      <c r="C67" s="452"/>
      <c r="D67" s="452"/>
      <c r="E67" s="112"/>
      <c r="G67" s="650" t="s">
        <v>688</v>
      </c>
      <c r="H67" s="651"/>
      <c r="I67" s="651"/>
      <c r="J67" s="656" t="str">
        <f>IF(J66=0,"",ROUND((J66+E80-G79)/inputOth!E6*1000,3)-G84)</f>
        <v/>
      </c>
    </row>
    <row r="68" spans="2:11">
      <c r="B68" s="318"/>
      <c r="C68" s="452"/>
      <c r="D68" s="452"/>
      <c r="E68" s="112"/>
      <c r="G68" s="657" t="str">
        <f>CONCATENATE("",E1," Tot Exp/Non-Appr Must Be:")</f>
        <v>2013 Tot Exp/Non-Appr Must Be:</v>
      </c>
      <c r="H68" s="658"/>
      <c r="I68" s="659"/>
      <c r="J68" s="660">
        <f>IF(J66&gt;0,IF(E77&lt;E61,IF(J66=G79,E77,((J66-G79)*(1-D79))+E61),E77+(J66-G79)),0)</f>
        <v>0</v>
      </c>
    </row>
    <row r="69" spans="2:11">
      <c r="B69" s="318"/>
      <c r="C69" s="452"/>
      <c r="D69" s="452"/>
      <c r="E69" s="112"/>
      <c r="G69" s="661" t="s">
        <v>839</v>
      </c>
      <c r="H69" s="662"/>
      <c r="I69" s="662"/>
      <c r="J69" s="663">
        <f>IF(J66&gt;0,J68-E77,0)</f>
        <v>0</v>
      </c>
    </row>
    <row r="70" spans="2:11">
      <c r="B70" s="309" t="s">
        <v>75</v>
      </c>
      <c r="C70" s="452"/>
      <c r="D70" s="452"/>
      <c r="E70" s="120">
        <f>Nhood!E12</f>
        <v>1004</v>
      </c>
      <c r="G70" s="1"/>
      <c r="H70" s="1"/>
      <c r="I70" s="1"/>
      <c r="J70" s="1"/>
    </row>
    <row r="71" spans="2:11">
      <c r="B71" s="309" t="s">
        <v>73</v>
      </c>
      <c r="C71" s="452"/>
      <c r="D71" s="452"/>
      <c r="E71" s="112"/>
      <c r="G71" s="784" t="str">
        <f>CONCATENATE("Projected Carryover Into ",E1+1,"")</f>
        <v>Projected Carryover Into 2014</v>
      </c>
      <c r="H71" s="793"/>
      <c r="I71" s="793"/>
      <c r="J71" s="792"/>
    </row>
    <row r="72" spans="2:11">
      <c r="B72" s="309" t="s">
        <v>680</v>
      </c>
      <c r="C72" s="453" t="str">
        <f>IF(C73*0.1&lt;C71,"Exceed 10% Rule","")</f>
        <v/>
      </c>
      <c r="D72" s="453" t="str">
        <f>IF(D73*0.1&lt;D71,"Exceed 10% Rule","")</f>
        <v/>
      </c>
      <c r="E72" s="344" t="str">
        <f>IF(E73*0.1&lt;E71,"Exceed 10% Rule","")</f>
        <v/>
      </c>
      <c r="G72" s="688"/>
      <c r="H72" s="651"/>
      <c r="I72" s="651"/>
      <c r="J72" s="683"/>
    </row>
    <row r="73" spans="2:11">
      <c r="B73" s="311" t="s">
        <v>170</v>
      </c>
      <c r="C73" s="454">
        <f>SUM(C63:C71)</f>
        <v>150000</v>
      </c>
      <c r="D73" s="454">
        <f>SUM(D63:D71)</f>
        <v>166000</v>
      </c>
      <c r="E73" s="352">
        <f>SUM(E63:E71)</f>
        <v>351004</v>
      </c>
      <c r="G73" s="679">
        <f>D74</f>
        <v>636</v>
      </c>
      <c r="H73" s="669" t="str">
        <f>CONCATENATE("",E1-1," Ending Cash Balance (est.)")</f>
        <v>2012 Ending Cash Balance (est.)</v>
      </c>
      <c r="I73" s="680"/>
      <c r="J73" s="683"/>
    </row>
    <row r="74" spans="2:11">
      <c r="B74" s="148" t="s">
        <v>281</v>
      </c>
      <c r="C74" s="457">
        <f>C61-C73</f>
        <v>109364</v>
      </c>
      <c r="D74" s="457">
        <f>D61-D73</f>
        <v>636</v>
      </c>
      <c r="E74" s="337" t="s">
        <v>146</v>
      </c>
      <c r="G74" s="679">
        <f>E60</f>
        <v>5797</v>
      </c>
      <c r="H74" s="652" t="str">
        <f>CONCATENATE("",E1," Non-AV Receipts (est.)")</f>
        <v>2013 Non-AV Receipts (est.)</v>
      </c>
      <c r="I74" s="680"/>
      <c r="J74" s="683"/>
    </row>
    <row r="75" spans="2:11">
      <c r="B75" s="287" t="str">
        <f>CONCATENATE("",E$1-2,"/",E$1-1," Budget Authority Amount:")</f>
        <v>2011/2012 Budget Authority Amount:</v>
      </c>
      <c r="C75" s="279">
        <f>inputOth!B36</f>
        <v>251142</v>
      </c>
      <c r="D75" s="279">
        <f>inputPrYr!D22</f>
        <v>175082</v>
      </c>
      <c r="E75" s="337" t="s">
        <v>146</v>
      </c>
      <c r="F75" s="320"/>
      <c r="G75" s="681">
        <f>IF(E79&gt;0,E78,E80)</f>
        <v>344571</v>
      </c>
      <c r="H75" s="652" t="str">
        <f>CONCATENATE("",E1," Ad Valorem Tax (est.)")</f>
        <v>2013 Ad Valorem Tax (est.)</v>
      </c>
      <c r="I75" s="680"/>
      <c r="J75" s="683"/>
      <c r="K75" s="666" t="str">
        <f>IF(G75=E80,"","Note: Does not include Delinquent Taxes")</f>
        <v>Note: Does not include Delinquent Taxes</v>
      </c>
    </row>
    <row r="76" spans="2:11">
      <c r="B76" s="287"/>
      <c r="C76" s="774" t="s">
        <v>684</v>
      </c>
      <c r="D76" s="775"/>
      <c r="E76" s="112"/>
      <c r="F76" s="502" t="str">
        <f>IF(E73/0.95-E73&lt;E76,"Exceeds 5%","")</f>
        <v/>
      </c>
      <c r="G76" s="689">
        <f>SUM(G73:G75)</f>
        <v>351004</v>
      </c>
      <c r="H76" s="652" t="str">
        <f>CONCATENATE("Total ",E1," Resources Available")</f>
        <v>Total 2013 Resources Available</v>
      </c>
      <c r="I76" s="690"/>
      <c r="J76" s="683"/>
    </row>
    <row r="77" spans="2:11">
      <c r="B77" s="505" t="str">
        <f>CONCATENATE(C93,"     ",D93)</f>
        <v xml:space="preserve">     </v>
      </c>
      <c r="C77" s="776" t="s">
        <v>685</v>
      </c>
      <c r="D77" s="777"/>
      <c r="E77" s="265">
        <f>E73+E76</f>
        <v>351004</v>
      </c>
      <c r="G77" s="691"/>
      <c r="H77" s="692"/>
      <c r="I77" s="651"/>
      <c r="J77" s="683"/>
    </row>
    <row r="78" spans="2:11">
      <c r="B78" s="505" t="str">
        <f>CONCATENATE(C94,"     ",D94)</f>
        <v xml:space="preserve">     </v>
      </c>
      <c r="C78" s="321"/>
      <c r="D78" s="240" t="s">
        <v>171</v>
      </c>
      <c r="E78" s="120">
        <f>IF(E77-E61&gt;0,E77-E61,0)</f>
        <v>344571</v>
      </c>
      <c r="G78" s="693">
        <f>ROUND(C73*0.05+C73,0)</f>
        <v>157500</v>
      </c>
      <c r="H78" s="652" t="str">
        <f>CONCATENATE("Less ",E1-2," Expenditures + 5%")</f>
        <v>Less 2011 Expenditures + 5%</v>
      </c>
      <c r="I78" s="690"/>
      <c r="J78" s="683"/>
    </row>
    <row r="79" spans="2:11">
      <c r="B79" s="240"/>
      <c r="C79" s="504" t="s">
        <v>686</v>
      </c>
      <c r="D79" s="649">
        <f>inputOth!$E$23</f>
        <v>0.05</v>
      </c>
      <c r="E79" s="265">
        <f>ROUND(IF(D79&gt;0,($E$78*D79),0),0)</f>
        <v>17229</v>
      </c>
      <c r="G79" s="694">
        <f>G76-G78</f>
        <v>193504</v>
      </c>
      <c r="H79" s="685" t="str">
        <f>CONCATENATE("Projected ",E1+1," carryover (est.)")</f>
        <v>Projected 2014 carryover (est.)</v>
      </c>
      <c r="I79" s="695"/>
      <c r="J79" s="696"/>
    </row>
    <row r="80" spans="2:11">
      <c r="B80" s="85"/>
      <c r="C80" s="782" t="str">
        <f>CONCATENATE("Amount of  ",$E$1-1," Ad Valorem Tax")</f>
        <v>Amount of  2012 Ad Valorem Tax</v>
      </c>
      <c r="D80" s="783"/>
      <c r="E80" s="348">
        <f>E78+E79</f>
        <v>361800</v>
      </c>
      <c r="G80" s="1"/>
      <c r="H80" s="1"/>
      <c r="I80" s="1"/>
      <c r="J80" s="1"/>
    </row>
    <row r="81" spans="2:10">
      <c r="B81" s="287" t="s">
        <v>190</v>
      </c>
      <c r="C81" s="349"/>
      <c r="D81" s="85"/>
      <c r="E81" s="85"/>
      <c r="G81" s="787" t="s">
        <v>840</v>
      </c>
      <c r="H81" s="788"/>
      <c r="I81" s="788"/>
      <c r="J81" s="789"/>
    </row>
    <row r="82" spans="2:10">
      <c r="G82" s="668"/>
      <c r="H82" s="669"/>
      <c r="I82" s="670"/>
      <c r="J82" s="671"/>
    </row>
    <row r="83" spans="2:10">
      <c r="G83" s="672">
        <f>summ!H22</f>
        <v>1.6970000000000001</v>
      </c>
      <c r="H83" s="669" t="str">
        <f>CONCATENATE("",E1," Fund Mill Rate")</f>
        <v>2013 Fund Mill Rate</v>
      </c>
      <c r="I83" s="670"/>
      <c r="J83" s="671"/>
    </row>
    <row r="84" spans="2:10">
      <c r="G84" s="673">
        <f>summ!E22</f>
        <v>0.108</v>
      </c>
      <c r="H84" s="669" t="str">
        <f>CONCATENATE("",E1-1," Fund Mill Rate")</f>
        <v>2012 Fund Mill Rate</v>
      </c>
      <c r="I84" s="670"/>
      <c r="J84" s="671"/>
    </row>
    <row r="85" spans="2:10">
      <c r="G85" s="674">
        <f>summ!H61</f>
        <v>59.232000000000006</v>
      </c>
      <c r="H85" s="669" t="str">
        <f>CONCATENATE("Total ",E1," Mill Rate")</f>
        <v>Total 2013 Mill Rate</v>
      </c>
      <c r="I85" s="670"/>
      <c r="J85" s="671"/>
    </row>
    <row r="86" spans="2:10">
      <c r="G86" s="673">
        <f>summ!E61</f>
        <v>59.207000000000001</v>
      </c>
      <c r="H86" s="675" t="str">
        <f>CONCATENATE("Total ",E1-1," Mill Rate")</f>
        <v>Total 2012 Mill Rate</v>
      </c>
      <c r="I86" s="676"/>
      <c r="J86" s="677"/>
    </row>
    <row r="91" spans="2:10" hidden="1">
      <c r="C91" s="72" t="str">
        <f>IF(C33&gt;C35,"See Tab A","")</f>
        <v/>
      </c>
      <c r="D91" s="72" t="str">
        <f>IF(D33&gt;D35,"See Tab C","")</f>
        <v/>
      </c>
    </row>
    <row r="92" spans="2:10" hidden="1">
      <c r="C92" s="72" t="str">
        <f>IF(C34&lt;0,"See Tab B","")</f>
        <v/>
      </c>
      <c r="D92" s="72" t="str">
        <f>IF(D34&lt;0,"See Tab D","")</f>
        <v/>
      </c>
    </row>
    <row r="93" spans="2:10" hidden="1">
      <c r="C93" s="72" t="str">
        <f>IF(C73&gt;C75,"See Tab A","")</f>
        <v/>
      </c>
      <c r="D93" s="72" t="str">
        <f>IF(D73&gt;D75,"See Tab C","")</f>
        <v/>
      </c>
    </row>
    <row r="94" spans="2:10" hidden="1">
      <c r="C94" s="72" t="str">
        <f>IF(C74&lt;0,"See Tab B","")</f>
        <v/>
      </c>
      <c r="D94" s="72" t="str">
        <f>IF(D74&lt;0,"See Tab D","")</f>
        <v/>
      </c>
    </row>
  </sheetData>
  <sheetProtection sheet="1"/>
  <mergeCells count="12">
    <mergeCell ref="G81:J81"/>
    <mergeCell ref="C36:D36"/>
    <mergeCell ref="C37:D37"/>
    <mergeCell ref="C76:D76"/>
    <mergeCell ref="C77:D77"/>
    <mergeCell ref="C80:D80"/>
    <mergeCell ref="C40:D40"/>
    <mergeCell ref="G24:J24"/>
    <mergeCell ref="G31:J31"/>
    <mergeCell ref="G41:J41"/>
    <mergeCell ref="G64:J64"/>
    <mergeCell ref="G71:J71"/>
  </mergeCells>
  <phoneticPr fontId="0" type="noConversion"/>
  <conditionalFormatting sqref="E71">
    <cfRule type="cellIs" dxfId="352" priority="3" stopIfTrue="1" operator="greaterThan">
      <formula>$E$73*0.1</formula>
    </cfRule>
  </conditionalFormatting>
  <conditionalFormatting sqref="E76">
    <cfRule type="cellIs" dxfId="351" priority="4" stopIfTrue="1" operator="greaterThan">
      <formula>$E$73/0.95-$E$73</formula>
    </cfRule>
  </conditionalFormatting>
  <conditionalFormatting sqref="E36">
    <cfRule type="cellIs" dxfId="350" priority="5" stopIfTrue="1" operator="greaterThan">
      <formula>$E$33/0.95-$E$33</formula>
    </cfRule>
  </conditionalFormatting>
  <conditionalFormatting sqref="E31">
    <cfRule type="cellIs" dxfId="349" priority="6" stopIfTrue="1" operator="greaterThan">
      <formula>$E$33*0.1</formula>
    </cfRule>
  </conditionalFormatting>
  <conditionalFormatting sqref="C33">
    <cfRule type="cellIs" dxfId="348" priority="7" stopIfTrue="1" operator="greaterThan">
      <formula>$C$35</formula>
    </cfRule>
  </conditionalFormatting>
  <conditionalFormatting sqref="C74 C34">
    <cfRule type="cellIs" dxfId="347" priority="8" stopIfTrue="1" operator="lessThan">
      <formula>0</formula>
    </cfRule>
  </conditionalFormatting>
  <conditionalFormatting sqref="D33">
    <cfRule type="cellIs" dxfId="346" priority="9" stopIfTrue="1" operator="greaterThan">
      <formula>$D$35</formula>
    </cfRule>
  </conditionalFormatting>
  <conditionalFormatting sqref="C73">
    <cfRule type="cellIs" dxfId="345" priority="10" stopIfTrue="1" operator="greaterThan">
      <formula>$C$75</formula>
    </cfRule>
  </conditionalFormatting>
  <conditionalFormatting sqref="D73">
    <cfRule type="cellIs" dxfId="344" priority="11" stopIfTrue="1" operator="greaterThan">
      <formula>$D$75</formula>
    </cfRule>
  </conditionalFormatting>
  <conditionalFormatting sqref="C71">
    <cfRule type="cellIs" dxfId="343" priority="12" stopIfTrue="1" operator="greaterThan">
      <formula>$C$73*0.1</formula>
    </cfRule>
  </conditionalFormatting>
  <conditionalFormatting sqref="D71">
    <cfRule type="cellIs" dxfId="342" priority="13" stopIfTrue="1" operator="greaterThan">
      <formula>$D$73*0.1</formula>
    </cfRule>
  </conditionalFormatting>
  <conditionalFormatting sqref="E58">
    <cfRule type="cellIs" dxfId="341" priority="14" stopIfTrue="1" operator="greaterThan">
      <formula>$E$60*0.1+E80</formula>
    </cfRule>
  </conditionalFormatting>
  <conditionalFormatting sqref="C58">
    <cfRule type="cellIs" dxfId="340" priority="15" stopIfTrue="1" operator="greaterThan">
      <formula>$C$60*0.1</formula>
    </cfRule>
  </conditionalFormatting>
  <conditionalFormatting sqref="D58">
    <cfRule type="cellIs" dxfId="339" priority="16" stopIfTrue="1" operator="greaterThan">
      <formula>$D$60*0.1</formula>
    </cfRule>
  </conditionalFormatting>
  <conditionalFormatting sqref="C31">
    <cfRule type="cellIs" dxfId="338" priority="17" stopIfTrue="1" operator="greaterThan">
      <formula>$C$33*0.1</formula>
    </cfRule>
  </conditionalFormatting>
  <conditionalFormatting sqref="D31">
    <cfRule type="cellIs" dxfId="337" priority="18" stopIfTrue="1" operator="greaterThan">
      <formula>$D$33*0.1</formula>
    </cfRule>
  </conditionalFormatting>
  <conditionalFormatting sqref="E18">
    <cfRule type="cellIs" dxfId="336" priority="19" stopIfTrue="1" operator="greaterThan">
      <formula>$E$20*0.1+E40</formula>
    </cfRule>
  </conditionalFormatting>
  <conditionalFormatting sqref="C18">
    <cfRule type="cellIs" dxfId="335" priority="20" stopIfTrue="1" operator="greaterThan">
      <formula>$C$20*0.1</formula>
    </cfRule>
  </conditionalFormatting>
  <conditionalFormatting sqref="D18">
    <cfRule type="cellIs" dxfId="334" priority="21" stopIfTrue="1" operator="greaterThan">
      <formula>$D$20*0.1</formula>
    </cfRule>
  </conditionalFormatting>
  <conditionalFormatting sqref="D34 D74">
    <cfRule type="cellIs" dxfId="333" priority="2" stopIfTrue="1" operator="lessThan">
      <formula>0</formula>
    </cfRule>
  </conditionalFormatting>
  <pageMargins left="1.1200000000000001" right="0.5" top="0.74" bottom="0.34" header="0.5" footer="0"/>
  <pageSetup scale="54" orientation="portrait" blackAndWhite="1" r:id="rId1"/>
  <headerFooter alignWithMargins="0">
    <oddHeader xml:space="preserve">&amp;RState of Kansas
County
</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I126"/>
  <sheetViews>
    <sheetView topLeftCell="A100" zoomScaleNormal="100" workbookViewId="0">
      <selection activeCell="E80" sqref="E80"/>
    </sheetView>
  </sheetViews>
  <sheetFormatPr defaultColWidth="8.88671875" defaultRowHeight="15.75"/>
  <cols>
    <col min="1" max="1" width="15.77734375" style="72" customWidth="1"/>
    <col min="2" max="2" width="20.77734375" style="72" customWidth="1"/>
    <col min="3" max="3" width="8.77734375" style="72" customWidth="1"/>
    <col min="4" max="5" width="13.33203125" style="72" customWidth="1"/>
    <col min="6" max="6" width="10.77734375" style="72" customWidth="1"/>
    <col min="7" max="7" width="1.77734375" style="72" customWidth="1"/>
    <col min="8" max="8" width="18.6640625" style="72" customWidth="1"/>
    <col min="9" max="16384" width="8.88671875" style="72"/>
  </cols>
  <sheetData>
    <row r="1" spans="1:9">
      <c r="A1" s="734" t="s">
        <v>326</v>
      </c>
      <c r="B1" s="735"/>
      <c r="C1" s="735"/>
      <c r="D1" s="735"/>
      <c r="E1" s="735"/>
      <c r="F1" s="735"/>
      <c r="G1" s="85"/>
      <c r="H1" s="85"/>
      <c r="I1" s="85"/>
    </row>
    <row r="2" spans="1:9">
      <c r="A2" s="84" t="s">
        <v>327</v>
      </c>
      <c r="B2" s="85"/>
      <c r="C2" s="448" t="s">
        <v>897</v>
      </c>
      <c r="D2" s="86"/>
      <c r="E2" s="87"/>
      <c r="F2" s="88"/>
      <c r="G2" s="85"/>
      <c r="H2" s="85"/>
      <c r="I2" s="85"/>
    </row>
    <row r="3" spans="1:9">
      <c r="A3" s="84"/>
      <c r="B3" s="85"/>
      <c r="C3" s="85"/>
      <c r="D3" s="85"/>
      <c r="E3" s="89"/>
      <c r="F3" s="88"/>
      <c r="G3" s="85"/>
      <c r="H3" s="85"/>
      <c r="I3" s="85"/>
    </row>
    <row r="4" spans="1:9">
      <c r="A4" s="84" t="s">
        <v>328</v>
      </c>
      <c r="B4" s="85"/>
      <c r="C4" s="90">
        <v>2013</v>
      </c>
      <c r="D4" s="91"/>
      <c r="E4" s="89"/>
      <c r="F4" s="88"/>
      <c r="G4" s="85"/>
      <c r="H4" s="85"/>
      <c r="I4" s="85"/>
    </row>
    <row r="5" spans="1:9">
      <c r="A5" s="85"/>
      <c r="B5" s="85"/>
      <c r="C5" s="85"/>
      <c r="D5" s="85"/>
      <c r="E5" s="85"/>
      <c r="F5" s="85"/>
      <c r="G5" s="85"/>
      <c r="H5" s="85"/>
      <c r="I5" s="85"/>
    </row>
    <row r="6" spans="1:9" ht="18.75" customHeight="1">
      <c r="A6" s="92" t="s">
        <v>671</v>
      </c>
      <c r="B6" s="93"/>
      <c r="C6" s="93"/>
      <c r="D6" s="93"/>
      <c r="E6" s="93"/>
      <c r="F6" s="93"/>
      <c r="G6" s="85"/>
      <c r="H6" s="736" t="s">
        <v>834</v>
      </c>
      <c r="I6" s="736"/>
    </row>
    <row r="7" spans="1:9">
      <c r="A7" s="92" t="s">
        <v>670</v>
      </c>
      <c r="B7" s="93"/>
      <c r="C7" s="93"/>
      <c r="D7" s="93"/>
      <c r="E7" s="93"/>
      <c r="F7" s="93"/>
      <c r="G7" s="85"/>
      <c r="H7" s="736"/>
      <c r="I7" s="736"/>
    </row>
    <row r="8" spans="1:9">
      <c r="A8" s="92"/>
      <c r="B8" s="93"/>
      <c r="C8" s="93"/>
      <c r="D8" s="93"/>
      <c r="E8" s="93"/>
      <c r="F8" s="93"/>
      <c r="G8" s="85"/>
      <c r="H8" s="736"/>
      <c r="I8" s="736"/>
    </row>
    <row r="9" spans="1:9">
      <c r="A9" s="732" t="s">
        <v>58</v>
      </c>
      <c r="B9" s="733"/>
      <c r="C9" s="733"/>
      <c r="D9" s="733"/>
      <c r="E9" s="733"/>
      <c r="F9" s="733"/>
      <c r="G9" s="85"/>
      <c r="H9" s="736"/>
      <c r="I9" s="736"/>
    </row>
    <row r="10" spans="1:9">
      <c r="A10" s="85"/>
      <c r="B10" s="85"/>
      <c r="C10" s="85"/>
      <c r="D10" s="85"/>
      <c r="E10" s="85"/>
      <c r="F10" s="85"/>
      <c r="G10" s="85"/>
      <c r="H10" s="736"/>
      <c r="I10" s="736"/>
    </row>
    <row r="11" spans="1:9">
      <c r="A11" s="94" t="str">
        <f>CONCATENATE("The input for the following comes directly from the ",C4-1," Budget:")</f>
        <v>The input for the following comes directly from the 2012 Budget:</v>
      </c>
      <c r="B11" s="95"/>
      <c r="C11" s="95"/>
      <c r="D11" s="95"/>
      <c r="E11" s="85"/>
      <c r="F11" s="85"/>
      <c r="G11" s="85"/>
      <c r="H11" s="736"/>
      <c r="I11" s="736"/>
    </row>
    <row r="12" spans="1:9">
      <c r="A12" s="96" t="s">
        <v>329</v>
      </c>
      <c r="B12" s="95"/>
      <c r="C12" s="95"/>
      <c r="D12" s="95"/>
      <c r="E12" s="85"/>
      <c r="F12" s="85"/>
      <c r="G12" s="85"/>
      <c r="H12" s="88"/>
      <c r="I12" s="643"/>
    </row>
    <row r="13" spans="1:9">
      <c r="A13" s="96" t="s">
        <v>353</v>
      </c>
      <c r="B13" s="95"/>
      <c r="C13" s="95"/>
      <c r="D13" s="95"/>
      <c r="E13" s="85"/>
      <c r="F13" s="85"/>
      <c r="G13" s="85"/>
      <c r="H13" s="85"/>
      <c r="I13" s="85"/>
    </row>
    <row r="14" spans="1:9">
      <c r="A14" s="85"/>
      <c r="B14" s="85"/>
      <c r="C14" s="97"/>
      <c r="D14" s="98">
        <f>C4-1</f>
        <v>2012</v>
      </c>
      <c r="E14" s="99" t="str">
        <f>CONCATENATE("",C4-2,"")</f>
        <v>2011</v>
      </c>
      <c r="F14" s="100">
        <f>C4-2</f>
        <v>2011</v>
      </c>
      <c r="H14" s="257" t="s">
        <v>835</v>
      </c>
      <c r="I14" s="252" t="s">
        <v>172</v>
      </c>
    </row>
    <row r="15" spans="1:9">
      <c r="A15" s="84" t="s">
        <v>330</v>
      </c>
      <c r="B15" s="85"/>
      <c r="C15" s="101" t="s">
        <v>128</v>
      </c>
      <c r="D15" s="102" t="s">
        <v>352</v>
      </c>
      <c r="E15" s="102" t="s">
        <v>97</v>
      </c>
      <c r="F15" s="102" t="s">
        <v>72</v>
      </c>
      <c r="H15" s="263" t="str">
        <f>CONCATENATE("",E14," Ad Valorem Tax")</f>
        <v>2011 Ad Valorem Tax</v>
      </c>
      <c r="I15" s="644">
        <v>0</v>
      </c>
    </row>
    <row r="16" spans="1:9">
      <c r="A16" s="85"/>
      <c r="B16" s="103" t="s">
        <v>129</v>
      </c>
      <c r="C16" s="253" t="s">
        <v>284</v>
      </c>
      <c r="D16" s="105">
        <v>7337843</v>
      </c>
      <c r="E16" s="106">
        <v>3778281</v>
      </c>
      <c r="F16" s="107">
        <v>18.175999999999998</v>
      </c>
      <c r="H16" s="265">
        <f>IF($I$15&gt;0,ROUND(E16-(E16*$I$15),0),0)</f>
        <v>0</v>
      </c>
    </row>
    <row r="17" spans="1:8">
      <c r="A17" s="85"/>
      <c r="B17" s="103" t="s">
        <v>182</v>
      </c>
      <c r="C17" s="253" t="s">
        <v>331</v>
      </c>
      <c r="D17" s="105">
        <v>1103427</v>
      </c>
      <c r="E17" s="106">
        <v>940342</v>
      </c>
      <c r="F17" s="107">
        <v>4.5250000000000004</v>
      </c>
      <c r="H17" s="265">
        <f t="shared" ref="H17:H40" si="0">IF($I$15&gt;0,ROUND(E17-(E17*$I$15),0),0)</f>
        <v>0</v>
      </c>
    </row>
    <row r="18" spans="1:8">
      <c r="A18" s="84"/>
      <c r="B18" s="108" t="s">
        <v>187</v>
      </c>
      <c r="C18" s="252" t="s">
        <v>284</v>
      </c>
      <c r="D18" s="105">
        <v>4712754</v>
      </c>
      <c r="E18" s="105">
        <v>2807471</v>
      </c>
      <c r="F18" s="109">
        <v>13.506</v>
      </c>
      <c r="H18" s="265">
        <f t="shared" si="0"/>
        <v>0</v>
      </c>
    </row>
    <row r="19" spans="1:8">
      <c r="A19" s="85"/>
      <c r="B19" s="110" t="s">
        <v>898</v>
      </c>
      <c r="C19" s="465"/>
      <c r="D19" s="105">
        <v>276971</v>
      </c>
      <c r="E19" s="112">
        <v>259405</v>
      </c>
      <c r="F19" s="107">
        <v>1.248</v>
      </c>
      <c r="H19" s="265">
        <f t="shared" si="0"/>
        <v>0</v>
      </c>
    </row>
    <row r="20" spans="1:8">
      <c r="A20" s="85"/>
      <c r="B20" s="110" t="s">
        <v>178</v>
      </c>
      <c r="C20" s="465"/>
      <c r="D20" s="105">
        <v>1542225</v>
      </c>
      <c r="E20" s="112">
        <v>744289</v>
      </c>
      <c r="F20" s="107">
        <v>3.581</v>
      </c>
      <c r="H20" s="265">
        <f t="shared" si="0"/>
        <v>0</v>
      </c>
    </row>
    <row r="21" spans="1:8">
      <c r="A21" s="85"/>
      <c r="B21" s="110" t="s">
        <v>179</v>
      </c>
      <c r="C21" s="465"/>
      <c r="D21" s="105">
        <v>0</v>
      </c>
      <c r="E21" s="112">
        <v>0</v>
      </c>
      <c r="F21" s="107">
        <v>0</v>
      </c>
      <c r="H21" s="265">
        <f t="shared" si="0"/>
        <v>0</v>
      </c>
    </row>
    <row r="22" spans="1:8">
      <c r="A22" s="85"/>
      <c r="B22" s="110" t="s">
        <v>899</v>
      </c>
      <c r="C22" s="465"/>
      <c r="D22" s="105">
        <v>175082</v>
      </c>
      <c r="E22" s="112">
        <v>22404</v>
      </c>
      <c r="F22" s="107">
        <v>0.108</v>
      </c>
      <c r="H22" s="265">
        <f t="shared" si="0"/>
        <v>0</v>
      </c>
    </row>
    <row r="23" spans="1:8">
      <c r="A23" s="85"/>
      <c r="B23" s="110" t="s">
        <v>184</v>
      </c>
      <c r="C23" s="465"/>
      <c r="D23" s="105">
        <v>188390</v>
      </c>
      <c r="E23" s="112">
        <v>104154</v>
      </c>
      <c r="F23" s="107">
        <v>0.502</v>
      </c>
      <c r="H23" s="265">
        <f t="shared" si="0"/>
        <v>0</v>
      </c>
    </row>
    <row r="24" spans="1:8">
      <c r="A24" s="85"/>
      <c r="B24" s="110" t="s">
        <v>900</v>
      </c>
      <c r="C24" s="465"/>
      <c r="D24" s="105">
        <v>3096854</v>
      </c>
      <c r="E24" s="112">
        <v>2632287</v>
      </c>
      <c r="F24" s="107">
        <v>12.664</v>
      </c>
      <c r="H24" s="265">
        <f t="shared" si="0"/>
        <v>0</v>
      </c>
    </row>
    <row r="25" spans="1:8">
      <c r="A25" s="85"/>
      <c r="B25" s="110" t="s">
        <v>901</v>
      </c>
      <c r="C25" s="465"/>
      <c r="D25" s="105">
        <v>846813</v>
      </c>
      <c r="E25" s="112">
        <v>222836</v>
      </c>
      <c r="F25" s="107">
        <v>1.0720000000000001</v>
      </c>
      <c r="H25" s="265">
        <f t="shared" si="0"/>
        <v>0</v>
      </c>
    </row>
    <row r="26" spans="1:8">
      <c r="A26" s="85"/>
      <c r="B26" s="110" t="s">
        <v>902</v>
      </c>
      <c r="C26" s="465"/>
      <c r="D26" s="105">
        <v>191456</v>
      </c>
      <c r="E26" s="112">
        <v>167619</v>
      </c>
      <c r="F26" s="107">
        <v>0.80700000000000005</v>
      </c>
      <c r="H26" s="265">
        <f t="shared" si="0"/>
        <v>0</v>
      </c>
    </row>
    <row r="27" spans="1:8">
      <c r="A27" s="85"/>
      <c r="B27" s="110" t="s">
        <v>903</v>
      </c>
      <c r="C27" s="465"/>
      <c r="D27" s="105">
        <v>470413</v>
      </c>
      <c r="E27" s="112">
        <v>113388</v>
      </c>
      <c r="F27" s="107">
        <v>0.54600000000000004</v>
      </c>
      <c r="H27" s="265">
        <f t="shared" si="0"/>
        <v>0</v>
      </c>
    </row>
    <row r="28" spans="1:8">
      <c r="A28" s="85"/>
      <c r="B28" s="110" t="s">
        <v>904</v>
      </c>
      <c r="C28" s="465"/>
      <c r="D28" s="105">
        <v>43926</v>
      </c>
      <c r="E28" s="112">
        <v>39985</v>
      </c>
      <c r="F28" s="107">
        <v>0.193</v>
      </c>
      <c r="H28" s="265">
        <f t="shared" si="0"/>
        <v>0</v>
      </c>
    </row>
    <row r="29" spans="1:8">
      <c r="A29" s="85"/>
      <c r="B29" s="110" t="s">
        <v>905</v>
      </c>
      <c r="C29" s="465"/>
      <c r="D29" s="105">
        <v>185987</v>
      </c>
      <c r="E29" s="112">
        <v>171464</v>
      </c>
      <c r="F29" s="107">
        <v>0.82499999999999996</v>
      </c>
      <c r="H29" s="265">
        <f t="shared" si="0"/>
        <v>0</v>
      </c>
    </row>
    <row r="30" spans="1:8">
      <c r="A30" s="85"/>
      <c r="B30" s="110" t="s">
        <v>185</v>
      </c>
      <c r="C30" s="465"/>
      <c r="D30" s="105">
        <v>0</v>
      </c>
      <c r="E30" s="112">
        <v>0</v>
      </c>
      <c r="F30" s="107">
        <v>0</v>
      </c>
      <c r="H30" s="265">
        <f t="shared" si="0"/>
        <v>0</v>
      </c>
    </row>
    <row r="31" spans="1:8">
      <c r="A31" s="85"/>
      <c r="B31" s="110" t="s">
        <v>906</v>
      </c>
      <c r="C31" s="465"/>
      <c r="D31" s="105">
        <v>7023</v>
      </c>
      <c r="E31" s="112">
        <v>6381</v>
      </c>
      <c r="F31" s="107">
        <v>3.1E-2</v>
      </c>
      <c r="H31" s="265">
        <f t="shared" si="0"/>
        <v>0</v>
      </c>
    </row>
    <row r="32" spans="1:8">
      <c r="A32" s="85"/>
      <c r="B32" s="110" t="s">
        <v>907</v>
      </c>
      <c r="C32" s="465"/>
      <c r="D32" s="105">
        <v>7023</v>
      </c>
      <c r="E32" s="112">
        <v>6332</v>
      </c>
      <c r="F32" s="107">
        <v>3.1E-2</v>
      </c>
      <c r="H32" s="265">
        <f t="shared" si="0"/>
        <v>0</v>
      </c>
    </row>
    <row r="33" spans="1:8">
      <c r="A33" s="85"/>
      <c r="B33" s="110" t="s">
        <v>908</v>
      </c>
      <c r="C33" s="465"/>
      <c r="D33" s="105">
        <v>71229</v>
      </c>
      <c r="E33" s="112">
        <v>62729</v>
      </c>
      <c r="F33" s="107">
        <v>0.30199999999999999</v>
      </c>
      <c r="H33" s="265">
        <f t="shared" si="0"/>
        <v>0</v>
      </c>
    </row>
    <row r="34" spans="1:8">
      <c r="A34" s="85"/>
      <c r="B34" s="110" t="s">
        <v>151</v>
      </c>
      <c r="C34" s="465"/>
      <c r="D34" s="105">
        <v>152759</v>
      </c>
      <c r="E34" s="112">
        <v>139607</v>
      </c>
      <c r="F34" s="107">
        <v>0.67200000000000004</v>
      </c>
      <c r="H34" s="265">
        <f t="shared" si="0"/>
        <v>0</v>
      </c>
    </row>
    <row r="35" spans="1:8">
      <c r="A35" s="85"/>
      <c r="B35" s="110" t="s">
        <v>909</v>
      </c>
      <c r="C35" s="465"/>
      <c r="D35" s="105">
        <v>95316</v>
      </c>
      <c r="E35" s="112">
        <v>86750</v>
      </c>
      <c r="F35" s="107">
        <v>0.41799999999999998</v>
      </c>
      <c r="H35" s="265">
        <f t="shared" si="0"/>
        <v>0</v>
      </c>
    </row>
    <row r="36" spans="1:8">
      <c r="A36" s="85"/>
      <c r="B36" s="110"/>
      <c r="C36" s="465"/>
      <c r="D36" s="105"/>
      <c r="E36" s="112"/>
      <c r="F36" s="107"/>
      <c r="H36" s="265">
        <f t="shared" si="0"/>
        <v>0</v>
      </c>
    </row>
    <row r="37" spans="1:8">
      <c r="A37" s="85"/>
      <c r="B37" s="110"/>
      <c r="C37" s="465"/>
      <c r="D37" s="105"/>
      <c r="E37" s="112"/>
      <c r="F37" s="107"/>
      <c r="H37" s="265">
        <f t="shared" si="0"/>
        <v>0</v>
      </c>
    </row>
    <row r="38" spans="1:8">
      <c r="A38" s="85"/>
      <c r="B38" s="110"/>
      <c r="C38" s="465"/>
      <c r="D38" s="105"/>
      <c r="E38" s="112"/>
      <c r="F38" s="107"/>
      <c r="H38" s="265">
        <f t="shared" si="0"/>
        <v>0</v>
      </c>
    </row>
    <row r="39" spans="1:8">
      <c r="A39" s="85"/>
      <c r="B39" s="110"/>
      <c r="C39" s="465"/>
      <c r="D39" s="105"/>
      <c r="E39" s="112"/>
      <c r="F39" s="107"/>
      <c r="H39" s="265">
        <f t="shared" si="0"/>
        <v>0</v>
      </c>
    </row>
    <row r="40" spans="1:8">
      <c r="A40" s="85"/>
      <c r="B40" s="110"/>
      <c r="C40" s="465"/>
      <c r="D40" s="105"/>
      <c r="E40" s="112"/>
      <c r="F40" s="107"/>
      <c r="H40" s="265">
        <f t="shared" si="0"/>
        <v>0</v>
      </c>
    </row>
    <row r="41" spans="1:8">
      <c r="A41" s="113" t="str">
        <f>CONCATENATE("Total Tax Levy Funds Levy Amounts and Levy Rates for ",C4-1," Budget")</f>
        <v>Total Tax Levy Funds Levy Amounts and Levy Rates for 2012 Budget</v>
      </c>
      <c r="B41" s="114"/>
      <c r="C41" s="114"/>
      <c r="D41" s="115"/>
      <c r="E41" s="116">
        <f>SUM(E16:E40)</f>
        <v>12305724</v>
      </c>
      <c r="F41" s="117">
        <f>SUM(F16:F40)</f>
        <v>59.207000000000001</v>
      </c>
    </row>
    <row r="42" spans="1:8">
      <c r="A42" s="84" t="s">
        <v>27</v>
      </c>
      <c r="B42" s="85"/>
      <c r="C42" s="85"/>
      <c r="D42" s="85"/>
      <c r="E42" s="85"/>
      <c r="F42" s="85"/>
    </row>
    <row r="43" spans="1:8">
      <c r="A43" s="85"/>
      <c r="B43" s="107" t="s">
        <v>910</v>
      </c>
      <c r="C43" s="85"/>
      <c r="D43" s="105">
        <v>1162368</v>
      </c>
      <c r="E43" s="85"/>
      <c r="F43" s="85"/>
    </row>
    <row r="44" spans="1:8">
      <c r="A44" s="85"/>
      <c r="B44" s="107" t="s">
        <v>911</v>
      </c>
      <c r="C44" s="85"/>
      <c r="D44" s="105">
        <v>737074</v>
      </c>
      <c r="E44" s="85"/>
      <c r="F44" s="85"/>
    </row>
    <row r="45" spans="1:8">
      <c r="A45" s="85"/>
      <c r="B45" s="107" t="s">
        <v>912</v>
      </c>
      <c r="C45" s="85"/>
      <c r="D45" s="105">
        <v>41728</v>
      </c>
      <c r="E45" s="85"/>
      <c r="F45" s="85"/>
    </row>
    <row r="46" spans="1:8">
      <c r="A46" s="85"/>
      <c r="B46" s="107" t="s">
        <v>913</v>
      </c>
      <c r="C46" s="85"/>
      <c r="D46" s="105">
        <v>16935</v>
      </c>
      <c r="E46" s="85"/>
      <c r="F46" s="85"/>
    </row>
    <row r="47" spans="1:8">
      <c r="A47" s="85"/>
      <c r="B47" s="107" t="s">
        <v>914</v>
      </c>
      <c r="C47" s="85"/>
      <c r="D47" s="105">
        <v>398456</v>
      </c>
      <c r="E47" s="85"/>
      <c r="F47" s="85"/>
    </row>
    <row r="48" spans="1:8">
      <c r="A48" s="85"/>
      <c r="B48" s="107" t="s">
        <v>915</v>
      </c>
      <c r="C48" s="85"/>
      <c r="D48" s="105">
        <v>65785</v>
      </c>
      <c r="E48" s="85"/>
      <c r="F48" s="85"/>
    </row>
    <row r="49" spans="1:6">
      <c r="A49" s="85"/>
      <c r="B49" s="107" t="s">
        <v>916</v>
      </c>
      <c r="C49" s="85"/>
      <c r="D49" s="105">
        <v>99636</v>
      </c>
      <c r="E49" s="85"/>
      <c r="F49" s="85"/>
    </row>
    <row r="50" spans="1:6">
      <c r="A50" s="85"/>
      <c r="B50" s="107" t="s">
        <v>917</v>
      </c>
      <c r="C50" s="85"/>
      <c r="D50" s="105">
        <v>22478</v>
      </c>
      <c r="E50" s="85"/>
      <c r="F50" s="85"/>
    </row>
    <row r="51" spans="1:6">
      <c r="A51" s="85"/>
      <c r="B51" s="107" t="s">
        <v>918</v>
      </c>
      <c r="C51" s="85"/>
      <c r="D51" s="105">
        <v>1500</v>
      </c>
      <c r="E51" s="85"/>
      <c r="F51" s="85"/>
    </row>
    <row r="52" spans="1:6">
      <c r="A52" s="85"/>
      <c r="B52" s="107" t="s">
        <v>919</v>
      </c>
      <c r="C52" s="85"/>
      <c r="D52" s="105">
        <v>180000</v>
      </c>
      <c r="E52" s="85"/>
      <c r="F52" s="85"/>
    </row>
    <row r="53" spans="1:6">
      <c r="A53" s="85"/>
      <c r="B53" s="107" t="s">
        <v>920</v>
      </c>
      <c r="C53" s="85"/>
      <c r="D53" s="105">
        <v>70000</v>
      </c>
      <c r="E53" s="85"/>
      <c r="F53" s="85"/>
    </row>
    <row r="54" spans="1:6">
      <c r="A54" s="85"/>
      <c r="B54" s="107" t="s">
        <v>921</v>
      </c>
      <c r="C54" s="85"/>
      <c r="D54" s="105">
        <v>15000</v>
      </c>
      <c r="E54" s="85"/>
      <c r="F54" s="85"/>
    </row>
    <row r="55" spans="1:6">
      <c r="A55" s="85"/>
      <c r="B55" s="107" t="s">
        <v>922</v>
      </c>
      <c r="C55" s="85"/>
      <c r="D55" s="105">
        <v>1500000</v>
      </c>
      <c r="E55" s="85"/>
      <c r="F55" s="85"/>
    </row>
    <row r="56" spans="1:6">
      <c r="A56" s="85"/>
      <c r="B56" s="107" t="s">
        <v>1027</v>
      </c>
      <c r="C56" s="85"/>
      <c r="D56" s="105">
        <v>0</v>
      </c>
      <c r="E56" s="85"/>
      <c r="F56" s="85"/>
    </row>
    <row r="57" spans="1:6">
      <c r="A57" s="85"/>
      <c r="B57" s="107"/>
      <c r="C57" s="85"/>
      <c r="D57" s="105"/>
      <c r="E57" s="85"/>
      <c r="F57" s="85"/>
    </row>
    <row r="58" spans="1:6">
      <c r="A58" s="85"/>
      <c r="B58" s="107"/>
      <c r="C58" s="85"/>
      <c r="D58" s="105"/>
      <c r="E58" s="85"/>
      <c r="F58" s="85"/>
    </row>
    <row r="59" spans="1:6">
      <c r="A59" s="113" t="str">
        <f>CONCATENATE("Total Expenditures for ",C4-1," Budgeted Year")</f>
        <v>Total Expenditures for 2012 Budgeted Year</v>
      </c>
      <c r="B59" s="118"/>
      <c r="C59" s="119"/>
      <c r="D59" s="120">
        <f>SUM(D16:D40,D43:D58)</f>
        <v>24816451</v>
      </c>
      <c r="E59" s="85"/>
      <c r="F59" s="85"/>
    </row>
    <row r="60" spans="1:6">
      <c r="A60" s="121"/>
      <c r="B60" s="122"/>
      <c r="C60" s="85"/>
      <c r="D60" s="123"/>
      <c r="E60" s="85"/>
      <c r="F60" s="85"/>
    </row>
    <row r="61" spans="1:6">
      <c r="A61" s="85" t="s">
        <v>13</v>
      </c>
      <c r="B61" s="122"/>
      <c r="C61" s="85"/>
      <c r="D61" s="85"/>
      <c r="E61" s="85"/>
      <c r="F61" s="85"/>
    </row>
    <row r="62" spans="1:6">
      <c r="A62" s="85">
        <v>1</v>
      </c>
      <c r="B62" s="107" t="s">
        <v>923</v>
      </c>
      <c r="C62" s="85"/>
      <c r="D62" s="85"/>
      <c r="E62" s="85"/>
      <c r="F62" s="85"/>
    </row>
    <row r="63" spans="1:6">
      <c r="A63" s="85">
        <v>2</v>
      </c>
      <c r="B63" s="107" t="s">
        <v>924</v>
      </c>
      <c r="C63" s="85"/>
      <c r="D63" s="85"/>
      <c r="E63" s="85"/>
      <c r="F63" s="85"/>
    </row>
    <row r="64" spans="1:6">
      <c r="A64" s="85">
        <v>3</v>
      </c>
      <c r="B64" s="107" t="s">
        <v>925</v>
      </c>
      <c r="C64" s="85"/>
      <c r="D64" s="85"/>
      <c r="E64" s="85"/>
      <c r="F64" s="85"/>
    </row>
    <row r="65" spans="1:6">
      <c r="A65" s="85">
        <v>4</v>
      </c>
      <c r="B65" s="107" t="s">
        <v>926</v>
      </c>
      <c r="C65" s="85"/>
      <c r="D65" s="85"/>
      <c r="E65" s="85"/>
      <c r="F65" s="85"/>
    </row>
    <row r="66" spans="1:6">
      <c r="A66" s="85">
        <v>5</v>
      </c>
      <c r="B66" s="107" t="s">
        <v>1076</v>
      </c>
      <c r="C66" s="85"/>
      <c r="D66" s="85"/>
      <c r="E66" s="85"/>
      <c r="F66" s="85"/>
    </row>
    <row r="67" spans="1:6">
      <c r="A67" s="85" t="s">
        <v>22</v>
      </c>
      <c r="B67" s="122"/>
      <c r="C67" s="85"/>
      <c r="D67" s="85"/>
      <c r="E67" s="85"/>
      <c r="F67" s="85"/>
    </row>
    <row r="68" spans="1:6">
      <c r="A68" s="85">
        <v>1</v>
      </c>
      <c r="B68" s="107" t="s">
        <v>927</v>
      </c>
      <c r="C68" s="85"/>
      <c r="D68" s="85"/>
      <c r="E68" s="85"/>
      <c r="F68" s="85"/>
    </row>
    <row r="69" spans="1:6">
      <c r="A69" s="85">
        <v>2</v>
      </c>
      <c r="B69" s="107" t="s">
        <v>928</v>
      </c>
      <c r="C69" s="85"/>
      <c r="D69" s="85"/>
      <c r="E69" s="85"/>
      <c r="F69" s="85"/>
    </row>
    <row r="70" spans="1:6">
      <c r="A70" s="85">
        <v>3</v>
      </c>
      <c r="B70" s="107" t="s">
        <v>929</v>
      </c>
      <c r="C70" s="85"/>
      <c r="D70" s="85"/>
      <c r="E70" s="85"/>
      <c r="F70" s="85"/>
    </row>
    <row r="71" spans="1:6">
      <c r="A71" s="85">
        <v>4</v>
      </c>
      <c r="B71" s="107" t="s">
        <v>930</v>
      </c>
      <c r="C71" s="85"/>
      <c r="D71" s="85"/>
      <c r="E71" s="85"/>
      <c r="F71" s="85"/>
    </row>
    <row r="72" spans="1:6">
      <c r="A72" s="85">
        <v>5</v>
      </c>
      <c r="B72" s="107" t="s">
        <v>931</v>
      </c>
      <c r="C72" s="85"/>
      <c r="D72" s="85"/>
      <c r="E72" s="85"/>
      <c r="F72" s="85"/>
    </row>
    <row r="73" spans="1:6">
      <c r="A73" s="85" t="s">
        <v>24</v>
      </c>
      <c r="B73" s="122"/>
      <c r="C73" s="85"/>
      <c r="D73" s="85"/>
      <c r="E73" s="85"/>
      <c r="F73" s="85"/>
    </row>
    <row r="74" spans="1:6">
      <c r="A74" s="85">
        <v>1</v>
      </c>
      <c r="B74" s="107" t="s">
        <v>932</v>
      </c>
      <c r="C74" s="85"/>
      <c r="D74" s="85"/>
      <c r="E74" s="85"/>
      <c r="F74" s="85"/>
    </row>
    <row r="75" spans="1:6">
      <c r="A75" s="85">
        <v>2</v>
      </c>
      <c r="B75" s="107" t="s">
        <v>1080</v>
      </c>
      <c r="C75" s="85"/>
      <c r="D75" s="85"/>
      <c r="E75" s="85"/>
      <c r="F75" s="85"/>
    </row>
    <row r="76" spans="1:6">
      <c r="A76" s="85">
        <v>3</v>
      </c>
      <c r="B76" s="107" t="s">
        <v>1081</v>
      </c>
      <c r="C76" s="85"/>
      <c r="D76" s="85"/>
      <c r="E76" s="85"/>
      <c r="F76" s="85"/>
    </row>
    <row r="77" spans="1:6">
      <c r="A77" s="85">
        <v>4</v>
      </c>
      <c r="B77" s="107"/>
      <c r="C77" s="85"/>
      <c r="D77" s="85"/>
      <c r="E77" s="85"/>
      <c r="F77" s="85"/>
    </row>
    <row r="78" spans="1:6">
      <c r="A78" s="85">
        <v>5</v>
      </c>
      <c r="B78" s="107"/>
      <c r="C78" s="85"/>
      <c r="D78" s="85"/>
      <c r="E78" s="85"/>
      <c r="F78" s="85"/>
    </row>
    <row r="79" spans="1:6">
      <c r="A79" s="85" t="s">
        <v>26</v>
      </c>
      <c r="B79" s="122"/>
      <c r="C79" s="85"/>
      <c r="D79" s="85"/>
      <c r="E79" s="85"/>
      <c r="F79" s="85"/>
    </row>
    <row r="80" spans="1:6">
      <c r="A80" s="85">
        <v>1</v>
      </c>
      <c r="B80" s="107"/>
      <c r="C80" s="85"/>
      <c r="D80" s="85"/>
      <c r="E80" s="85"/>
      <c r="F80" s="85"/>
    </row>
    <row r="81" spans="1:6">
      <c r="A81" s="85">
        <v>2</v>
      </c>
      <c r="B81" s="107"/>
      <c r="C81" s="85"/>
      <c r="D81" s="85"/>
      <c r="E81" s="85"/>
      <c r="F81" s="85"/>
    </row>
    <row r="82" spans="1:6">
      <c r="A82" s="85">
        <v>3</v>
      </c>
      <c r="B82" s="107"/>
      <c r="C82" s="85"/>
      <c r="D82" s="85"/>
      <c r="E82" s="85"/>
      <c r="F82" s="85"/>
    </row>
    <row r="83" spans="1:6">
      <c r="A83" s="85">
        <v>4</v>
      </c>
      <c r="B83" s="107"/>
      <c r="C83" s="85"/>
      <c r="D83" s="85"/>
      <c r="E83" s="85"/>
      <c r="F83" s="85"/>
    </row>
    <row r="84" spans="1:6">
      <c r="A84" s="85">
        <v>5</v>
      </c>
      <c r="B84" s="107"/>
      <c r="C84" s="85"/>
      <c r="D84" s="85"/>
      <c r="E84" s="85"/>
      <c r="F84" s="85"/>
    </row>
    <row r="85" spans="1:6">
      <c r="A85" s="113" t="str">
        <f>CONCATENATE("County's Final Assessed Valuation for ",C4-1," (November 1,",C4-2," Abstract):")</f>
        <v>County's Final Assessed Valuation for 2012 (November 1,2011 Abstract):</v>
      </c>
      <c r="B85" s="114"/>
      <c r="C85" s="114"/>
      <c r="D85" s="114"/>
      <c r="E85" s="119"/>
      <c r="F85" s="112">
        <v>207872197</v>
      </c>
    </row>
    <row r="86" spans="1:6">
      <c r="A86" s="84"/>
      <c r="B86" s="85"/>
      <c r="C86" s="85"/>
      <c r="D86" s="85"/>
      <c r="E86" s="85"/>
      <c r="F86" s="85"/>
    </row>
    <row r="87" spans="1:6">
      <c r="A87" s="85"/>
      <c r="B87" s="85"/>
      <c r="C87" s="85"/>
      <c r="D87" s="85"/>
      <c r="E87" s="85"/>
      <c r="F87" s="85"/>
    </row>
    <row r="88" spans="1:6">
      <c r="A88" s="124" t="str">
        <f>CONCATENATE("From the ",C4-1," Budget:")</f>
        <v>From the 2012 Budget:</v>
      </c>
      <c r="B88" s="95"/>
      <c r="C88" s="85"/>
      <c r="D88" s="730" t="str">
        <f>CONCATENATE("",C4-3," Tax Rate (",C4-2," Column)")</f>
        <v>2010 Tax Rate (2011 Column)</v>
      </c>
      <c r="E88" s="125"/>
      <c r="F88" s="85"/>
    </row>
    <row r="89" spans="1:6">
      <c r="A89" s="124" t="s">
        <v>120</v>
      </c>
      <c r="B89" s="126"/>
      <c r="C89" s="85"/>
      <c r="D89" s="731"/>
      <c r="E89" s="125"/>
      <c r="F89" s="85"/>
    </row>
    <row r="90" spans="1:6">
      <c r="A90" s="85"/>
      <c r="B90" s="127" t="str">
        <f>B16</f>
        <v>General</v>
      </c>
      <c r="C90" s="85"/>
      <c r="D90" s="107">
        <v>18.681999999999999</v>
      </c>
      <c r="E90" s="125"/>
      <c r="F90" s="85"/>
    </row>
    <row r="91" spans="1:6">
      <c r="A91" s="85"/>
      <c r="B91" s="127" t="str">
        <f>B17</f>
        <v>Debt Service</v>
      </c>
      <c r="C91" s="85"/>
      <c r="D91" s="107">
        <v>4.6139999999999999</v>
      </c>
      <c r="E91" s="125"/>
      <c r="F91" s="85"/>
    </row>
    <row r="92" spans="1:6">
      <c r="A92" s="85"/>
      <c r="B92" s="127" t="str">
        <f>B18</f>
        <v>Road &amp; Bridge</v>
      </c>
      <c r="C92" s="85"/>
      <c r="D92" s="107">
        <v>13.417</v>
      </c>
      <c r="E92" s="125"/>
      <c r="F92" s="85"/>
    </row>
    <row r="93" spans="1:6">
      <c r="A93" s="85"/>
      <c r="B93" s="127" t="str">
        <f t="shared" ref="B93:B114" si="1">B19</f>
        <v>Special Road and Bridge</v>
      </c>
      <c r="C93" s="85"/>
      <c r="D93" s="107">
        <v>0.49299999999999999</v>
      </c>
      <c r="E93" s="125"/>
      <c r="F93" s="85"/>
    </row>
    <row r="94" spans="1:6">
      <c r="A94" s="85"/>
      <c r="B94" s="127" t="str">
        <f t="shared" si="1"/>
        <v>Ambulance</v>
      </c>
      <c r="C94" s="85"/>
      <c r="D94" s="107">
        <v>2.6110000000000002</v>
      </c>
      <c r="E94" s="125"/>
      <c r="F94" s="85"/>
    </row>
    <row r="95" spans="1:6">
      <c r="A95" s="85"/>
      <c r="B95" s="127" t="str">
        <f t="shared" si="1"/>
        <v>Appraisal</v>
      </c>
      <c r="C95" s="85"/>
      <c r="D95" s="107">
        <v>0</v>
      </c>
      <c r="E95" s="125"/>
      <c r="F95" s="85"/>
    </row>
    <row r="96" spans="1:6">
      <c r="A96" s="85"/>
      <c r="B96" s="127" t="str">
        <f t="shared" si="1"/>
        <v>County Building</v>
      </c>
      <c r="C96" s="85"/>
      <c r="D96" s="107">
        <v>1.2170000000000001</v>
      </c>
      <c r="E96" s="125"/>
      <c r="F96" s="85"/>
    </row>
    <row r="97" spans="1:6">
      <c r="A97" s="85"/>
      <c r="B97" s="127" t="str">
        <f t="shared" si="1"/>
        <v>Election</v>
      </c>
      <c r="C97" s="85"/>
      <c r="D97" s="107">
        <v>0.47799999999999998</v>
      </c>
      <c r="E97" s="125"/>
      <c r="F97" s="85"/>
    </row>
    <row r="98" spans="1:6">
      <c r="A98" s="85"/>
      <c r="B98" s="127" t="str">
        <f t="shared" si="1"/>
        <v>Employee Benefit</v>
      </c>
      <c r="C98" s="85"/>
      <c r="D98" s="107">
        <v>10.592000000000001</v>
      </c>
      <c r="E98" s="125"/>
      <c r="F98" s="85"/>
    </row>
    <row r="99" spans="1:6">
      <c r="A99" s="85"/>
      <c r="B99" s="127" t="str">
        <f t="shared" si="1"/>
        <v>Health Department</v>
      </c>
      <c r="C99" s="85"/>
      <c r="D99" s="107">
        <v>0.68100000000000005</v>
      </c>
      <c r="E99" s="125"/>
      <c r="F99" s="85"/>
    </row>
    <row r="100" spans="1:6">
      <c r="A100" s="85"/>
      <c r="B100" s="127" t="str">
        <f t="shared" si="1"/>
        <v>Noxious Weeds</v>
      </c>
      <c r="C100" s="85"/>
      <c r="D100" s="107">
        <v>0.67400000000000004</v>
      </c>
      <c r="E100" s="125"/>
      <c r="F100" s="85"/>
    </row>
    <row r="101" spans="1:6">
      <c r="A101" s="85"/>
      <c r="B101" s="127" t="str">
        <f t="shared" si="1"/>
        <v>Special Liability</v>
      </c>
      <c r="C101" s="85"/>
      <c r="D101" s="107">
        <v>0.56200000000000006</v>
      </c>
      <c r="E101" s="125"/>
      <c r="F101" s="85"/>
    </row>
    <row r="102" spans="1:6">
      <c r="A102" s="85"/>
      <c r="B102" s="127" t="str">
        <f t="shared" si="1"/>
        <v>Conservation District</v>
      </c>
      <c r="C102" s="85"/>
      <c r="D102" s="107">
        <v>0.17399999999999999</v>
      </c>
      <c r="E102" s="125"/>
      <c r="F102" s="85"/>
    </row>
    <row r="103" spans="1:6">
      <c r="A103" s="85"/>
      <c r="B103" s="127" t="str">
        <f t="shared" si="1"/>
        <v>Service for the Elderly</v>
      </c>
      <c r="C103" s="85"/>
      <c r="D103" s="107">
        <v>0.67600000000000005</v>
      </c>
      <c r="E103" s="125"/>
      <c r="F103" s="85"/>
    </row>
    <row r="104" spans="1:6">
      <c r="A104" s="85"/>
      <c r="B104" s="127" t="str">
        <f t="shared" si="1"/>
        <v>Extension Council</v>
      </c>
      <c r="C104" s="85"/>
      <c r="D104" s="107">
        <v>0</v>
      </c>
      <c r="E104" s="125"/>
      <c r="F104" s="85"/>
    </row>
    <row r="105" spans="1:6">
      <c r="A105" s="85"/>
      <c r="B105" s="127" t="str">
        <f t="shared" si="1"/>
        <v>Fair Premium</v>
      </c>
      <c r="C105" s="85"/>
      <c r="D105" s="107">
        <v>2.9000000000000001E-2</v>
      </c>
      <c r="E105" s="125"/>
      <c r="F105" s="85"/>
    </row>
    <row r="106" spans="1:6">
      <c r="A106" s="85"/>
      <c r="B106" s="127" t="str">
        <f t="shared" si="1"/>
        <v>Fair Building</v>
      </c>
      <c r="C106" s="85"/>
      <c r="D106" s="107">
        <v>2.9000000000000001E-2</v>
      </c>
      <c r="E106" s="125"/>
      <c r="F106" s="85"/>
    </row>
    <row r="107" spans="1:6">
      <c r="A107" s="85"/>
      <c r="B107" s="127" t="str">
        <f t="shared" si="1"/>
        <v>Historical Society</v>
      </c>
      <c r="C107" s="85"/>
      <c r="D107" s="107">
        <v>0.33400000000000002</v>
      </c>
      <c r="E107" s="125"/>
      <c r="F107" s="85"/>
    </row>
    <row r="108" spans="1:6">
      <c r="A108" s="85"/>
      <c r="B108" s="127" t="str">
        <f t="shared" si="1"/>
        <v>Mental Health</v>
      </c>
      <c r="C108" s="85"/>
      <c r="D108" s="107">
        <v>0.59199999999999997</v>
      </c>
      <c r="E108" s="125"/>
      <c r="F108" s="85"/>
    </row>
    <row r="109" spans="1:6">
      <c r="A109" s="85"/>
      <c r="B109" s="127" t="str">
        <f t="shared" si="1"/>
        <v>Developmental Disabilities</v>
      </c>
      <c r="C109" s="85"/>
      <c r="D109" s="107">
        <v>0.38600000000000001</v>
      </c>
      <c r="E109" s="125"/>
      <c r="F109" s="85"/>
    </row>
    <row r="110" spans="1:6">
      <c r="A110" s="85"/>
      <c r="B110" s="127">
        <f t="shared" si="1"/>
        <v>0</v>
      </c>
      <c r="C110" s="85"/>
      <c r="D110" s="107"/>
      <c r="E110" s="125"/>
      <c r="F110" s="85"/>
    </row>
    <row r="111" spans="1:6">
      <c r="A111" s="85"/>
      <c r="B111" s="127">
        <f t="shared" si="1"/>
        <v>0</v>
      </c>
      <c r="C111" s="85"/>
      <c r="D111" s="107"/>
      <c r="E111" s="125"/>
      <c r="F111" s="85"/>
    </row>
    <row r="112" spans="1:6">
      <c r="A112" s="85"/>
      <c r="B112" s="127">
        <f t="shared" si="1"/>
        <v>0</v>
      </c>
      <c r="C112" s="85"/>
      <c r="D112" s="107"/>
      <c r="E112" s="125"/>
      <c r="F112" s="85"/>
    </row>
    <row r="113" spans="1:6">
      <c r="A113" s="85"/>
      <c r="B113" s="127">
        <f t="shared" si="1"/>
        <v>0</v>
      </c>
      <c r="C113" s="85"/>
      <c r="D113" s="107"/>
      <c r="E113" s="125"/>
      <c r="F113" s="85"/>
    </row>
    <row r="114" spans="1:6">
      <c r="A114" s="85"/>
      <c r="B114" s="127">
        <f t="shared" si="1"/>
        <v>0</v>
      </c>
      <c r="C114" s="85"/>
      <c r="D114" s="107"/>
      <c r="E114" s="125"/>
      <c r="F114" s="85"/>
    </row>
    <row r="115" spans="1:6">
      <c r="A115" s="114" t="s">
        <v>130</v>
      </c>
      <c r="B115" s="114"/>
      <c r="C115" s="119"/>
      <c r="D115" s="117">
        <f>SUM(D90:D114)</f>
        <v>56.241000000000007</v>
      </c>
      <c r="E115" s="125"/>
      <c r="F115" s="85"/>
    </row>
    <row r="116" spans="1:6">
      <c r="A116" s="85"/>
      <c r="B116" s="85"/>
      <c r="C116" s="85"/>
      <c r="D116" s="85"/>
      <c r="E116" s="85"/>
      <c r="F116" s="85"/>
    </row>
    <row r="117" spans="1:6">
      <c r="A117" s="128" t="str">
        <f>CONCATENATE("Total Tax Levied (",C4-2," budget column)")</f>
        <v>Total Tax Levied (2011 budget column)</v>
      </c>
      <c r="B117" s="129"/>
      <c r="C117" s="114"/>
      <c r="D117" s="114"/>
      <c r="E117" s="119"/>
      <c r="F117" s="112">
        <v>11692138</v>
      </c>
    </row>
    <row r="118" spans="1:6">
      <c r="A118" s="130" t="str">
        <f>CONCATENATE("Assessed Valuation  (",C4-2," budget column)")</f>
        <v>Assessed Valuation  (2011 budget column)</v>
      </c>
      <c r="B118" s="131"/>
      <c r="C118" s="132"/>
      <c r="D118" s="132"/>
      <c r="E118" s="115"/>
      <c r="F118" s="112">
        <v>207921841</v>
      </c>
    </row>
    <row r="119" spans="1:6">
      <c r="A119" s="121"/>
      <c r="B119" s="88"/>
      <c r="C119" s="88"/>
      <c r="D119" s="88"/>
      <c r="E119" s="88"/>
      <c r="F119" s="133"/>
    </row>
    <row r="120" spans="1:6">
      <c r="A120" s="134" t="str">
        <f>CONCATENATE("From the ",C4-1," Budget, Budget Summary Page:")</f>
        <v>From the 2012 Budget, Budget Summary Page:</v>
      </c>
      <c r="B120" s="135"/>
      <c r="C120" s="125"/>
      <c r="D120" s="125"/>
      <c r="E120" s="125"/>
      <c r="F120" s="125"/>
    </row>
    <row r="121" spans="1:6">
      <c r="A121" s="136" t="s">
        <v>0</v>
      </c>
      <c r="B121" s="136"/>
      <c r="C121" s="137"/>
      <c r="D121" s="138">
        <f>C4-3</f>
        <v>2010</v>
      </c>
      <c r="E121" s="139">
        <f>C4-2</f>
        <v>2011</v>
      </c>
      <c r="F121" s="125"/>
    </row>
    <row r="122" spans="1:6">
      <c r="A122" s="140" t="s">
        <v>1</v>
      </c>
      <c r="B122" s="140"/>
      <c r="C122" s="141"/>
      <c r="D122" s="105">
        <v>2179615</v>
      </c>
      <c r="E122" s="105">
        <v>1926070</v>
      </c>
      <c r="F122" s="125"/>
    </row>
    <row r="123" spans="1:6" s="143" customFormat="1">
      <c r="A123" s="142" t="s">
        <v>2</v>
      </c>
      <c r="B123" s="142"/>
      <c r="C123" s="141"/>
      <c r="D123" s="105">
        <v>0</v>
      </c>
      <c r="E123" s="105">
        <v>0</v>
      </c>
      <c r="F123" s="137"/>
    </row>
    <row r="124" spans="1:6" s="143" customFormat="1">
      <c r="A124" s="142" t="s">
        <v>3</v>
      </c>
      <c r="B124" s="142"/>
      <c r="C124" s="141"/>
      <c r="D124" s="105">
        <v>9125117</v>
      </c>
      <c r="E124" s="105">
        <v>7239850</v>
      </c>
      <c r="F124" s="137"/>
    </row>
    <row r="125" spans="1:6" s="143" customFormat="1">
      <c r="A125" s="142" t="s">
        <v>4</v>
      </c>
      <c r="B125" s="142"/>
      <c r="C125" s="141"/>
      <c r="D125" s="105">
        <v>1588637</v>
      </c>
      <c r="E125" s="105">
        <v>1251618</v>
      </c>
      <c r="F125" s="137"/>
    </row>
    <row r="126" spans="1:6" s="143" customFormat="1"/>
  </sheetData>
  <sheetProtection sheet="1"/>
  <mergeCells count="4">
    <mergeCell ref="D88:D89"/>
    <mergeCell ref="A9:F9"/>
    <mergeCell ref="A1:F1"/>
    <mergeCell ref="H6:I11"/>
  </mergeCells>
  <phoneticPr fontId="0" type="noConversion"/>
  <pageMargins left="0.5" right="0.5" top="1" bottom="0.5" header="0.5" footer="0.25"/>
  <pageSetup scale="96" fitToHeight="3"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codeName="Sheet15">
    <pageSetUpPr fitToPage="1"/>
  </sheetPr>
  <dimension ref="B1:K94"/>
  <sheetViews>
    <sheetView topLeftCell="A67" zoomScaleNormal="100" workbookViewId="0">
      <selection activeCell="I56" sqref="I56"/>
    </sheetView>
  </sheetViews>
  <sheetFormatPr defaultColWidth="8.88671875" defaultRowHeight="15.75"/>
  <cols>
    <col min="1" max="1" width="2.44140625" style="72" customWidth="1"/>
    <col min="2" max="2" width="31.109375" style="72" customWidth="1"/>
    <col min="3" max="4" width="15.77734375" style="72" customWidth="1"/>
    <col min="5" max="5" width="16.21875" style="72" customWidth="1"/>
    <col min="6" max="6" width="7.44140625" style="72" customWidth="1"/>
    <col min="7" max="7" width="10.21875" style="72" customWidth="1"/>
    <col min="8" max="8" width="8.88671875" style="72"/>
    <col min="9" max="9" width="5" style="72" customWidth="1"/>
    <col min="10" max="10" width="10" style="72" customWidth="1"/>
    <col min="11" max="16384" width="8.88671875" style="72"/>
  </cols>
  <sheetData>
    <row r="1" spans="2:5">
      <c r="B1" s="228" t="str">
        <f>(inputPrYr!C2)</f>
        <v>Franklin County</v>
      </c>
      <c r="C1" s="85"/>
      <c r="D1" s="85"/>
      <c r="E1" s="286">
        <f>inputPrYr!C4</f>
        <v>2013</v>
      </c>
    </row>
    <row r="2" spans="2:5">
      <c r="B2" s="85"/>
      <c r="C2" s="85"/>
      <c r="D2" s="85"/>
      <c r="E2" s="240"/>
    </row>
    <row r="3" spans="2:5">
      <c r="B3" s="152" t="s">
        <v>238</v>
      </c>
      <c r="C3" s="333"/>
      <c r="D3" s="333"/>
      <c r="E3" s="334"/>
    </row>
    <row r="4" spans="2:5">
      <c r="B4" s="84" t="s">
        <v>159</v>
      </c>
      <c r="C4" s="703" t="s">
        <v>841</v>
      </c>
      <c r="D4" s="704" t="s">
        <v>842</v>
      </c>
      <c r="E4" s="215" t="s">
        <v>843</v>
      </c>
    </row>
    <row r="5" spans="2:5">
      <c r="B5" s="484" t="str">
        <f>inputPrYr!B23</f>
        <v>Election</v>
      </c>
      <c r="C5" s="455" t="str">
        <f>CONCATENATE("Actual for ",E1-2,"")</f>
        <v>Actual for 2011</v>
      </c>
      <c r="D5" s="455" t="str">
        <f>CONCATENATE("Estimate for ",E1-1,"")</f>
        <v>Estimate for 2012</v>
      </c>
      <c r="E5" s="302" t="str">
        <f>CONCATENATE("Year for ",E1,"")</f>
        <v>Year for 2013</v>
      </c>
    </row>
    <row r="6" spans="2:5">
      <c r="B6" s="148" t="s">
        <v>280</v>
      </c>
      <c r="C6" s="452">
        <v>72566</v>
      </c>
      <c r="D6" s="456">
        <f>C34</f>
        <v>94436</v>
      </c>
      <c r="E6" s="265">
        <f>D34</f>
        <v>26668</v>
      </c>
    </row>
    <row r="7" spans="2:5">
      <c r="B7" s="290" t="s">
        <v>282</v>
      </c>
      <c r="C7" s="305"/>
      <c r="D7" s="305"/>
      <c r="E7" s="127"/>
    </row>
    <row r="8" spans="2:5">
      <c r="B8" s="148" t="s">
        <v>160</v>
      </c>
      <c r="C8" s="452">
        <v>94567</v>
      </c>
      <c r="D8" s="456">
        <f>IF(inputPrYr!H23&gt;0,inputPrYr!H23,inputPrYr!E23)</f>
        <v>104154</v>
      </c>
      <c r="E8" s="337" t="s">
        <v>146</v>
      </c>
    </row>
    <row r="9" spans="2:5">
      <c r="B9" s="148" t="s">
        <v>161</v>
      </c>
      <c r="C9" s="452">
        <v>5623</v>
      </c>
      <c r="D9" s="452">
        <v>3000</v>
      </c>
      <c r="E9" s="112">
        <v>3000</v>
      </c>
    </row>
    <row r="10" spans="2:5">
      <c r="B10" s="148" t="s">
        <v>162</v>
      </c>
      <c r="C10" s="452">
        <v>15643</v>
      </c>
      <c r="D10" s="452">
        <v>11857</v>
      </c>
      <c r="E10" s="265">
        <f>mvalloc!E14</f>
        <v>12445</v>
      </c>
    </row>
    <row r="11" spans="2:5">
      <c r="B11" s="148" t="s">
        <v>163</v>
      </c>
      <c r="C11" s="452">
        <v>309</v>
      </c>
      <c r="D11" s="452">
        <v>256</v>
      </c>
      <c r="E11" s="265">
        <f>mvalloc!F14</f>
        <v>192</v>
      </c>
    </row>
    <row r="12" spans="2:5">
      <c r="B12" s="305" t="s">
        <v>229</v>
      </c>
      <c r="C12" s="452">
        <v>523</v>
      </c>
      <c r="D12" s="452">
        <v>406</v>
      </c>
      <c r="E12" s="265">
        <f>mvalloc!G14</f>
        <v>367</v>
      </c>
    </row>
    <row r="13" spans="2:5">
      <c r="B13" s="318"/>
      <c r="C13" s="452"/>
      <c r="D13" s="452"/>
      <c r="E13" s="112"/>
    </row>
    <row r="14" spans="2:5">
      <c r="B14" s="318"/>
      <c r="C14" s="452"/>
      <c r="D14" s="452"/>
      <c r="E14" s="112"/>
    </row>
    <row r="15" spans="2:5">
      <c r="B15" s="318"/>
      <c r="C15" s="452"/>
      <c r="D15" s="452"/>
      <c r="E15" s="112"/>
    </row>
    <row r="16" spans="2:5">
      <c r="B16" s="318"/>
      <c r="C16" s="452"/>
      <c r="D16" s="452"/>
      <c r="E16" s="112"/>
    </row>
    <row r="17" spans="2:10">
      <c r="B17" s="308"/>
      <c r="C17" s="452"/>
      <c r="D17" s="452"/>
      <c r="E17" s="112"/>
    </row>
    <row r="18" spans="2:10">
      <c r="B18" s="309" t="s">
        <v>73</v>
      </c>
      <c r="C18" s="452"/>
      <c r="D18" s="452"/>
      <c r="E18" s="112"/>
    </row>
    <row r="19" spans="2:10">
      <c r="B19" s="309" t="s">
        <v>681</v>
      </c>
      <c r="C19" s="453" t="str">
        <f>IF(C20*0.1&lt;C18,"Exceed 10% Rule","")</f>
        <v/>
      </c>
      <c r="D19" s="453" t="str">
        <f>IF(D20*0.1&lt;D18,"Exceed 10% Rule","")</f>
        <v/>
      </c>
      <c r="E19" s="344" t="str">
        <f>IF(E20*0.1+E40&lt;E18,"Exceed 10% Rule","")</f>
        <v/>
      </c>
    </row>
    <row r="20" spans="2:10">
      <c r="B20" s="311" t="s">
        <v>165</v>
      </c>
      <c r="C20" s="454">
        <f>SUM(C8:C18)</f>
        <v>116665</v>
      </c>
      <c r="D20" s="454">
        <f>SUM(D8:D18)</f>
        <v>119673</v>
      </c>
      <c r="E20" s="352">
        <f>SUM(E8:E18)</f>
        <v>16004</v>
      </c>
    </row>
    <row r="21" spans="2:10">
      <c r="B21" s="311" t="s">
        <v>166</v>
      </c>
      <c r="C21" s="454">
        <f>C6+C20</f>
        <v>189231</v>
      </c>
      <c r="D21" s="454">
        <f>D6+D20</f>
        <v>214109</v>
      </c>
      <c r="E21" s="352">
        <f>E6+E20</f>
        <v>42672</v>
      </c>
    </row>
    <row r="22" spans="2:10">
      <c r="B22" s="148" t="s">
        <v>169</v>
      </c>
      <c r="C22" s="309"/>
      <c r="D22" s="309"/>
      <c r="E22" s="108"/>
    </row>
    <row r="23" spans="2:10">
      <c r="B23" s="318" t="s">
        <v>174</v>
      </c>
      <c r="C23" s="452">
        <v>46468</v>
      </c>
      <c r="D23" s="452">
        <v>83841</v>
      </c>
      <c r="E23" s="112">
        <v>61704</v>
      </c>
    </row>
    <row r="24" spans="2:10">
      <c r="B24" s="318" t="s">
        <v>175</v>
      </c>
      <c r="C24" s="452">
        <v>27527</v>
      </c>
      <c r="D24" s="452">
        <v>63600</v>
      </c>
      <c r="E24" s="112">
        <v>48900</v>
      </c>
      <c r="G24" s="784" t="str">
        <f>CONCATENATE("Desired Carryover Into ",E1+1,"")</f>
        <v>Desired Carryover Into 2014</v>
      </c>
      <c r="H24" s="785"/>
      <c r="I24" s="785"/>
      <c r="J24" s="786"/>
    </row>
    <row r="25" spans="2:10">
      <c r="B25" s="318" t="s">
        <v>176</v>
      </c>
      <c r="C25" s="452">
        <v>21544</v>
      </c>
      <c r="D25" s="452">
        <v>40000</v>
      </c>
      <c r="E25" s="112">
        <v>30000</v>
      </c>
      <c r="G25" s="650"/>
      <c r="H25" s="651"/>
      <c r="I25" s="652"/>
      <c r="J25" s="653"/>
    </row>
    <row r="26" spans="2:10">
      <c r="B26" s="318" t="s">
        <v>177</v>
      </c>
      <c r="C26" s="452">
        <v>0</v>
      </c>
      <c r="D26" s="452">
        <v>0</v>
      </c>
      <c r="E26" s="112">
        <v>1800</v>
      </c>
      <c r="G26" s="654" t="s">
        <v>687</v>
      </c>
      <c r="H26" s="652"/>
      <c r="I26" s="652"/>
      <c r="J26" s="655">
        <v>0</v>
      </c>
    </row>
    <row r="27" spans="2:10">
      <c r="B27" s="318" t="s">
        <v>958</v>
      </c>
      <c r="C27" s="452">
        <v>-744</v>
      </c>
      <c r="D27" s="452">
        <v>0</v>
      </c>
      <c r="E27" s="112">
        <v>0</v>
      </c>
      <c r="G27" s="650" t="s">
        <v>688</v>
      </c>
      <c r="H27" s="651"/>
      <c r="I27" s="651"/>
      <c r="J27" s="656" t="str">
        <f>IF(J26=0,"",ROUND((J26+E40-G39)/inputOth!E6*1000,3)-G44)</f>
        <v/>
      </c>
    </row>
    <row r="28" spans="2:10">
      <c r="B28" s="318"/>
      <c r="C28" s="452"/>
      <c r="D28" s="452"/>
      <c r="E28" s="112"/>
      <c r="G28" s="657" t="str">
        <f>CONCATENATE("",E1," Tot Exp/Non-Appr Must Be:")</f>
        <v>2013 Tot Exp/Non-Appr Must Be:</v>
      </c>
      <c r="H28" s="658"/>
      <c r="I28" s="659"/>
      <c r="J28" s="660">
        <f>IF(J26&gt;0,IF(E37&lt;E21,IF(J26=G39,E37,((J26-G39)*(1-D39))+E21),E37+(J26-G39)),0)</f>
        <v>0</v>
      </c>
    </row>
    <row r="29" spans="2:10">
      <c r="B29" s="318"/>
      <c r="C29" s="452"/>
      <c r="D29" s="452"/>
      <c r="E29" s="112"/>
      <c r="G29" s="661" t="s">
        <v>839</v>
      </c>
      <c r="H29" s="662"/>
      <c r="I29" s="662"/>
      <c r="J29" s="663">
        <f>IF(J26&gt;0,J28-E37,0)</f>
        <v>0</v>
      </c>
    </row>
    <row r="30" spans="2:10">
      <c r="B30" s="309" t="s">
        <v>75</v>
      </c>
      <c r="C30" s="452"/>
      <c r="D30" s="452"/>
      <c r="E30" s="120">
        <f>Nhood!E13</f>
        <v>291</v>
      </c>
      <c r="G30" s="1"/>
      <c r="H30" s="1"/>
      <c r="I30" s="1"/>
      <c r="J30" s="1"/>
    </row>
    <row r="31" spans="2:10">
      <c r="B31" s="309" t="s">
        <v>73</v>
      </c>
      <c r="C31" s="452"/>
      <c r="D31" s="452"/>
      <c r="E31" s="112"/>
      <c r="G31" s="784" t="str">
        <f>CONCATENATE("Projected Carryover Into ",E1+1,"")</f>
        <v>Projected Carryover Into 2014</v>
      </c>
      <c r="H31" s="791"/>
      <c r="I31" s="791"/>
      <c r="J31" s="792"/>
    </row>
    <row r="32" spans="2:10">
      <c r="B32" s="309" t="s">
        <v>680</v>
      </c>
      <c r="C32" s="453" t="str">
        <f>IF(C33*0.1&lt;C31,"Exceed 10% Rule","")</f>
        <v/>
      </c>
      <c r="D32" s="453" t="str">
        <f>IF(D33*0.1&lt;D31,"Exceed 10% Rule","")</f>
        <v/>
      </c>
      <c r="E32" s="344" t="str">
        <f>IF(E33*0.1&lt;E31,"Exceed 10% Rule","")</f>
        <v/>
      </c>
      <c r="G32" s="650"/>
      <c r="H32" s="652"/>
      <c r="I32" s="652"/>
      <c r="J32" s="678"/>
    </row>
    <row r="33" spans="2:11">
      <c r="B33" s="311" t="s">
        <v>170</v>
      </c>
      <c r="C33" s="454">
        <f>SUM(C23:C31)</f>
        <v>94795</v>
      </c>
      <c r="D33" s="454">
        <f>SUM(D23:D31)</f>
        <v>187441</v>
      </c>
      <c r="E33" s="352">
        <f>SUM(E23:E31)</f>
        <v>142695</v>
      </c>
      <c r="G33" s="679">
        <f>D34</f>
        <v>26668</v>
      </c>
      <c r="H33" s="669" t="str">
        <f>CONCATENATE("",E1-1," Ending Cash Balance (est.)")</f>
        <v>2012 Ending Cash Balance (est.)</v>
      </c>
      <c r="I33" s="680"/>
      <c r="J33" s="678"/>
    </row>
    <row r="34" spans="2:11">
      <c r="B34" s="148" t="s">
        <v>281</v>
      </c>
      <c r="C34" s="457">
        <f>C21-C33</f>
        <v>94436</v>
      </c>
      <c r="D34" s="457">
        <f>D21-D33</f>
        <v>26668</v>
      </c>
      <c r="E34" s="337" t="s">
        <v>146</v>
      </c>
      <c r="G34" s="679">
        <f>E20</f>
        <v>16004</v>
      </c>
      <c r="H34" s="652" t="str">
        <f>CONCATENATE("",E1," Non-AV Receipts (est.)")</f>
        <v>2013 Non-AV Receipts (est.)</v>
      </c>
      <c r="I34" s="680"/>
      <c r="J34" s="678"/>
    </row>
    <row r="35" spans="2:11">
      <c r="B35" s="287" t="str">
        <f>CONCATENATE("",E$1-2,"/",E$1-1," Budget Authority Amount:")</f>
        <v>2011/2012 Budget Authority Amount:</v>
      </c>
      <c r="C35" s="279">
        <f>inputOth!B37</f>
        <v>144650</v>
      </c>
      <c r="D35" s="279">
        <f>inputPrYr!D23</f>
        <v>188390</v>
      </c>
      <c r="E35" s="337" t="s">
        <v>146</v>
      </c>
      <c r="F35" s="320"/>
      <c r="G35" s="681">
        <f>IF(E39&gt;0,E38,E40)</f>
        <v>100023</v>
      </c>
      <c r="H35" s="652" t="str">
        <f>CONCATENATE("",E1," Ad Valorem Tax (est.)")</f>
        <v>2013 Ad Valorem Tax (est.)</v>
      </c>
      <c r="I35" s="680"/>
      <c r="J35" s="678"/>
      <c r="K35" s="666" t="str">
        <f>IF(G35=E40,"","Note: Does not include Delinquent Taxes")</f>
        <v>Note: Does not include Delinquent Taxes</v>
      </c>
    </row>
    <row r="36" spans="2:11">
      <c r="B36" s="287"/>
      <c r="C36" s="774" t="s">
        <v>684</v>
      </c>
      <c r="D36" s="775"/>
      <c r="E36" s="112"/>
      <c r="F36" s="502" t="str">
        <f>IF(E33/0.95-E33&lt;E36,"Exceeds 5%","")</f>
        <v/>
      </c>
      <c r="G36" s="679">
        <f>SUM(G33:G35)</f>
        <v>142695</v>
      </c>
      <c r="H36" s="652" t="str">
        <f>CONCATENATE("Total ",E1," Resources Available")</f>
        <v>Total 2013 Resources Available</v>
      </c>
      <c r="I36" s="680"/>
      <c r="J36" s="678"/>
    </row>
    <row r="37" spans="2:11">
      <c r="B37" s="506" t="str">
        <f>CONCATENATE(C91,"     ",D91)</f>
        <v xml:space="preserve">     </v>
      </c>
      <c r="C37" s="776" t="s">
        <v>685</v>
      </c>
      <c r="D37" s="777"/>
      <c r="E37" s="265">
        <f>E33+E36</f>
        <v>142695</v>
      </c>
      <c r="G37" s="682"/>
      <c r="H37" s="652"/>
      <c r="I37" s="652"/>
      <c r="J37" s="678"/>
    </row>
    <row r="38" spans="2:11">
      <c r="B38" s="506" t="str">
        <f>CONCATENATE(C92,"     ",D92)</f>
        <v xml:space="preserve">     </v>
      </c>
      <c r="C38" s="321"/>
      <c r="D38" s="240" t="s">
        <v>171</v>
      </c>
      <c r="E38" s="120">
        <f>IF(E37-E21&gt;0,E37-E21,0)</f>
        <v>100023</v>
      </c>
      <c r="G38" s="681">
        <f>ROUND(C33*0.05+C33,0)</f>
        <v>99535</v>
      </c>
      <c r="H38" s="652" t="str">
        <f>CONCATENATE("Less ",E1-2," Expenditures + 5%")</f>
        <v>Less 2011 Expenditures + 5%</v>
      </c>
      <c r="I38" s="680"/>
      <c r="J38" s="683"/>
    </row>
    <row r="39" spans="2:11">
      <c r="B39" s="240"/>
      <c r="C39" s="504" t="s">
        <v>686</v>
      </c>
      <c r="D39" s="649">
        <f>inputOth!$E$23</f>
        <v>0.05</v>
      </c>
      <c r="E39" s="265">
        <f>ROUND(IF(D39&gt;0,($E$38*D39),0),0)</f>
        <v>5001</v>
      </c>
      <c r="G39" s="684">
        <f>G36-G38</f>
        <v>43160</v>
      </c>
      <c r="H39" s="685" t="str">
        <f>CONCATENATE("Projected ",E1+1," carryover (est.)")</f>
        <v>Projected 2014 carryover (est.)</v>
      </c>
      <c r="I39" s="686"/>
      <c r="J39" s="687"/>
    </row>
    <row r="40" spans="2:11">
      <c r="B40" s="85"/>
      <c r="C40" s="782" t="str">
        <f>CONCATENATE("Amount of  ",$E$1-1," Ad Valorem Tax")</f>
        <v>Amount of  2012 Ad Valorem Tax</v>
      </c>
      <c r="D40" s="783"/>
      <c r="E40" s="348">
        <f>E38+E39</f>
        <v>105024</v>
      </c>
      <c r="G40" s="1"/>
      <c r="H40" s="1"/>
      <c r="I40" s="1"/>
      <c r="J40" s="1"/>
    </row>
    <row r="41" spans="2:11">
      <c r="B41" s="85"/>
      <c r="C41" s="327"/>
      <c r="D41" s="327"/>
      <c r="E41" s="327"/>
      <c r="G41" s="787" t="s">
        <v>840</v>
      </c>
      <c r="H41" s="788"/>
      <c r="I41" s="788"/>
      <c r="J41" s="789"/>
    </row>
    <row r="42" spans="2:11">
      <c r="B42" s="84" t="s">
        <v>159</v>
      </c>
      <c r="C42" s="703" t="str">
        <f t="shared" ref="C42:E43" si="0">C4</f>
        <v xml:space="preserve">Prior Year </v>
      </c>
      <c r="D42" s="704" t="str">
        <f t="shared" si="0"/>
        <v xml:space="preserve">Current Year </v>
      </c>
      <c r="E42" s="215" t="str">
        <f t="shared" si="0"/>
        <v xml:space="preserve">Proposed Budget </v>
      </c>
      <c r="G42" s="668"/>
      <c r="H42" s="669"/>
      <c r="I42" s="670"/>
      <c r="J42" s="671"/>
    </row>
    <row r="43" spans="2:11">
      <c r="B43" s="484" t="str">
        <f>inputPrYr!B24</f>
        <v>Employee Benefit</v>
      </c>
      <c r="C43" s="455" t="str">
        <f t="shared" si="0"/>
        <v>Actual for 2011</v>
      </c>
      <c r="D43" s="455" t="str">
        <f t="shared" si="0"/>
        <v>Estimate for 2012</v>
      </c>
      <c r="E43" s="315" t="str">
        <f t="shared" si="0"/>
        <v>Year for 2013</v>
      </c>
      <c r="G43" s="672">
        <f>summ!H23</f>
        <v>0.49299999999999999</v>
      </c>
      <c r="H43" s="669" t="str">
        <f>CONCATENATE("",E1," Fund Mill Rate")</f>
        <v>2013 Fund Mill Rate</v>
      </c>
      <c r="I43" s="670"/>
      <c r="J43" s="671"/>
    </row>
    <row r="44" spans="2:11">
      <c r="B44" s="148" t="s">
        <v>280</v>
      </c>
      <c r="C44" s="452">
        <v>497217</v>
      </c>
      <c r="D44" s="456">
        <f>C74</f>
        <v>233973</v>
      </c>
      <c r="E44" s="265">
        <f>D74</f>
        <v>222113</v>
      </c>
      <c r="G44" s="673">
        <f>summ!E23</f>
        <v>0.502</v>
      </c>
      <c r="H44" s="669" t="str">
        <f>CONCATENATE("",E1-1," Fund Mill Rate")</f>
        <v>2012 Fund Mill Rate</v>
      </c>
      <c r="I44" s="670"/>
      <c r="J44" s="671"/>
    </row>
    <row r="45" spans="2:11">
      <c r="B45" s="290" t="s">
        <v>282</v>
      </c>
      <c r="C45" s="305"/>
      <c r="D45" s="305"/>
      <c r="E45" s="127"/>
      <c r="G45" s="674">
        <f>summ!H61</f>
        <v>59.232000000000006</v>
      </c>
      <c r="H45" s="669" t="str">
        <f>CONCATENATE("Total ",E1," Mill Rate")</f>
        <v>Total 2013 Mill Rate</v>
      </c>
      <c r="I45" s="670"/>
      <c r="J45" s="671"/>
    </row>
    <row r="46" spans="2:11">
      <c r="B46" s="148" t="s">
        <v>160</v>
      </c>
      <c r="C46" s="452">
        <v>2095509</v>
      </c>
      <c r="D46" s="456">
        <f>IF(inputPrYr!H24&gt;0,inputPrYr!H24,inputPrYr!E24)</f>
        <v>2632287</v>
      </c>
      <c r="E46" s="337" t="s">
        <v>146</v>
      </c>
      <c r="G46" s="673">
        <f>summ!E61</f>
        <v>59.207000000000001</v>
      </c>
      <c r="H46" s="675" t="str">
        <f>CONCATENATE("Total ",E1-1," Mill Rate")</f>
        <v>Total 2012 Mill Rate</v>
      </c>
      <c r="I46" s="676"/>
      <c r="J46" s="677"/>
    </row>
    <row r="47" spans="2:11">
      <c r="B47" s="148" t="s">
        <v>161</v>
      </c>
      <c r="C47" s="452">
        <v>99203</v>
      </c>
      <c r="D47" s="452">
        <v>50000</v>
      </c>
      <c r="E47" s="112">
        <v>50000</v>
      </c>
      <c r="G47" s="1"/>
      <c r="H47" s="1"/>
      <c r="I47" s="1"/>
      <c r="J47" s="1"/>
    </row>
    <row r="48" spans="2:11">
      <c r="B48" s="148" t="s">
        <v>162</v>
      </c>
      <c r="C48" s="452">
        <v>267955</v>
      </c>
      <c r="D48" s="452">
        <v>262790</v>
      </c>
      <c r="E48" s="265">
        <f>mvalloc!E15</f>
        <v>314533</v>
      </c>
      <c r="G48" s="1"/>
      <c r="H48" s="1"/>
      <c r="I48" s="1"/>
      <c r="J48" s="1"/>
    </row>
    <row r="49" spans="2:10">
      <c r="B49" s="148" t="s">
        <v>163</v>
      </c>
      <c r="C49" s="452">
        <v>5283</v>
      </c>
      <c r="D49" s="452">
        <v>5680</v>
      </c>
      <c r="E49" s="265">
        <f>mvalloc!F15</f>
        <v>4851</v>
      </c>
      <c r="G49" s="1"/>
      <c r="H49" s="1"/>
      <c r="I49" s="1"/>
      <c r="J49" s="1"/>
    </row>
    <row r="50" spans="2:10">
      <c r="B50" s="305" t="s">
        <v>229</v>
      </c>
      <c r="C50" s="452">
        <v>9814</v>
      </c>
      <c r="D50" s="452">
        <v>8994</v>
      </c>
      <c r="E50" s="265">
        <f>mvalloc!G15</f>
        <v>9265</v>
      </c>
      <c r="G50" s="1"/>
      <c r="H50" s="1"/>
      <c r="I50" s="1"/>
      <c r="J50" s="1"/>
    </row>
    <row r="51" spans="2:10">
      <c r="B51" s="318" t="s">
        <v>1008</v>
      </c>
      <c r="C51" s="452">
        <v>0</v>
      </c>
      <c r="D51" s="452">
        <v>60000</v>
      </c>
      <c r="E51" s="112">
        <v>0</v>
      </c>
      <c r="G51" s="1"/>
      <c r="H51" s="1"/>
      <c r="I51" s="1"/>
      <c r="J51" s="1"/>
    </row>
    <row r="52" spans="2:10">
      <c r="B52" s="318"/>
      <c r="C52" s="452"/>
      <c r="D52" s="452"/>
      <c r="E52" s="112"/>
      <c r="G52" s="1"/>
      <c r="H52" s="1"/>
      <c r="I52" s="1"/>
      <c r="J52" s="1"/>
    </row>
    <row r="53" spans="2:10">
      <c r="B53" s="318"/>
      <c r="C53" s="452"/>
      <c r="D53" s="452"/>
      <c r="E53" s="112"/>
      <c r="G53" s="1"/>
      <c r="H53" s="1"/>
      <c r="I53" s="1"/>
      <c r="J53" s="1"/>
    </row>
    <row r="54" spans="2:10">
      <c r="B54" s="318"/>
      <c r="C54" s="452"/>
      <c r="D54" s="452"/>
      <c r="E54" s="112"/>
      <c r="G54" s="1"/>
      <c r="H54" s="1"/>
      <c r="I54" s="1"/>
      <c r="J54" s="1"/>
    </row>
    <row r="55" spans="2:10">
      <c r="B55" s="318"/>
      <c r="C55" s="452"/>
      <c r="D55" s="452"/>
      <c r="E55" s="112"/>
      <c r="G55" s="1"/>
      <c r="H55" s="1"/>
      <c r="I55" s="1"/>
      <c r="J55" s="1"/>
    </row>
    <row r="56" spans="2:10">
      <c r="B56" s="318"/>
      <c r="C56" s="452"/>
      <c r="D56" s="452"/>
      <c r="E56" s="112"/>
      <c r="G56" s="1"/>
      <c r="H56" s="1"/>
      <c r="I56" s="1"/>
      <c r="J56" s="1"/>
    </row>
    <row r="57" spans="2:10">
      <c r="B57" s="308"/>
      <c r="C57" s="452"/>
      <c r="D57" s="452"/>
      <c r="E57" s="112"/>
      <c r="G57" s="1"/>
      <c r="H57" s="1"/>
      <c r="I57" s="1"/>
      <c r="J57" s="1"/>
    </row>
    <row r="58" spans="2:10">
      <c r="B58" s="309" t="s">
        <v>73</v>
      </c>
      <c r="C58" s="452"/>
      <c r="D58" s="452"/>
      <c r="E58" s="112"/>
      <c r="G58" s="1"/>
      <c r="H58" s="1"/>
      <c r="I58" s="1"/>
      <c r="J58" s="1"/>
    </row>
    <row r="59" spans="2:10">
      <c r="B59" s="309" t="s">
        <v>681</v>
      </c>
      <c r="C59" s="453" t="str">
        <f>IF(C60*0.1&lt;C58,"Exceed 10% Rule","")</f>
        <v/>
      </c>
      <c r="D59" s="453" t="str">
        <f>IF(D60*0.1&lt;D58,"Exceed 10% Rule","")</f>
        <v/>
      </c>
      <c r="E59" s="344" t="str">
        <f>IF(E60*0.1+E80&lt;E58,"Exceed 10% Rule","")</f>
        <v/>
      </c>
      <c r="G59" s="1"/>
      <c r="H59" s="1"/>
      <c r="I59" s="1"/>
      <c r="J59" s="1"/>
    </row>
    <row r="60" spans="2:10">
      <c r="B60" s="311" t="s">
        <v>165</v>
      </c>
      <c r="C60" s="454">
        <f>SUM(C46:C58)</f>
        <v>2477764</v>
      </c>
      <c r="D60" s="454">
        <f>SUM(D46:D58)</f>
        <v>3019751</v>
      </c>
      <c r="E60" s="352">
        <f>SUM(E46:E58)</f>
        <v>378649</v>
      </c>
      <c r="G60" s="1"/>
      <c r="H60" s="1"/>
      <c r="I60" s="1"/>
      <c r="J60" s="1"/>
    </row>
    <row r="61" spans="2:10">
      <c r="B61" s="311" t="s">
        <v>166</v>
      </c>
      <c r="C61" s="454">
        <f>C44+C60</f>
        <v>2974981</v>
      </c>
      <c r="D61" s="454">
        <f>D44+D60</f>
        <v>3253724</v>
      </c>
      <c r="E61" s="352">
        <f>E44+E60</f>
        <v>600762</v>
      </c>
      <c r="G61" s="1"/>
      <c r="H61" s="1"/>
      <c r="I61" s="1"/>
      <c r="J61" s="1"/>
    </row>
    <row r="62" spans="2:10">
      <c r="B62" s="148" t="s">
        <v>169</v>
      </c>
      <c r="C62" s="309"/>
      <c r="D62" s="309"/>
      <c r="E62" s="108"/>
      <c r="G62" s="1"/>
      <c r="H62" s="1"/>
      <c r="I62" s="1"/>
      <c r="J62" s="1"/>
    </row>
    <row r="63" spans="2:10">
      <c r="B63" s="318" t="s">
        <v>1015</v>
      </c>
      <c r="C63" s="452">
        <v>2704714</v>
      </c>
      <c r="D63" s="452">
        <v>2975988</v>
      </c>
      <c r="E63" s="112">
        <v>3109650</v>
      </c>
      <c r="G63" s="1"/>
      <c r="H63" s="1"/>
      <c r="I63" s="1"/>
      <c r="J63" s="1"/>
    </row>
    <row r="64" spans="2:10">
      <c r="B64" s="318" t="s">
        <v>1006</v>
      </c>
      <c r="C64" s="452">
        <v>72603</v>
      </c>
      <c r="D64" s="452">
        <v>75623</v>
      </c>
      <c r="E64" s="112">
        <v>78273</v>
      </c>
      <c r="G64" s="784" t="str">
        <f>CONCATENATE("Desired Carryover Into ",E1+1,"")</f>
        <v>Desired Carryover Into 2014</v>
      </c>
      <c r="H64" s="785"/>
      <c r="I64" s="785"/>
      <c r="J64" s="786"/>
    </row>
    <row r="65" spans="2:11">
      <c r="B65" s="318" t="s">
        <v>958</v>
      </c>
      <c r="C65" s="452">
        <v>-36309</v>
      </c>
      <c r="D65" s="452">
        <v>-20000</v>
      </c>
      <c r="E65" s="112">
        <v>-18100</v>
      </c>
      <c r="G65" s="650"/>
      <c r="H65" s="651"/>
      <c r="I65" s="652"/>
      <c r="J65" s="653"/>
    </row>
    <row r="66" spans="2:11">
      <c r="B66" s="318"/>
      <c r="C66" s="452"/>
      <c r="D66" s="452"/>
      <c r="E66" s="112"/>
      <c r="G66" s="654" t="s">
        <v>687</v>
      </c>
      <c r="H66" s="652"/>
      <c r="I66" s="652"/>
      <c r="J66" s="655">
        <v>0</v>
      </c>
    </row>
    <row r="67" spans="2:11">
      <c r="B67" s="318"/>
      <c r="C67" s="452"/>
      <c r="D67" s="452"/>
      <c r="E67" s="112"/>
      <c r="G67" s="650" t="s">
        <v>688</v>
      </c>
      <c r="H67" s="651"/>
      <c r="I67" s="651"/>
      <c r="J67" s="656" t="str">
        <f>IF(J66=0,"",ROUND((J66+E80-G79)/inputOth!E6*1000,3)-G84)</f>
        <v/>
      </c>
    </row>
    <row r="68" spans="2:11">
      <c r="B68" s="318"/>
      <c r="C68" s="452"/>
      <c r="D68" s="452"/>
      <c r="E68" s="112"/>
      <c r="G68" s="657" t="str">
        <f>CONCATENATE("",E1," Tot Exp/Non-Appr Must Be:")</f>
        <v>2013 Tot Exp/Non-Appr Must Be:</v>
      </c>
      <c r="H68" s="658"/>
      <c r="I68" s="659"/>
      <c r="J68" s="660">
        <f>IF(J66&gt;0,IF(E77&lt;E61,IF(J66=G79,E77,((J66-G79)*(1-D79))+E61),E77+(J66-G79)),0)</f>
        <v>0</v>
      </c>
    </row>
    <row r="69" spans="2:11">
      <c r="B69" s="318"/>
      <c r="C69" s="452"/>
      <c r="D69" s="452"/>
      <c r="E69" s="112"/>
      <c r="G69" s="661" t="s">
        <v>839</v>
      </c>
      <c r="H69" s="662"/>
      <c r="I69" s="662"/>
      <c r="J69" s="663">
        <f>IF(J66&gt;0,J68-E77,0)</f>
        <v>0</v>
      </c>
    </row>
    <row r="70" spans="2:11">
      <c r="B70" s="309" t="s">
        <v>75</v>
      </c>
      <c r="C70" s="452"/>
      <c r="D70" s="452"/>
      <c r="E70" s="120">
        <f>Nhood!E14</f>
        <v>7508</v>
      </c>
      <c r="G70" s="1"/>
      <c r="H70" s="1"/>
      <c r="I70" s="1"/>
      <c r="J70" s="1"/>
    </row>
    <row r="71" spans="2:11">
      <c r="B71" s="309" t="s">
        <v>73</v>
      </c>
      <c r="C71" s="452"/>
      <c r="D71" s="452"/>
      <c r="E71" s="112"/>
      <c r="G71" s="784" t="str">
        <f>CONCATENATE("Projected Carryover Into ",E1+1,"")</f>
        <v>Projected Carryover Into 2014</v>
      </c>
      <c r="H71" s="793"/>
      <c r="I71" s="793"/>
      <c r="J71" s="792"/>
    </row>
    <row r="72" spans="2:11">
      <c r="B72" s="309" t="s">
        <v>680</v>
      </c>
      <c r="C72" s="453" t="str">
        <f>IF(C73*0.1&lt;C71,"Exceed 10% Rule","")</f>
        <v/>
      </c>
      <c r="D72" s="453" t="str">
        <f>IF(D73*0.1&lt;D71,"Exceed 10% Rule","")</f>
        <v/>
      </c>
      <c r="E72" s="344" t="str">
        <f>IF(E73*0.1&lt;E71,"Exceed 10% Rule","")</f>
        <v/>
      </c>
      <c r="G72" s="688"/>
      <c r="H72" s="651"/>
      <c r="I72" s="651"/>
      <c r="J72" s="683"/>
    </row>
    <row r="73" spans="2:11">
      <c r="B73" s="311" t="s">
        <v>170</v>
      </c>
      <c r="C73" s="454">
        <f>SUM(C63:C71)</f>
        <v>2741008</v>
      </c>
      <c r="D73" s="454">
        <f>SUM(D63:D71)</f>
        <v>3031611</v>
      </c>
      <c r="E73" s="352">
        <f>SUM(E63:E71)</f>
        <v>3177331</v>
      </c>
      <c r="G73" s="679">
        <f>D74</f>
        <v>222113</v>
      </c>
      <c r="H73" s="669" t="str">
        <f>CONCATENATE("",E1-1," Ending Cash Balance (est.)")</f>
        <v>2012 Ending Cash Balance (est.)</v>
      </c>
      <c r="I73" s="680"/>
      <c r="J73" s="683"/>
    </row>
    <row r="74" spans="2:11">
      <c r="B74" s="148" t="s">
        <v>281</v>
      </c>
      <c r="C74" s="457">
        <f>C61-C73</f>
        <v>233973</v>
      </c>
      <c r="D74" s="457">
        <f>D61-D73</f>
        <v>222113</v>
      </c>
      <c r="E74" s="337" t="s">
        <v>146</v>
      </c>
      <c r="G74" s="679">
        <f>E60</f>
        <v>378649</v>
      </c>
      <c r="H74" s="652" t="str">
        <f>CONCATENATE("",E1," Non-AV Receipts (est.)")</f>
        <v>2013 Non-AV Receipts (est.)</v>
      </c>
      <c r="I74" s="680"/>
      <c r="J74" s="683"/>
    </row>
    <row r="75" spans="2:11">
      <c r="B75" s="287" t="str">
        <f>CONCATENATE("",E$1-2,"/",E$1-1," Budget Authority Amount:")</f>
        <v>2011/2012 Budget Authority Amount:</v>
      </c>
      <c r="C75" s="279">
        <f>inputOth!B38</f>
        <v>2886779</v>
      </c>
      <c r="D75" s="279">
        <f>inputPrYr!D24</f>
        <v>3096854</v>
      </c>
      <c r="E75" s="337" t="s">
        <v>146</v>
      </c>
      <c r="F75" s="320"/>
      <c r="G75" s="681">
        <f>IF(E79&gt;0,E78,E80)</f>
        <v>2576569</v>
      </c>
      <c r="H75" s="652" t="str">
        <f>CONCATENATE("",E1," Ad Valorem Tax (est.)")</f>
        <v>2013 Ad Valorem Tax (est.)</v>
      </c>
      <c r="I75" s="680"/>
      <c r="J75" s="683"/>
      <c r="K75" s="666" t="str">
        <f>IF(G75=E80,"","Note: Does not include Delinquent Taxes")</f>
        <v>Note: Does not include Delinquent Taxes</v>
      </c>
    </row>
    <row r="76" spans="2:11">
      <c r="B76" s="287"/>
      <c r="C76" s="774" t="s">
        <v>684</v>
      </c>
      <c r="D76" s="775"/>
      <c r="E76" s="112"/>
      <c r="F76" s="502" t="str">
        <f>IF(E73/0.95-E73&lt;E76,"Exceeds 5%","")</f>
        <v/>
      </c>
      <c r="G76" s="689">
        <f>SUM(G73:G75)</f>
        <v>3177331</v>
      </c>
      <c r="H76" s="652" t="str">
        <f>CONCATENATE("Total ",E1," Resources Available")</f>
        <v>Total 2013 Resources Available</v>
      </c>
      <c r="I76" s="690"/>
      <c r="J76" s="683"/>
    </row>
    <row r="77" spans="2:11">
      <c r="B77" s="505" t="str">
        <f>CONCATENATE(C93,"     ",D93)</f>
        <v xml:space="preserve">     </v>
      </c>
      <c r="C77" s="776" t="s">
        <v>685</v>
      </c>
      <c r="D77" s="777"/>
      <c r="E77" s="265">
        <f>E73+E76</f>
        <v>3177331</v>
      </c>
      <c r="G77" s="691"/>
      <c r="H77" s="692"/>
      <c r="I77" s="651"/>
      <c r="J77" s="683"/>
    </row>
    <row r="78" spans="2:11">
      <c r="B78" s="505" t="str">
        <f>CONCATENATE(C94,"     ",D94)</f>
        <v xml:space="preserve">     </v>
      </c>
      <c r="C78" s="321"/>
      <c r="D78" s="240" t="s">
        <v>171</v>
      </c>
      <c r="E78" s="120">
        <f>IF(E77-E61&gt;0,E77-E61,0)</f>
        <v>2576569</v>
      </c>
      <c r="G78" s="693">
        <f>ROUND(C73*0.05+C73,0)</f>
        <v>2878058</v>
      </c>
      <c r="H78" s="652" t="str">
        <f>CONCATENATE("Less ",E1-2," Expenditures + 5%")</f>
        <v>Less 2011 Expenditures + 5%</v>
      </c>
      <c r="I78" s="690"/>
      <c r="J78" s="683"/>
    </row>
    <row r="79" spans="2:11">
      <c r="B79" s="240"/>
      <c r="C79" s="504" t="s">
        <v>686</v>
      </c>
      <c r="D79" s="649">
        <f>inputOth!$E$23</f>
        <v>0.05</v>
      </c>
      <c r="E79" s="265">
        <f>ROUND(IF(D79&gt;0,($E$78*D79),0),0)</f>
        <v>128828</v>
      </c>
      <c r="G79" s="694">
        <f>G76-G78</f>
        <v>299273</v>
      </c>
      <c r="H79" s="685" t="str">
        <f>CONCATENATE("Projected ",E1+1," carryover (est.)")</f>
        <v>Projected 2014 carryover (est.)</v>
      </c>
      <c r="I79" s="695"/>
      <c r="J79" s="696"/>
    </row>
    <row r="80" spans="2:11">
      <c r="B80" s="85"/>
      <c r="C80" s="782" t="str">
        <f>CONCATENATE("Amount of  ",$E$1-1," Ad Valorem Tax")</f>
        <v>Amount of  2012 Ad Valorem Tax</v>
      </c>
      <c r="D80" s="783"/>
      <c r="E80" s="348">
        <f>E78+E79</f>
        <v>2705397</v>
      </c>
      <c r="G80" s="1"/>
      <c r="H80" s="1"/>
      <c r="I80" s="1"/>
      <c r="J80" s="1"/>
    </row>
    <row r="81" spans="2:10">
      <c r="B81" s="287" t="s">
        <v>190</v>
      </c>
      <c r="C81" s="349"/>
      <c r="D81" s="85"/>
      <c r="E81" s="85"/>
      <c r="G81" s="787" t="s">
        <v>840</v>
      </c>
      <c r="H81" s="788"/>
      <c r="I81" s="788"/>
      <c r="J81" s="789"/>
    </row>
    <row r="82" spans="2:10">
      <c r="G82" s="668"/>
      <c r="H82" s="669"/>
      <c r="I82" s="670"/>
      <c r="J82" s="671"/>
    </row>
    <row r="83" spans="2:10">
      <c r="G83" s="672">
        <f>summ!H24</f>
        <v>12.692</v>
      </c>
      <c r="H83" s="669" t="str">
        <f>CONCATENATE("",E1," Fund Mill Rate")</f>
        <v>2013 Fund Mill Rate</v>
      </c>
      <c r="I83" s="670"/>
      <c r="J83" s="671"/>
    </row>
    <row r="84" spans="2:10">
      <c r="G84" s="673">
        <f>summ!E24</f>
        <v>12.664</v>
      </c>
      <c r="H84" s="669" t="str">
        <f>CONCATENATE("",E1-1," Fund Mill Rate")</f>
        <v>2012 Fund Mill Rate</v>
      </c>
      <c r="I84" s="670"/>
      <c r="J84" s="671"/>
    </row>
    <row r="85" spans="2:10">
      <c r="G85" s="674">
        <f>summ!H61</f>
        <v>59.232000000000006</v>
      </c>
      <c r="H85" s="669" t="str">
        <f>CONCATENATE("Total ",E1," Mill Rate")</f>
        <v>Total 2013 Mill Rate</v>
      </c>
      <c r="I85" s="670"/>
      <c r="J85" s="671"/>
    </row>
    <row r="86" spans="2:10">
      <c r="G86" s="673">
        <f>summ!E61</f>
        <v>59.207000000000001</v>
      </c>
      <c r="H86" s="675" t="str">
        <f>CONCATENATE("Total ",E1-1," Mill Rate")</f>
        <v>Total 2012 Mill Rate</v>
      </c>
      <c r="I86" s="676"/>
      <c r="J86" s="677"/>
    </row>
    <row r="91" spans="2:10" hidden="1">
      <c r="C91" s="72" t="str">
        <f>IF(C33&gt;C35,"See Tab A","")</f>
        <v/>
      </c>
      <c r="D91" s="72" t="str">
        <f>IF(D33&gt;D35,"See Tab C","")</f>
        <v/>
      </c>
    </row>
    <row r="92" spans="2:10" hidden="1">
      <c r="C92" s="72" t="str">
        <f>IF(C34&lt;0,"See Tab B","")</f>
        <v/>
      </c>
      <c r="D92" s="72" t="str">
        <f>IF(D34&lt;0,"See Tab D","")</f>
        <v/>
      </c>
    </row>
    <row r="93" spans="2:10" hidden="1">
      <c r="C93" s="72" t="str">
        <f>IF(C73&gt;C75,"See Tab A","")</f>
        <v/>
      </c>
      <c r="D93" s="72" t="str">
        <f>IF(D73&gt;D75,"See Tab C","")</f>
        <v/>
      </c>
    </row>
    <row r="94" spans="2:10" hidden="1">
      <c r="C94" s="72" t="str">
        <f>IF(C74&lt;0,"See Tab B","")</f>
        <v/>
      </c>
      <c r="D94" s="72" t="str">
        <f>IF(D74&lt;0,"See Tab D","")</f>
        <v/>
      </c>
    </row>
  </sheetData>
  <sheetProtection sheet="1"/>
  <mergeCells count="12">
    <mergeCell ref="G81:J81"/>
    <mergeCell ref="C36:D36"/>
    <mergeCell ref="C37:D37"/>
    <mergeCell ref="C76:D76"/>
    <mergeCell ref="C77:D77"/>
    <mergeCell ref="C80:D80"/>
    <mergeCell ref="C40:D40"/>
    <mergeCell ref="G24:J24"/>
    <mergeCell ref="G31:J31"/>
    <mergeCell ref="G41:J41"/>
    <mergeCell ref="G64:J64"/>
    <mergeCell ref="G71:J71"/>
  </mergeCells>
  <phoneticPr fontId="0" type="noConversion"/>
  <conditionalFormatting sqref="E71">
    <cfRule type="cellIs" dxfId="332" priority="3" stopIfTrue="1" operator="greaterThan">
      <formula>$E$73*0.1</formula>
    </cfRule>
  </conditionalFormatting>
  <conditionalFormatting sqref="E76">
    <cfRule type="cellIs" dxfId="331" priority="4" stopIfTrue="1" operator="greaterThan">
      <formula>$E$73/0.95-$E$73</formula>
    </cfRule>
  </conditionalFormatting>
  <conditionalFormatting sqref="E36">
    <cfRule type="cellIs" dxfId="330" priority="5" stopIfTrue="1" operator="greaterThan">
      <formula>$E$33/0.95-$E$33</formula>
    </cfRule>
  </conditionalFormatting>
  <conditionalFormatting sqref="E31">
    <cfRule type="cellIs" dxfId="329" priority="6" stopIfTrue="1" operator="greaterThan">
      <formula>$E$33*0.1</formula>
    </cfRule>
  </conditionalFormatting>
  <conditionalFormatting sqref="C74 C34">
    <cfRule type="cellIs" dxfId="328" priority="7" stopIfTrue="1" operator="lessThan">
      <formula>0</formula>
    </cfRule>
  </conditionalFormatting>
  <conditionalFormatting sqref="C73">
    <cfRule type="cellIs" dxfId="327" priority="8" stopIfTrue="1" operator="greaterThan">
      <formula>$C$75</formula>
    </cfRule>
  </conditionalFormatting>
  <conditionalFormatting sqref="D73">
    <cfRule type="cellIs" dxfId="326" priority="9" stopIfTrue="1" operator="greaterThan">
      <formula>$D$75</formula>
    </cfRule>
  </conditionalFormatting>
  <conditionalFormatting sqref="C71">
    <cfRule type="cellIs" dxfId="325" priority="10" stopIfTrue="1" operator="greaterThan">
      <formula>$C$73*0.1</formula>
    </cfRule>
  </conditionalFormatting>
  <conditionalFormatting sqref="D71">
    <cfRule type="cellIs" dxfId="324" priority="11" stopIfTrue="1" operator="greaterThan">
      <formula>$D$73*0.1</formula>
    </cfRule>
  </conditionalFormatting>
  <conditionalFormatting sqref="E58">
    <cfRule type="cellIs" dxfId="323" priority="12" stopIfTrue="1" operator="greaterThan">
      <formula>$E$60*0.1+E80</formula>
    </cfRule>
  </conditionalFormatting>
  <conditionalFormatting sqref="C58">
    <cfRule type="cellIs" dxfId="322" priority="13" stopIfTrue="1" operator="greaterThan">
      <formula>$C$60*0.1</formula>
    </cfRule>
  </conditionalFormatting>
  <conditionalFormatting sqref="D58">
    <cfRule type="cellIs" dxfId="321" priority="14" stopIfTrue="1" operator="greaterThan">
      <formula>$D$60*0.1</formula>
    </cfRule>
  </conditionalFormatting>
  <conditionalFormatting sqref="C33">
    <cfRule type="cellIs" dxfId="320" priority="15" stopIfTrue="1" operator="greaterThan">
      <formula>$C$35</formula>
    </cfRule>
  </conditionalFormatting>
  <conditionalFormatting sqref="D33">
    <cfRule type="cellIs" dxfId="319" priority="16" stopIfTrue="1" operator="greaterThan">
      <formula>$D$35</formula>
    </cfRule>
  </conditionalFormatting>
  <conditionalFormatting sqref="C31">
    <cfRule type="cellIs" dxfId="318" priority="17" stopIfTrue="1" operator="greaterThan">
      <formula>$C$33*0.1</formula>
    </cfRule>
  </conditionalFormatting>
  <conditionalFormatting sqref="D31">
    <cfRule type="cellIs" dxfId="317" priority="18" stopIfTrue="1" operator="greaterThan">
      <formula>$D$33*0.1</formula>
    </cfRule>
  </conditionalFormatting>
  <conditionalFormatting sqref="E18">
    <cfRule type="cellIs" dxfId="316" priority="19" stopIfTrue="1" operator="greaterThan">
      <formula>$E$20*0.1+E40</formula>
    </cfRule>
  </conditionalFormatting>
  <conditionalFormatting sqref="C18">
    <cfRule type="cellIs" dxfId="315" priority="20" stopIfTrue="1" operator="greaterThan">
      <formula>$C$20*0.1</formula>
    </cfRule>
  </conditionalFormatting>
  <conditionalFormatting sqref="D18">
    <cfRule type="cellIs" dxfId="314" priority="21" stopIfTrue="1" operator="greaterThan">
      <formula>$D$20*0.1</formula>
    </cfRule>
  </conditionalFormatting>
  <conditionalFormatting sqref="D34 D74">
    <cfRule type="cellIs" dxfId="313" priority="2" stopIfTrue="1" operator="lessThan">
      <formula>0</formula>
    </cfRule>
  </conditionalFormatting>
  <pageMargins left="1.1200000000000001" right="0.5" top="0.74" bottom="0.34" header="0.5" footer="0"/>
  <pageSetup scale="54" orientation="portrait" blackAndWhite="1" r:id="rId1"/>
  <headerFooter alignWithMargins="0">
    <oddHeader xml:space="preserve">&amp;RState of Kansas
County
</oddHeader>
  </headerFooter>
</worksheet>
</file>

<file path=xl/worksheets/sheet21.xml><?xml version="1.0" encoding="utf-8"?>
<worksheet xmlns="http://schemas.openxmlformats.org/spreadsheetml/2006/main" xmlns:r="http://schemas.openxmlformats.org/officeDocument/2006/relationships">
  <sheetPr codeName="Sheet16">
    <pageSetUpPr fitToPage="1"/>
  </sheetPr>
  <dimension ref="B1:K94"/>
  <sheetViews>
    <sheetView topLeftCell="A64" zoomScaleNormal="100" workbookViewId="0">
      <selection activeCell="I56" sqref="I56"/>
    </sheetView>
  </sheetViews>
  <sheetFormatPr defaultColWidth="8.88671875" defaultRowHeight="15.75"/>
  <cols>
    <col min="1" max="1" width="2.44140625" style="72" customWidth="1"/>
    <col min="2" max="2" width="31.109375" style="72" customWidth="1"/>
    <col min="3" max="4" width="15.77734375" style="72" customWidth="1"/>
    <col min="5" max="5" width="16.21875" style="72" customWidth="1"/>
    <col min="6" max="6" width="7.44140625" style="72" customWidth="1"/>
    <col min="7" max="7" width="10.21875" style="72" customWidth="1"/>
    <col min="8" max="8" width="8.88671875" style="72"/>
    <col min="9" max="9" width="5" style="72" customWidth="1"/>
    <col min="10" max="10" width="10" style="72" customWidth="1"/>
    <col min="11" max="16384" width="8.88671875" style="72"/>
  </cols>
  <sheetData>
    <row r="1" spans="2:5">
      <c r="B1" s="228" t="str">
        <f>(inputPrYr!C2)</f>
        <v>Franklin County</v>
      </c>
      <c r="C1" s="85"/>
      <c r="D1" s="85"/>
      <c r="E1" s="286">
        <f>inputPrYr!C4</f>
        <v>2013</v>
      </c>
    </row>
    <row r="2" spans="2:5">
      <c r="B2" s="85"/>
      <c r="C2" s="85"/>
      <c r="D2" s="85"/>
      <c r="E2" s="240"/>
    </row>
    <row r="3" spans="2:5">
      <c r="B3" s="152" t="s">
        <v>238</v>
      </c>
      <c r="C3" s="333"/>
      <c r="D3" s="333"/>
      <c r="E3" s="334"/>
    </row>
    <row r="4" spans="2:5">
      <c r="B4" s="84" t="s">
        <v>159</v>
      </c>
      <c r="C4" s="703" t="s">
        <v>841</v>
      </c>
      <c r="D4" s="704" t="s">
        <v>842</v>
      </c>
      <c r="E4" s="215" t="s">
        <v>843</v>
      </c>
    </row>
    <row r="5" spans="2:5">
      <c r="B5" s="484" t="str">
        <f>inputPrYr!B25</f>
        <v>Health Department</v>
      </c>
      <c r="C5" s="455" t="str">
        <f>CONCATENATE("Actual for ",E1-2,"")</f>
        <v>Actual for 2011</v>
      </c>
      <c r="D5" s="455" t="str">
        <f>CONCATENATE("Estimate for ",E1-1,"")</f>
        <v>Estimate for 2012</v>
      </c>
      <c r="E5" s="302" t="str">
        <f>CONCATENATE("Year for ",E1,"")</f>
        <v>Year for 2013</v>
      </c>
    </row>
    <row r="6" spans="2:5">
      <c r="B6" s="148" t="s">
        <v>280</v>
      </c>
      <c r="C6" s="452">
        <v>271248</v>
      </c>
      <c r="D6" s="456">
        <f>C34</f>
        <v>194303</v>
      </c>
      <c r="E6" s="265">
        <f>D34</f>
        <v>33339</v>
      </c>
    </row>
    <row r="7" spans="2:5">
      <c r="B7" s="290" t="s">
        <v>282</v>
      </c>
      <c r="C7" s="305"/>
      <c r="D7" s="305"/>
      <c r="E7" s="127"/>
    </row>
    <row r="8" spans="2:5">
      <c r="B8" s="148" t="s">
        <v>160</v>
      </c>
      <c r="C8" s="452">
        <v>134729</v>
      </c>
      <c r="D8" s="456">
        <f>IF(inputPrYr!H25&gt;0,inputPrYr!H25,inputPrYr!E25)</f>
        <v>222836</v>
      </c>
      <c r="E8" s="337" t="s">
        <v>146</v>
      </c>
    </row>
    <row r="9" spans="2:5">
      <c r="B9" s="148" t="s">
        <v>161</v>
      </c>
      <c r="C9" s="452">
        <v>10164</v>
      </c>
      <c r="D9" s="452">
        <v>6500</v>
      </c>
      <c r="E9" s="112">
        <v>3500</v>
      </c>
    </row>
    <row r="10" spans="2:5">
      <c r="B10" s="148" t="s">
        <v>162</v>
      </c>
      <c r="C10" s="452">
        <v>23453</v>
      </c>
      <c r="D10" s="452">
        <v>16880</v>
      </c>
      <c r="E10" s="265">
        <f>mvalloc!E16</f>
        <v>26627</v>
      </c>
    </row>
    <row r="11" spans="2:5">
      <c r="B11" s="148" t="s">
        <v>163</v>
      </c>
      <c r="C11" s="452">
        <v>463</v>
      </c>
      <c r="D11" s="452">
        <v>365</v>
      </c>
      <c r="E11" s="265">
        <f>mvalloc!F16</f>
        <v>411</v>
      </c>
    </row>
    <row r="12" spans="2:5">
      <c r="B12" s="305" t="s">
        <v>229</v>
      </c>
      <c r="C12" s="452">
        <v>838</v>
      </c>
      <c r="D12" s="452">
        <v>578</v>
      </c>
      <c r="E12" s="265">
        <f>mvalloc!G16</f>
        <v>784</v>
      </c>
    </row>
    <row r="13" spans="2:5">
      <c r="B13" s="318" t="s">
        <v>1011</v>
      </c>
      <c r="C13" s="452">
        <v>331051</v>
      </c>
      <c r="D13" s="452">
        <v>155000</v>
      </c>
      <c r="E13" s="112">
        <v>180000</v>
      </c>
    </row>
    <row r="14" spans="2:5">
      <c r="B14" s="318" t="s">
        <v>1016</v>
      </c>
      <c r="C14" s="452">
        <v>216032</v>
      </c>
      <c r="D14" s="452">
        <v>283501</v>
      </c>
      <c r="E14" s="112">
        <v>285730</v>
      </c>
    </row>
    <row r="15" spans="2:5">
      <c r="B15" s="318"/>
      <c r="C15" s="452"/>
      <c r="D15" s="452"/>
      <c r="E15" s="112"/>
    </row>
    <row r="16" spans="2:5">
      <c r="B16" s="318"/>
      <c r="C16" s="452"/>
      <c r="D16" s="452"/>
      <c r="E16" s="112"/>
    </row>
    <row r="17" spans="2:10">
      <c r="B17" s="308"/>
      <c r="C17" s="452"/>
      <c r="D17" s="452"/>
      <c r="E17" s="112"/>
    </row>
    <row r="18" spans="2:10">
      <c r="B18" s="309" t="s">
        <v>73</v>
      </c>
      <c r="C18" s="452"/>
      <c r="D18" s="452"/>
      <c r="E18" s="112"/>
    </row>
    <row r="19" spans="2:10">
      <c r="B19" s="309" t="s">
        <v>681</v>
      </c>
      <c r="C19" s="453" t="str">
        <f>IF(C20*0.1&lt;C18,"Exceed 10% Rule","")</f>
        <v/>
      </c>
      <c r="D19" s="453" t="str">
        <f>IF(D20*0.1&lt;D18,"Exceed 10% Rule","")</f>
        <v/>
      </c>
      <c r="E19" s="344" t="str">
        <f>IF(E20*0.1+E40&lt;E18,"Exceed 10% Rule","")</f>
        <v/>
      </c>
    </row>
    <row r="20" spans="2:10">
      <c r="B20" s="311" t="s">
        <v>165</v>
      </c>
      <c r="C20" s="454">
        <f>SUM(C8:C18)</f>
        <v>716730</v>
      </c>
      <c r="D20" s="454">
        <f>SUM(D8:D18)</f>
        <v>685660</v>
      </c>
      <c r="E20" s="352">
        <f>SUM(E8:E18)</f>
        <v>497052</v>
      </c>
    </row>
    <row r="21" spans="2:10">
      <c r="B21" s="311" t="s">
        <v>166</v>
      </c>
      <c r="C21" s="454">
        <f>C6+C20</f>
        <v>987978</v>
      </c>
      <c r="D21" s="454">
        <f>D6+D20</f>
        <v>879963</v>
      </c>
      <c r="E21" s="352">
        <f>E6+E20</f>
        <v>530391</v>
      </c>
    </row>
    <row r="22" spans="2:10">
      <c r="B22" s="148" t="s">
        <v>169</v>
      </c>
      <c r="C22" s="309"/>
      <c r="D22" s="309"/>
      <c r="E22" s="108"/>
    </row>
    <row r="23" spans="2:10">
      <c r="B23" s="318" t="s">
        <v>174</v>
      </c>
      <c r="C23" s="452">
        <v>502157</v>
      </c>
      <c r="D23" s="452">
        <v>529874</v>
      </c>
      <c r="E23" s="112">
        <v>578517</v>
      </c>
    </row>
    <row r="24" spans="2:10">
      <c r="B24" s="318" t="s">
        <v>175</v>
      </c>
      <c r="C24" s="452">
        <v>92923</v>
      </c>
      <c r="D24" s="452">
        <v>106250</v>
      </c>
      <c r="E24" s="112">
        <v>115300</v>
      </c>
      <c r="G24" s="784" t="str">
        <f>CONCATENATE("Desired Carryover Into ",E1+1,"")</f>
        <v>Desired Carryover Into 2014</v>
      </c>
      <c r="H24" s="785"/>
      <c r="I24" s="785"/>
      <c r="J24" s="786"/>
    </row>
    <row r="25" spans="2:10">
      <c r="B25" s="318" t="s">
        <v>176</v>
      </c>
      <c r="C25" s="452">
        <v>199416</v>
      </c>
      <c r="D25" s="452">
        <v>209500</v>
      </c>
      <c r="E25" s="112">
        <v>223400</v>
      </c>
      <c r="G25" s="650"/>
      <c r="H25" s="651"/>
      <c r="I25" s="652"/>
      <c r="J25" s="653"/>
    </row>
    <row r="26" spans="2:10">
      <c r="B26" s="318" t="s">
        <v>177</v>
      </c>
      <c r="C26" s="452">
        <v>1460</v>
      </c>
      <c r="D26" s="452">
        <v>1000</v>
      </c>
      <c r="E26" s="112">
        <v>2000</v>
      </c>
      <c r="G26" s="654" t="s">
        <v>687</v>
      </c>
      <c r="H26" s="652"/>
      <c r="I26" s="652"/>
      <c r="J26" s="655">
        <v>0</v>
      </c>
    </row>
    <row r="27" spans="2:10">
      <c r="B27" s="318" t="s">
        <v>958</v>
      </c>
      <c r="C27" s="452">
        <v>-2281</v>
      </c>
      <c r="D27" s="452">
        <v>0</v>
      </c>
      <c r="E27" s="112">
        <v>0</v>
      </c>
      <c r="G27" s="650" t="s">
        <v>688</v>
      </c>
      <c r="H27" s="651"/>
      <c r="I27" s="651"/>
      <c r="J27" s="656" t="str">
        <f>IF(J26=0,"",ROUND((J26+E40-G39)/inputOth!E6*1000,3)-G44)</f>
        <v/>
      </c>
    </row>
    <row r="28" spans="2:10">
      <c r="B28" s="318"/>
      <c r="C28" s="452"/>
      <c r="D28" s="452"/>
      <c r="E28" s="112"/>
      <c r="G28" s="657" t="str">
        <f>CONCATENATE("",E1," Tot Exp/Non-Appr Must Be:")</f>
        <v>2013 Tot Exp/Non-Appr Must Be:</v>
      </c>
      <c r="H28" s="658"/>
      <c r="I28" s="659"/>
      <c r="J28" s="660">
        <f>IF(J26&gt;0,IF(E37&lt;E21,IF(J26=G39,E37,((J26-G39)*(1-D39))+E21),E37+(J26-G39)),0)</f>
        <v>0</v>
      </c>
    </row>
    <row r="29" spans="2:10">
      <c r="B29" s="318"/>
      <c r="C29" s="452"/>
      <c r="D29" s="452"/>
      <c r="E29" s="112"/>
      <c r="G29" s="661" t="s">
        <v>839</v>
      </c>
      <c r="H29" s="662"/>
      <c r="I29" s="662"/>
      <c r="J29" s="663">
        <f>IF(J26&gt;0,J28-E37,0)</f>
        <v>0</v>
      </c>
    </row>
    <row r="30" spans="2:10">
      <c r="B30" s="309" t="s">
        <v>75</v>
      </c>
      <c r="C30" s="452"/>
      <c r="D30" s="452"/>
      <c r="E30" s="120">
        <f>Nhood!E15</f>
        <v>1136</v>
      </c>
      <c r="G30" s="1"/>
      <c r="H30" s="1"/>
      <c r="I30" s="1"/>
      <c r="J30" s="1"/>
    </row>
    <row r="31" spans="2:10">
      <c r="B31" s="309" t="s">
        <v>73</v>
      </c>
      <c r="C31" s="452"/>
      <c r="D31" s="452"/>
      <c r="E31" s="112"/>
      <c r="G31" s="784" t="str">
        <f>CONCATENATE("Projected Carryover Into ",E1+1,"")</f>
        <v>Projected Carryover Into 2014</v>
      </c>
      <c r="H31" s="791"/>
      <c r="I31" s="791"/>
      <c r="J31" s="792"/>
    </row>
    <row r="32" spans="2:10">
      <c r="B32" s="309" t="s">
        <v>680</v>
      </c>
      <c r="C32" s="453" t="str">
        <f>IF(C33*0.1&lt;C31,"Exceed 10% Rule","")</f>
        <v/>
      </c>
      <c r="D32" s="453" t="str">
        <f>IF(D33*0.1&lt;D31,"Exceed 10% Rule","")</f>
        <v/>
      </c>
      <c r="E32" s="344" t="str">
        <f>IF(E33*0.1&lt;E31,"Exceed 10% Rule","")</f>
        <v/>
      </c>
      <c r="G32" s="650"/>
      <c r="H32" s="652"/>
      <c r="I32" s="652"/>
      <c r="J32" s="678"/>
    </row>
    <row r="33" spans="2:11">
      <c r="B33" s="311" t="s">
        <v>170</v>
      </c>
      <c r="C33" s="454">
        <f>SUM(C23:C31)</f>
        <v>793675</v>
      </c>
      <c r="D33" s="454">
        <f>SUM(D23:D31)</f>
        <v>846624</v>
      </c>
      <c r="E33" s="352">
        <f>SUM(E23:E31)</f>
        <v>920353</v>
      </c>
      <c r="G33" s="679">
        <f>D34</f>
        <v>33339</v>
      </c>
      <c r="H33" s="669" t="str">
        <f>CONCATENATE("",E1-1," Ending Cash Balance (est.)")</f>
        <v>2012 Ending Cash Balance (est.)</v>
      </c>
      <c r="I33" s="680"/>
      <c r="J33" s="678"/>
    </row>
    <row r="34" spans="2:11">
      <c r="B34" s="148" t="s">
        <v>281</v>
      </c>
      <c r="C34" s="457">
        <f>C21-C33</f>
        <v>194303</v>
      </c>
      <c r="D34" s="457">
        <f>D21-D33</f>
        <v>33339</v>
      </c>
      <c r="E34" s="337" t="s">
        <v>146</v>
      </c>
      <c r="G34" s="679">
        <f>E20</f>
        <v>497052</v>
      </c>
      <c r="H34" s="652" t="str">
        <f>CONCATENATE("",E1," Non-AV Receipts (est.)")</f>
        <v>2013 Non-AV Receipts (est.)</v>
      </c>
      <c r="I34" s="680"/>
      <c r="J34" s="678"/>
    </row>
    <row r="35" spans="2:11">
      <c r="B35" s="287" t="str">
        <f>CONCATENATE("",E$1-2,"/",E$1-1," Budget Authority Amount:")</f>
        <v>2011/2012 Budget Authority Amount:</v>
      </c>
      <c r="C35" s="279">
        <f>inputOth!B39</f>
        <v>807319</v>
      </c>
      <c r="D35" s="279">
        <f>inputPrYr!D25</f>
        <v>846813</v>
      </c>
      <c r="E35" s="337" t="s">
        <v>146</v>
      </c>
      <c r="F35" s="320"/>
      <c r="G35" s="681">
        <f>IF(E39&gt;0,E38,E40)</f>
        <v>389962</v>
      </c>
      <c r="H35" s="652" t="str">
        <f>CONCATENATE("",E1," Ad Valorem Tax (est.)")</f>
        <v>2013 Ad Valorem Tax (est.)</v>
      </c>
      <c r="I35" s="680"/>
      <c r="J35" s="678"/>
      <c r="K35" s="666" t="str">
        <f>IF(G35=E40,"","Note: Does not include Delinquent Taxes")</f>
        <v>Note: Does not include Delinquent Taxes</v>
      </c>
    </row>
    <row r="36" spans="2:11">
      <c r="B36" s="287"/>
      <c r="C36" s="774" t="s">
        <v>684</v>
      </c>
      <c r="D36" s="775"/>
      <c r="E36" s="112"/>
      <c r="F36" s="502" t="str">
        <f>IF(E33/0.95-E33&lt;E36,"Exceeds 5%","")</f>
        <v/>
      </c>
      <c r="G36" s="679">
        <f>SUM(G33:G35)</f>
        <v>920353</v>
      </c>
      <c r="H36" s="652" t="str">
        <f>CONCATENATE("Total ",E1," Resources Available")</f>
        <v>Total 2013 Resources Available</v>
      </c>
      <c r="I36" s="680"/>
      <c r="J36" s="678"/>
    </row>
    <row r="37" spans="2:11">
      <c r="B37" s="506" t="str">
        <f>CONCATENATE(C91,"     ",D91)</f>
        <v xml:space="preserve">     </v>
      </c>
      <c r="C37" s="776" t="s">
        <v>685</v>
      </c>
      <c r="D37" s="777"/>
      <c r="E37" s="265">
        <f>E33+E36</f>
        <v>920353</v>
      </c>
      <c r="G37" s="682"/>
      <c r="H37" s="652"/>
      <c r="I37" s="652"/>
      <c r="J37" s="678"/>
    </row>
    <row r="38" spans="2:11">
      <c r="B38" s="506" t="str">
        <f>CONCATENATE(C92,"     ",D92)</f>
        <v xml:space="preserve">     </v>
      </c>
      <c r="C38" s="321"/>
      <c r="D38" s="240" t="s">
        <v>171</v>
      </c>
      <c r="E38" s="120">
        <f>IF(E37-E21&gt;0,E37-E21,0)</f>
        <v>389962</v>
      </c>
      <c r="G38" s="681">
        <f>ROUND(C33*0.05+C33,0)</f>
        <v>833359</v>
      </c>
      <c r="H38" s="652" t="str">
        <f>CONCATENATE("Less ",E1-2," Expenditures + 5%")</f>
        <v>Less 2011 Expenditures + 5%</v>
      </c>
      <c r="I38" s="680"/>
      <c r="J38" s="683"/>
    </row>
    <row r="39" spans="2:11">
      <c r="B39" s="240"/>
      <c r="C39" s="504" t="s">
        <v>686</v>
      </c>
      <c r="D39" s="649">
        <f>inputOth!$E$23</f>
        <v>0.05</v>
      </c>
      <c r="E39" s="265">
        <f>ROUND(IF(D39&gt;0,($E$38*D39),0),0)</f>
        <v>19498</v>
      </c>
      <c r="G39" s="684">
        <f>G36-G38</f>
        <v>86994</v>
      </c>
      <c r="H39" s="685" t="str">
        <f>CONCATENATE("Projected ",E1+1," carryover (est.)")</f>
        <v>Projected 2014 carryover (est.)</v>
      </c>
      <c r="I39" s="686"/>
      <c r="J39" s="687"/>
    </row>
    <row r="40" spans="2:11">
      <c r="B40" s="85"/>
      <c r="C40" s="782" t="str">
        <f>CONCATENATE("Amount of  ",$E$1-1," Ad Valorem Tax")</f>
        <v>Amount of  2012 Ad Valorem Tax</v>
      </c>
      <c r="D40" s="783"/>
      <c r="E40" s="348">
        <f>E38+E39</f>
        <v>409460</v>
      </c>
      <c r="G40" s="1"/>
      <c r="H40" s="1"/>
      <c r="I40" s="1"/>
      <c r="J40" s="1"/>
    </row>
    <row r="41" spans="2:11">
      <c r="B41" s="85"/>
      <c r="C41" s="327"/>
      <c r="D41" s="327"/>
      <c r="E41" s="327"/>
      <c r="G41" s="787" t="s">
        <v>840</v>
      </c>
      <c r="H41" s="788"/>
      <c r="I41" s="788"/>
      <c r="J41" s="789"/>
    </row>
    <row r="42" spans="2:11">
      <c r="B42" s="84" t="s">
        <v>159</v>
      </c>
      <c r="C42" s="703" t="str">
        <f t="shared" ref="C42:E43" si="0">C4</f>
        <v xml:space="preserve">Prior Year </v>
      </c>
      <c r="D42" s="704" t="str">
        <f t="shared" si="0"/>
        <v xml:space="preserve">Current Year </v>
      </c>
      <c r="E42" s="215" t="str">
        <f t="shared" si="0"/>
        <v xml:space="preserve">Proposed Budget </v>
      </c>
      <c r="G42" s="668"/>
      <c r="H42" s="669"/>
      <c r="I42" s="670"/>
      <c r="J42" s="671"/>
    </row>
    <row r="43" spans="2:11">
      <c r="B43" s="483" t="str">
        <f>inputPrYr!B26</f>
        <v>Noxious Weeds</v>
      </c>
      <c r="C43" s="455" t="str">
        <f t="shared" si="0"/>
        <v>Actual for 2011</v>
      </c>
      <c r="D43" s="455" t="str">
        <f t="shared" si="0"/>
        <v>Estimate for 2012</v>
      </c>
      <c r="E43" s="302" t="str">
        <f t="shared" si="0"/>
        <v>Year for 2013</v>
      </c>
      <c r="G43" s="672">
        <f>summ!H25</f>
        <v>1.921</v>
      </c>
      <c r="H43" s="669" t="str">
        <f>CONCATENATE("",E1," Fund Mill Rate")</f>
        <v>2013 Fund Mill Rate</v>
      </c>
      <c r="I43" s="670"/>
      <c r="J43" s="671"/>
    </row>
    <row r="44" spans="2:11">
      <c r="B44" s="148" t="s">
        <v>280</v>
      </c>
      <c r="C44" s="452">
        <v>25525</v>
      </c>
      <c r="D44" s="456">
        <f>C74</f>
        <v>38090</v>
      </c>
      <c r="E44" s="265">
        <f>D74</f>
        <v>47219</v>
      </c>
      <c r="G44" s="673">
        <f>summ!E25</f>
        <v>1.0720000000000001</v>
      </c>
      <c r="H44" s="669" t="str">
        <f>CONCATENATE("",E1-1," Fund Mill Rate")</f>
        <v>2012 Fund Mill Rate</v>
      </c>
      <c r="I44" s="670"/>
      <c r="J44" s="671"/>
    </row>
    <row r="45" spans="2:11">
      <c r="B45" s="303" t="s">
        <v>282</v>
      </c>
      <c r="C45" s="305"/>
      <c r="D45" s="305"/>
      <c r="E45" s="127"/>
      <c r="G45" s="674">
        <f>summ!H61</f>
        <v>59.232000000000006</v>
      </c>
      <c r="H45" s="669" t="str">
        <f>CONCATENATE("Total ",E1," Mill Rate")</f>
        <v>Total 2013 Mill Rate</v>
      </c>
      <c r="I45" s="670"/>
      <c r="J45" s="671"/>
    </row>
    <row r="46" spans="2:11">
      <c r="B46" s="148" t="s">
        <v>160</v>
      </c>
      <c r="C46" s="452">
        <v>133342</v>
      </c>
      <c r="D46" s="456">
        <f>IF(inputPrYr!H26&gt;0,inputPrYr!H26,inputPrYr!E26)</f>
        <v>167619</v>
      </c>
      <c r="E46" s="337" t="s">
        <v>146</v>
      </c>
      <c r="G46" s="673">
        <f>summ!E61</f>
        <v>59.207000000000001</v>
      </c>
      <c r="H46" s="675" t="str">
        <f>CONCATENATE("Total ",E1-1," Mill Rate")</f>
        <v>Total 2012 Mill Rate</v>
      </c>
      <c r="I46" s="676"/>
      <c r="J46" s="677"/>
    </row>
    <row r="47" spans="2:11">
      <c r="B47" s="148" t="s">
        <v>161</v>
      </c>
      <c r="C47" s="452">
        <v>6642</v>
      </c>
      <c r="D47" s="452">
        <v>4000</v>
      </c>
      <c r="E47" s="112">
        <v>4000</v>
      </c>
      <c r="G47" s="1"/>
      <c r="H47" s="1"/>
      <c r="I47" s="1"/>
      <c r="J47" s="1"/>
    </row>
    <row r="48" spans="2:11">
      <c r="B48" s="148" t="s">
        <v>162</v>
      </c>
      <c r="C48" s="452">
        <v>19951</v>
      </c>
      <c r="D48" s="452">
        <v>16721</v>
      </c>
      <c r="E48" s="265">
        <f>mvalloc!E17</f>
        <v>20029</v>
      </c>
      <c r="G48" s="1"/>
      <c r="H48" s="1"/>
      <c r="I48" s="1"/>
      <c r="J48" s="1"/>
    </row>
    <row r="49" spans="2:10">
      <c r="B49" s="148" t="s">
        <v>163</v>
      </c>
      <c r="C49" s="452">
        <v>394</v>
      </c>
      <c r="D49" s="452">
        <v>361</v>
      </c>
      <c r="E49" s="265">
        <f>mvalloc!F17</f>
        <v>309</v>
      </c>
      <c r="G49" s="1"/>
      <c r="H49" s="1"/>
      <c r="I49" s="1"/>
      <c r="J49" s="1"/>
    </row>
    <row r="50" spans="2:10">
      <c r="B50" s="305" t="s">
        <v>229</v>
      </c>
      <c r="C50" s="452">
        <v>699</v>
      </c>
      <c r="D50" s="452">
        <v>572</v>
      </c>
      <c r="E50" s="265">
        <f>mvalloc!G17</f>
        <v>590</v>
      </c>
      <c r="G50" s="1"/>
      <c r="H50" s="1"/>
      <c r="I50" s="1"/>
      <c r="J50" s="1"/>
    </row>
    <row r="51" spans="2:10">
      <c r="B51" s="318" t="s">
        <v>1008</v>
      </c>
      <c r="C51" s="452">
        <v>0</v>
      </c>
      <c r="D51" s="452">
        <v>7000</v>
      </c>
      <c r="E51" s="112">
        <v>0</v>
      </c>
      <c r="G51" s="1"/>
      <c r="H51" s="1"/>
      <c r="I51" s="1"/>
      <c r="J51" s="1"/>
    </row>
    <row r="52" spans="2:10">
      <c r="B52" s="318">
        <v>0</v>
      </c>
      <c r="C52" s="452"/>
      <c r="D52" s="452"/>
      <c r="E52" s="112"/>
      <c r="G52" s="1"/>
      <c r="H52" s="1"/>
      <c r="I52" s="1"/>
      <c r="J52" s="1"/>
    </row>
    <row r="53" spans="2:10">
      <c r="B53" s="318"/>
      <c r="C53" s="452"/>
      <c r="D53" s="452"/>
      <c r="E53" s="112"/>
      <c r="G53" s="1"/>
      <c r="H53" s="1"/>
      <c r="I53" s="1"/>
      <c r="J53" s="1"/>
    </row>
    <row r="54" spans="2:10">
      <c r="B54" s="318"/>
      <c r="C54" s="452"/>
      <c r="D54" s="452"/>
      <c r="E54" s="112"/>
      <c r="G54" s="1"/>
      <c r="H54" s="1"/>
      <c r="I54" s="1"/>
      <c r="J54" s="1"/>
    </row>
    <row r="55" spans="2:10">
      <c r="B55" s="318"/>
      <c r="C55" s="452"/>
      <c r="D55" s="452"/>
      <c r="E55" s="112"/>
      <c r="G55" s="1"/>
      <c r="H55" s="1"/>
      <c r="I55" s="1"/>
      <c r="J55" s="1"/>
    </row>
    <row r="56" spans="2:10">
      <c r="B56" s="318"/>
      <c r="C56" s="452"/>
      <c r="D56" s="452"/>
      <c r="E56" s="112"/>
      <c r="G56" s="1"/>
      <c r="H56" s="1"/>
      <c r="I56" s="1"/>
      <c r="J56" s="1"/>
    </row>
    <row r="57" spans="2:10">
      <c r="B57" s="308"/>
      <c r="C57" s="452"/>
      <c r="D57" s="452"/>
      <c r="E57" s="112"/>
      <c r="G57" s="1"/>
      <c r="H57" s="1"/>
      <c r="I57" s="1"/>
      <c r="J57" s="1"/>
    </row>
    <row r="58" spans="2:10">
      <c r="B58" s="309" t="s">
        <v>73</v>
      </c>
      <c r="C58" s="452"/>
      <c r="D58" s="452"/>
      <c r="E58" s="112"/>
      <c r="G58" s="1"/>
      <c r="H58" s="1"/>
      <c r="I58" s="1"/>
      <c r="J58" s="1"/>
    </row>
    <row r="59" spans="2:10">
      <c r="B59" s="309" t="s">
        <v>681</v>
      </c>
      <c r="C59" s="453" t="str">
        <f>IF(C60*0.1&lt;C58,"Exceed 10% Rule","")</f>
        <v/>
      </c>
      <c r="D59" s="453" t="str">
        <f>IF(D60*0.1&lt;D58,"Exceed 10% Rule","")</f>
        <v/>
      </c>
      <c r="E59" s="344" t="str">
        <f>IF(E60*0.1+E80&lt;E58,"Exceed 10% Rule","")</f>
        <v/>
      </c>
      <c r="G59" s="1"/>
      <c r="H59" s="1"/>
      <c r="I59" s="1"/>
      <c r="J59" s="1"/>
    </row>
    <row r="60" spans="2:10">
      <c r="B60" s="311" t="s">
        <v>165</v>
      </c>
      <c r="C60" s="454">
        <f>SUM(C46:C58)</f>
        <v>161028</v>
      </c>
      <c r="D60" s="454">
        <f>SUM(D46:D58)</f>
        <v>196273</v>
      </c>
      <c r="E60" s="352">
        <f>SUM(E46:E58)</f>
        <v>24928</v>
      </c>
      <c r="G60" s="1"/>
      <c r="H60" s="1"/>
      <c r="I60" s="1"/>
      <c r="J60" s="1"/>
    </row>
    <row r="61" spans="2:10">
      <c r="B61" s="311" t="s">
        <v>166</v>
      </c>
      <c r="C61" s="454">
        <f>C44+C60</f>
        <v>186553</v>
      </c>
      <c r="D61" s="454">
        <f>D44+D60</f>
        <v>234363</v>
      </c>
      <c r="E61" s="352">
        <f>E44+E60</f>
        <v>72147</v>
      </c>
      <c r="G61" s="1"/>
      <c r="H61" s="1"/>
      <c r="I61" s="1"/>
      <c r="J61" s="1"/>
    </row>
    <row r="62" spans="2:10">
      <c r="B62" s="148" t="s">
        <v>169</v>
      </c>
      <c r="C62" s="309"/>
      <c r="D62" s="309"/>
      <c r="E62" s="108"/>
      <c r="G62" s="1"/>
      <c r="H62" s="1"/>
      <c r="I62" s="1"/>
      <c r="J62" s="1"/>
    </row>
    <row r="63" spans="2:10">
      <c r="B63" s="318" t="s">
        <v>174</v>
      </c>
      <c r="C63" s="452">
        <v>128388</v>
      </c>
      <c r="D63" s="452">
        <v>123069</v>
      </c>
      <c r="E63" s="112">
        <v>124473</v>
      </c>
      <c r="G63" s="1"/>
      <c r="H63" s="1"/>
      <c r="I63" s="1"/>
      <c r="J63" s="1"/>
    </row>
    <row r="64" spans="2:10">
      <c r="B64" s="318" t="s">
        <v>175</v>
      </c>
      <c r="C64" s="452">
        <v>10013</v>
      </c>
      <c r="D64" s="452">
        <v>12275</v>
      </c>
      <c r="E64" s="112">
        <v>13375</v>
      </c>
      <c r="G64" s="784" t="str">
        <f>CONCATENATE("Desired Carryover Into ",E1+1,"")</f>
        <v>Desired Carryover Into 2014</v>
      </c>
      <c r="H64" s="785"/>
      <c r="I64" s="785"/>
      <c r="J64" s="786"/>
    </row>
    <row r="65" spans="2:11">
      <c r="B65" s="318" t="s">
        <v>176</v>
      </c>
      <c r="C65" s="452">
        <v>96470</v>
      </c>
      <c r="D65" s="452">
        <v>119000</v>
      </c>
      <c r="E65" s="112">
        <v>123700</v>
      </c>
      <c r="G65" s="650"/>
      <c r="H65" s="651"/>
      <c r="I65" s="652"/>
      <c r="J65" s="653"/>
    </row>
    <row r="66" spans="2:11">
      <c r="B66" s="318" t="s">
        <v>177</v>
      </c>
      <c r="C66" s="452">
        <v>829</v>
      </c>
      <c r="D66" s="452">
        <v>800</v>
      </c>
      <c r="E66" s="112">
        <v>800</v>
      </c>
      <c r="G66" s="654" t="s">
        <v>687</v>
      </c>
      <c r="H66" s="652"/>
      <c r="I66" s="652"/>
      <c r="J66" s="655">
        <v>0</v>
      </c>
    </row>
    <row r="67" spans="2:11">
      <c r="B67" s="318" t="s">
        <v>958</v>
      </c>
      <c r="C67" s="452">
        <v>-87237</v>
      </c>
      <c r="D67" s="452">
        <v>-68000</v>
      </c>
      <c r="E67" s="112">
        <v>-68000</v>
      </c>
      <c r="G67" s="650" t="s">
        <v>688</v>
      </c>
      <c r="H67" s="651"/>
      <c r="I67" s="651"/>
      <c r="J67" s="656" t="str">
        <f>IF(J66=0,"",ROUND((J66+E80-G79)/inputOth!E6*1000,3)-G84)</f>
        <v/>
      </c>
    </row>
    <row r="68" spans="2:11">
      <c r="B68" s="318"/>
      <c r="C68" s="452"/>
      <c r="D68" s="452"/>
      <c r="E68" s="112"/>
      <c r="G68" s="657" t="str">
        <f>CONCATENATE("",E1," Tot Exp/Non-Appr Must Be:")</f>
        <v>2013 Tot Exp/Non-Appr Must Be:</v>
      </c>
      <c r="H68" s="658"/>
      <c r="I68" s="659"/>
      <c r="J68" s="660">
        <f>IF(J66&gt;0,IF(E77&lt;E61,IF(J66=G79,E77,((J66-G79)*(1-D79))+E61),E77+(J66-G79)),0)</f>
        <v>0</v>
      </c>
    </row>
    <row r="69" spans="2:11">
      <c r="B69" s="318"/>
      <c r="C69" s="452"/>
      <c r="D69" s="452"/>
      <c r="E69" s="112"/>
      <c r="G69" s="661" t="s">
        <v>839</v>
      </c>
      <c r="H69" s="662"/>
      <c r="I69" s="662"/>
      <c r="J69" s="663">
        <f>IF(J66&gt;0,J68-E77,0)</f>
        <v>0</v>
      </c>
    </row>
    <row r="70" spans="2:11">
      <c r="B70" s="309" t="s">
        <v>75</v>
      </c>
      <c r="C70" s="452"/>
      <c r="D70" s="452"/>
      <c r="E70" s="120">
        <f>Nhood!E16</f>
        <v>357</v>
      </c>
      <c r="G70" s="1"/>
      <c r="H70" s="1"/>
      <c r="I70" s="1"/>
      <c r="J70" s="1"/>
    </row>
    <row r="71" spans="2:11">
      <c r="B71" s="309" t="s">
        <v>73</v>
      </c>
      <c r="C71" s="452"/>
      <c r="D71" s="452"/>
      <c r="E71" s="112"/>
      <c r="G71" s="784" t="str">
        <f>CONCATENATE("Projected Carryover Into ",E1+1,"")</f>
        <v>Projected Carryover Into 2014</v>
      </c>
      <c r="H71" s="793"/>
      <c r="I71" s="793"/>
      <c r="J71" s="792"/>
    </row>
    <row r="72" spans="2:11">
      <c r="B72" s="309" t="s">
        <v>680</v>
      </c>
      <c r="C72" s="453" t="str">
        <f>IF(C73*0.1&lt;C71,"Exceed 10% Rule","")</f>
        <v/>
      </c>
      <c r="D72" s="453" t="str">
        <f>IF(D73*0.1&lt;D71,"Exceed 10% Rule","")</f>
        <v/>
      </c>
      <c r="E72" s="344" t="str">
        <f>IF(E73*0.1&lt;E71,"Exceed 10% Rule","")</f>
        <v/>
      </c>
      <c r="G72" s="688"/>
      <c r="H72" s="651"/>
      <c r="I72" s="651"/>
      <c r="J72" s="683"/>
    </row>
    <row r="73" spans="2:11">
      <c r="B73" s="311" t="s">
        <v>170</v>
      </c>
      <c r="C73" s="454">
        <f>SUM(C63:C71)</f>
        <v>148463</v>
      </c>
      <c r="D73" s="454">
        <f>SUM(D63:D71)</f>
        <v>187144</v>
      </c>
      <c r="E73" s="352">
        <f>SUM(E63:E71)</f>
        <v>194705</v>
      </c>
      <c r="G73" s="679">
        <f>D74</f>
        <v>47219</v>
      </c>
      <c r="H73" s="669" t="str">
        <f>CONCATENATE("",E1-1," Ending Cash Balance (est.)")</f>
        <v>2012 Ending Cash Balance (est.)</v>
      </c>
      <c r="I73" s="680"/>
      <c r="J73" s="683"/>
    </row>
    <row r="74" spans="2:11">
      <c r="B74" s="148" t="s">
        <v>281</v>
      </c>
      <c r="C74" s="457">
        <f>C61-C73</f>
        <v>38090</v>
      </c>
      <c r="D74" s="457">
        <f>D61-D73</f>
        <v>47219</v>
      </c>
      <c r="E74" s="337" t="s">
        <v>146</v>
      </c>
      <c r="G74" s="679">
        <f>E60</f>
        <v>24928</v>
      </c>
      <c r="H74" s="652" t="str">
        <f>CONCATENATE("",E1," Non-AV Receipts (est.)")</f>
        <v>2013 Non-AV Receipts (est.)</v>
      </c>
      <c r="I74" s="680"/>
      <c r="J74" s="683"/>
    </row>
    <row r="75" spans="2:11">
      <c r="B75" s="287" t="str">
        <f>CONCATENATE("",E$1-2,"/",E$1-1," Budget Authority Amount:")</f>
        <v>2011/2012 Budget Authority Amount:</v>
      </c>
      <c r="C75" s="279">
        <f>inputOth!B40</f>
        <v>184725</v>
      </c>
      <c r="D75" s="279">
        <f>inputPrYr!D26</f>
        <v>191456</v>
      </c>
      <c r="E75" s="337" t="s">
        <v>146</v>
      </c>
      <c r="F75" s="320"/>
      <c r="G75" s="681">
        <f>IF(E79&gt;0,E78,E80)</f>
        <v>122558</v>
      </c>
      <c r="H75" s="652" t="str">
        <f>CONCATENATE("",E1," Ad Valorem Tax (est.)")</f>
        <v>2013 Ad Valorem Tax (est.)</v>
      </c>
      <c r="I75" s="680"/>
      <c r="J75" s="683"/>
      <c r="K75" s="666" t="str">
        <f>IF(G75=E80,"","Note: Does not include Delinquent Taxes")</f>
        <v>Note: Does not include Delinquent Taxes</v>
      </c>
    </row>
    <row r="76" spans="2:11">
      <c r="B76" s="287"/>
      <c r="C76" s="774" t="s">
        <v>684</v>
      </c>
      <c r="D76" s="775"/>
      <c r="E76" s="112"/>
      <c r="F76" s="502" t="str">
        <f>IF(E73/0.95-E73&lt;E76,"Exceeds 5%","")</f>
        <v/>
      </c>
      <c r="G76" s="689">
        <f>SUM(G73:G75)</f>
        <v>194705</v>
      </c>
      <c r="H76" s="652" t="str">
        <f>CONCATENATE("Total ",E1," Resources Available")</f>
        <v>Total 2013 Resources Available</v>
      </c>
      <c r="I76" s="690"/>
      <c r="J76" s="683"/>
    </row>
    <row r="77" spans="2:11">
      <c r="B77" s="505" t="str">
        <f>CONCATENATE(C93,"     ",D93)</f>
        <v xml:space="preserve">     </v>
      </c>
      <c r="C77" s="776" t="s">
        <v>685</v>
      </c>
      <c r="D77" s="777"/>
      <c r="E77" s="265">
        <f>E73+E76</f>
        <v>194705</v>
      </c>
      <c r="G77" s="691"/>
      <c r="H77" s="692"/>
      <c r="I77" s="651"/>
      <c r="J77" s="683"/>
    </row>
    <row r="78" spans="2:11">
      <c r="B78" s="505" t="str">
        <f>CONCATENATE(C94,"     ",D94)</f>
        <v xml:space="preserve">     </v>
      </c>
      <c r="C78" s="321"/>
      <c r="D78" s="240" t="s">
        <v>171</v>
      </c>
      <c r="E78" s="120">
        <f>IF(E77-E61&gt;0,E77-E61,0)</f>
        <v>122558</v>
      </c>
      <c r="G78" s="693">
        <f>ROUND(C73*0.05+C73,0)</f>
        <v>155886</v>
      </c>
      <c r="H78" s="652" t="str">
        <f>CONCATENATE("Less ",E1-2," Expenditures + 5%")</f>
        <v>Less 2011 Expenditures + 5%</v>
      </c>
      <c r="I78" s="690"/>
      <c r="J78" s="683"/>
    </row>
    <row r="79" spans="2:11">
      <c r="B79" s="240"/>
      <c r="C79" s="504" t="s">
        <v>686</v>
      </c>
      <c r="D79" s="649">
        <f>inputOth!$E$23</f>
        <v>0.05</v>
      </c>
      <c r="E79" s="265">
        <f>ROUND(IF(D79&gt;0,($E$78*D79),0),0)</f>
        <v>6128</v>
      </c>
      <c r="G79" s="694">
        <f>G76-G78</f>
        <v>38819</v>
      </c>
      <c r="H79" s="685" t="str">
        <f>CONCATENATE("Projected ",E1+1," carryover (est.)")</f>
        <v>Projected 2014 carryover (est.)</v>
      </c>
      <c r="I79" s="695"/>
      <c r="J79" s="696"/>
    </row>
    <row r="80" spans="2:11">
      <c r="B80" s="85"/>
      <c r="C80" s="782" t="str">
        <f>CONCATENATE("Amount of  ",$E$1-1," Ad Valorem Tax")</f>
        <v>Amount of  2012 Ad Valorem Tax</v>
      </c>
      <c r="D80" s="783"/>
      <c r="E80" s="348">
        <f>E78+E79</f>
        <v>128686</v>
      </c>
      <c r="G80" s="1"/>
      <c r="H80" s="1"/>
      <c r="I80" s="1"/>
      <c r="J80" s="1"/>
    </row>
    <row r="81" spans="2:10">
      <c r="B81" s="287" t="s">
        <v>190</v>
      </c>
      <c r="C81" s="349"/>
      <c r="D81" s="85"/>
      <c r="E81" s="85"/>
      <c r="G81" s="787" t="s">
        <v>840</v>
      </c>
      <c r="H81" s="788"/>
      <c r="I81" s="788"/>
      <c r="J81" s="789"/>
    </row>
    <row r="82" spans="2:10">
      <c r="G82" s="668"/>
      <c r="H82" s="669"/>
      <c r="I82" s="670"/>
      <c r="J82" s="671"/>
    </row>
    <row r="83" spans="2:10">
      <c r="G83" s="672">
        <f>summ!H26</f>
        <v>0.60399999999999998</v>
      </c>
      <c r="H83" s="669" t="str">
        <f>CONCATENATE("",E1," Fund Mill Rate")</f>
        <v>2013 Fund Mill Rate</v>
      </c>
      <c r="I83" s="670"/>
      <c r="J83" s="671"/>
    </row>
    <row r="84" spans="2:10">
      <c r="G84" s="673">
        <f>summ!E26</f>
        <v>0.80700000000000005</v>
      </c>
      <c r="H84" s="669" t="str">
        <f>CONCATENATE("",E1-1," Fund Mill Rate")</f>
        <v>2012 Fund Mill Rate</v>
      </c>
      <c r="I84" s="670"/>
      <c r="J84" s="671"/>
    </row>
    <row r="85" spans="2:10">
      <c r="G85" s="674">
        <f>summ!H61</f>
        <v>59.232000000000006</v>
      </c>
      <c r="H85" s="669" t="str">
        <f>CONCATENATE("Total ",E1," Mill Rate")</f>
        <v>Total 2013 Mill Rate</v>
      </c>
      <c r="I85" s="670"/>
      <c r="J85" s="671"/>
    </row>
    <row r="86" spans="2:10">
      <c r="G86" s="673">
        <f>summ!E61</f>
        <v>59.207000000000001</v>
      </c>
      <c r="H86" s="675" t="str">
        <f>CONCATENATE("Total ",E1-1," Mill Rate")</f>
        <v>Total 2012 Mill Rate</v>
      </c>
      <c r="I86" s="676"/>
      <c r="J86" s="677"/>
    </row>
    <row r="91" spans="2:10" hidden="1">
      <c r="C91" s="72" t="str">
        <f>IF(C33&gt;C35,"See Tab A","")</f>
        <v/>
      </c>
      <c r="D91" s="72" t="str">
        <f>IF(D33&gt;D35,"See Tab C","")</f>
        <v/>
      </c>
    </row>
    <row r="92" spans="2:10" hidden="1">
      <c r="C92" s="72" t="str">
        <f>IF(C34&lt;0,"See Tab B","")</f>
        <v/>
      </c>
      <c r="D92" s="72" t="str">
        <f>IF(D34&lt;0,"See Tab D","")</f>
        <v/>
      </c>
    </row>
    <row r="93" spans="2:10" hidden="1">
      <c r="C93" s="72" t="str">
        <f>IF(C73&gt;C75,"See Tab A","")</f>
        <v/>
      </c>
      <c r="D93" s="72" t="str">
        <f>IF(D73&gt;D75,"See Tab C","")</f>
        <v/>
      </c>
    </row>
    <row r="94" spans="2:10" hidden="1">
      <c r="C94" s="72" t="str">
        <f>IF(C74&lt;0,"See Tab B","")</f>
        <v/>
      </c>
      <c r="D94" s="72" t="str">
        <f>IF(D74&lt;0,"See Tab D","")</f>
        <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312" priority="3" stopIfTrue="1" operator="greaterThan">
      <formula>$E$73*0.1</formula>
    </cfRule>
  </conditionalFormatting>
  <conditionalFormatting sqref="E76">
    <cfRule type="cellIs" dxfId="311" priority="4" stopIfTrue="1" operator="greaterThan">
      <formula>$E$73/0.95-$E$73</formula>
    </cfRule>
  </conditionalFormatting>
  <conditionalFormatting sqref="E36">
    <cfRule type="cellIs" dxfId="310" priority="5" stopIfTrue="1" operator="greaterThan">
      <formula>$E$33/0.95-$E$33</formula>
    </cfRule>
  </conditionalFormatting>
  <conditionalFormatting sqref="E31">
    <cfRule type="cellIs" dxfId="309" priority="6" stopIfTrue="1" operator="greaterThan">
      <formula>$E$33*0.1</formula>
    </cfRule>
  </conditionalFormatting>
  <conditionalFormatting sqref="C74 C34">
    <cfRule type="cellIs" dxfId="308" priority="7" stopIfTrue="1" operator="lessThan">
      <formula>0</formula>
    </cfRule>
  </conditionalFormatting>
  <conditionalFormatting sqref="C73">
    <cfRule type="cellIs" dxfId="307" priority="8" stopIfTrue="1" operator="greaterThan">
      <formula>$C$75</formula>
    </cfRule>
  </conditionalFormatting>
  <conditionalFormatting sqref="D73">
    <cfRule type="cellIs" dxfId="306" priority="9" stopIfTrue="1" operator="greaterThan">
      <formula>$D$75</formula>
    </cfRule>
  </conditionalFormatting>
  <conditionalFormatting sqref="C71">
    <cfRule type="cellIs" dxfId="305" priority="10" stopIfTrue="1" operator="greaterThan">
      <formula>$C$73*0.1</formula>
    </cfRule>
  </conditionalFormatting>
  <conditionalFormatting sqref="D71">
    <cfRule type="cellIs" dxfId="304" priority="11" stopIfTrue="1" operator="greaterThan">
      <formula>$D$73*0.1</formula>
    </cfRule>
  </conditionalFormatting>
  <conditionalFormatting sqref="E58">
    <cfRule type="cellIs" dxfId="303" priority="12" stopIfTrue="1" operator="greaterThan">
      <formula>$E$60*0.1+E80</formula>
    </cfRule>
  </conditionalFormatting>
  <conditionalFormatting sqref="C58">
    <cfRule type="cellIs" dxfId="302" priority="13" stopIfTrue="1" operator="greaterThan">
      <formula>$C$60*0.1</formula>
    </cfRule>
  </conditionalFormatting>
  <conditionalFormatting sqref="D58">
    <cfRule type="cellIs" dxfId="301" priority="14" stopIfTrue="1" operator="greaterThan">
      <formula>$D$60*0.1</formula>
    </cfRule>
  </conditionalFormatting>
  <conditionalFormatting sqref="C33">
    <cfRule type="cellIs" dxfId="300" priority="15" stopIfTrue="1" operator="greaterThan">
      <formula>$C$35</formula>
    </cfRule>
  </conditionalFormatting>
  <conditionalFormatting sqref="D33">
    <cfRule type="cellIs" dxfId="299" priority="16" stopIfTrue="1" operator="greaterThan">
      <formula>$D$35</formula>
    </cfRule>
  </conditionalFormatting>
  <conditionalFormatting sqref="C31">
    <cfRule type="cellIs" dxfId="298" priority="17" stopIfTrue="1" operator="greaterThan">
      <formula>$C$33*0.1</formula>
    </cfRule>
  </conditionalFormatting>
  <conditionalFormatting sqref="D31">
    <cfRule type="cellIs" dxfId="297" priority="18" stopIfTrue="1" operator="greaterThan">
      <formula>$D$33*0.1</formula>
    </cfRule>
  </conditionalFormatting>
  <conditionalFormatting sqref="E18">
    <cfRule type="cellIs" dxfId="296" priority="19" stopIfTrue="1" operator="greaterThan">
      <formula>$E$20*0.1+E40</formula>
    </cfRule>
  </conditionalFormatting>
  <conditionalFormatting sqref="C18">
    <cfRule type="cellIs" dxfId="295" priority="20" stopIfTrue="1" operator="greaterThan">
      <formula>$C$20*0.1</formula>
    </cfRule>
  </conditionalFormatting>
  <conditionalFormatting sqref="D18">
    <cfRule type="cellIs" dxfId="294" priority="21" stopIfTrue="1" operator="greaterThan">
      <formula>$D$20*0.1</formula>
    </cfRule>
  </conditionalFormatting>
  <conditionalFormatting sqref="D34 D74">
    <cfRule type="cellIs" dxfId="293" priority="2" stopIfTrue="1" operator="lessThan">
      <formula>0</formula>
    </cfRule>
  </conditionalFormatting>
  <pageMargins left="1.1200000000000001" right="0.5" top="0.74" bottom="0.34" header="0.5" footer="0"/>
  <pageSetup scale="54" orientation="portrait" blackAndWhite="1" r:id="rId1"/>
  <headerFooter alignWithMargins="0">
    <oddHeader xml:space="preserve">&amp;RState of Kansas
County
</oddHeader>
  </headerFooter>
</worksheet>
</file>

<file path=xl/worksheets/sheet22.xml><?xml version="1.0" encoding="utf-8"?>
<worksheet xmlns="http://schemas.openxmlformats.org/spreadsheetml/2006/main" xmlns:r="http://schemas.openxmlformats.org/officeDocument/2006/relationships">
  <sheetPr codeName="Sheet17">
    <pageSetUpPr fitToPage="1"/>
  </sheetPr>
  <dimension ref="B1:K94"/>
  <sheetViews>
    <sheetView topLeftCell="A58" zoomScaleNormal="100" workbookViewId="0">
      <selection activeCell="B65" sqref="B65"/>
    </sheetView>
  </sheetViews>
  <sheetFormatPr defaultColWidth="8.88671875" defaultRowHeight="15.75"/>
  <cols>
    <col min="1" max="1" width="2.44140625" style="72" customWidth="1"/>
    <col min="2" max="2" width="31.109375" style="72" customWidth="1"/>
    <col min="3" max="4" width="15.77734375" style="72" customWidth="1"/>
    <col min="5" max="5" width="16.109375" style="72" customWidth="1"/>
    <col min="6" max="6" width="7.44140625" style="72" customWidth="1"/>
    <col min="7" max="7" width="10.21875" style="72" customWidth="1"/>
    <col min="8" max="8" width="8.88671875" style="72"/>
    <col min="9" max="9" width="5" style="72" customWidth="1"/>
    <col min="10" max="10" width="10" style="72" customWidth="1"/>
    <col min="11" max="16384" width="8.88671875" style="72"/>
  </cols>
  <sheetData>
    <row r="1" spans="2:5">
      <c r="B1" s="228" t="str">
        <f>(inputPrYr!C2)</f>
        <v>Franklin County</v>
      </c>
      <c r="C1" s="85"/>
      <c r="D1" s="85"/>
      <c r="E1" s="286">
        <f>inputPrYr!C4</f>
        <v>2013</v>
      </c>
    </row>
    <row r="2" spans="2:5">
      <c r="B2" s="85"/>
      <c r="C2" s="85"/>
      <c r="D2" s="85"/>
      <c r="E2" s="240"/>
    </row>
    <row r="3" spans="2:5">
      <c r="B3" s="152" t="s">
        <v>238</v>
      </c>
      <c r="C3" s="333"/>
      <c r="D3" s="333"/>
      <c r="E3" s="334"/>
    </row>
    <row r="4" spans="2:5">
      <c r="B4" s="84" t="s">
        <v>159</v>
      </c>
      <c r="C4" s="703" t="s">
        <v>841</v>
      </c>
      <c r="D4" s="704" t="s">
        <v>842</v>
      </c>
      <c r="E4" s="215" t="s">
        <v>843</v>
      </c>
    </row>
    <row r="5" spans="2:5">
      <c r="B5" s="484" t="str">
        <f>inputPrYr!B27</f>
        <v>Special Liability</v>
      </c>
      <c r="C5" s="455" t="str">
        <f>CONCATENATE("Actual for ",E1-2,"")</f>
        <v>Actual for 2011</v>
      </c>
      <c r="D5" s="455" t="str">
        <f>CONCATENATE("Estimate for ",E1-1,"")</f>
        <v>Estimate for 2012</v>
      </c>
      <c r="E5" s="302" t="str">
        <f>CONCATENATE("Year for ",E1,"")</f>
        <v>Year for 2013</v>
      </c>
    </row>
    <row r="6" spans="2:5">
      <c r="B6" s="148" t="s">
        <v>280</v>
      </c>
      <c r="C6" s="452">
        <v>374321</v>
      </c>
      <c r="D6" s="456">
        <f>C34</f>
        <v>342698</v>
      </c>
      <c r="E6" s="265">
        <f>D34</f>
        <v>312790</v>
      </c>
    </row>
    <row r="7" spans="2:5">
      <c r="B7" s="290" t="s">
        <v>282</v>
      </c>
      <c r="C7" s="305"/>
      <c r="D7" s="305"/>
      <c r="E7" s="127"/>
    </row>
    <row r="8" spans="2:5">
      <c r="B8" s="148" t="s">
        <v>160</v>
      </c>
      <c r="C8" s="452">
        <v>111186</v>
      </c>
      <c r="D8" s="456">
        <f>IF(inputPrYr!H27&gt;0,inputPrYr!H27,inputPrYr!E27)</f>
        <v>113388</v>
      </c>
      <c r="E8" s="337" t="s">
        <v>146</v>
      </c>
    </row>
    <row r="9" spans="2:5">
      <c r="B9" s="148" t="s">
        <v>161</v>
      </c>
      <c r="C9" s="452">
        <v>3364</v>
      </c>
      <c r="D9" s="452">
        <v>2000</v>
      </c>
      <c r="E9" s="112">
        <v>2000</v>
      </c>
    </row>
    <row r="10" spans="2:5">
      <c r="B10" s="148" t="s">
        <v>162</v>
      </c>
      <c r="C10" s="452">
        <v>8661</v>
      </c>
      <c r="D10" s="452">
        <v>13926</v>
      </c>
      <c r="E10" s="265">
        <f>mvalloc!E18</f>
        <v>13549</v>
      </c>
    </row>
    <row r="11" spans="2:5">
      <c r="B11" s="148" t="s">
        <v>163</v>
      </c>
      <c r="C11" s="452">
        <v>171</v>
      </c>
      <c r="D11" s="452">
        <v>301</v>
      </c>
      <c r="E11" s="265">
        <f>mvalloc!F18</f>
        <v>209</v>
      </c>
    </row>
    <row r="12" spans="2:5">
      <c r="B12" s="305" t="s">
        <v>229</v>
      </c>
      <c r="C12" s="452">
        <v>313</v>
      </c>
      <c r="D12" s="452">
        <v>477</v>
      </c>
      <c r="E12" s="265">
        <f>mvalloc!G18</f>
        <v>399</v>
      </c>
    </row>
    <row r="13" spans="2:5">
      <c r="B13" s="318"/>
      <c r="C13" s="452"/>
      <c r="D13" s="452"/>
      <c r="E13" s="112"/>
    </row>
    <row r="14" spans="2:5">
      <c r="B14" s="318"/>
      <c r="C14" s="452"/>
      <c r="D14" s="452"/>
      <c r="E14" s="112"/>
    </row>
    <row r="15" spans="2:5">
      <c r="B15" s="318"/>
      <c r="C15" s="452"/>
      <c r="D15" s="452"/>
      <c r="E15" s="112"/>
    </row>
    <row r="16" spans="2:5">
      <c r="B16" s="318"/>
      <c r="C16" s="452"/>
      <c r="D16" s="452"/>
      <c r="E16" s="112"/>
    </row>
    <row r="17" spans="2:10">
      <c r="B17" s="308"/>
      <c r="C17" s="452"/>
      <c r="D17" s="452"/>
      <c r="E17" s="112"/>
    </row>
    <row r="18" spans="2:10">
      <c r="B18" s="309" t="s">
        <v>73</v>
      </c>
      <c r="C18" s="452"/>
      <c r="D18" s="452"/>
      <c r="E18" s="112"/>
    </row>
    <row r="19" spans="2:10">
      <c r="B19" s="309" t="s">
        <v>681</v>
      </c>
      <c r="C19" s="453" t="str">
        <f>IF(C20*0.1&lt;C18,"Exceed 10% Rule","")</f>
        <v/>
      </c>
      <c r="D19" s="453" t="str">
        <f>IF(D20*0.1&lt;D18,"Exceed 10% Rule","")</f>
        <v/>
      </c>
      <c r="E19" s="344" t="str">
        <f>IF(E20*0.1+E40&lt;E18,"Exceed 10% Rule","")</f>
        <v/>
      </c>
    </row>
    <row r="20" spans="2:10">
      <c r="B20" s="311" t="s">
        <v>165</v>
      </c>
      <c r="C20" s="454">
        <f>SUM(C8:C18)</f>
        <v>123695</v>
      </c>
      <c r="D20" s="454">
        <f>SUM(D8:D18)</f>
        <v>130092</v>
      </c>
      <c r="E20" s="352">
        <f>SUM(E8:E18)</f>
        <v>16157</v>
      </c>
    </row>
    <row r="21" spans="2:10">
      <c r="B21" s="311" t="s">
        <v>166</v>
      </c>
      <c r="C21" s="454">
        <f>C6+C20</f>
        <v>498016</v>
      </c>
      <c r="D21" s="454">
        <f>D6+D20</f>
        <v>472790</v>
      </c>
      <c r="E21" s="352">
        <f>E6+E20</f>
        <v>328947</v>
      </c>
    </row>
    <row r="22" spans="2:10">
      <c r="B22" s="148" t="s">
        <v>169</v>
      </c>
      <c r="C22" s="309"/>
      <c r="D22" s="309"/>
      <c r="E22" s="108"/>
    </row>
    <row r="23" spans="2:10">
      <c r="B23" s="318" t="s">
        <v>175</v>
      </c>
      <c r="C23" s="452">
        <v>105318</v>
      </c>
      <c r="D23" s="452">
        <v>110000</v>
      </c>
      <c r="E23" s="112">
        <v>389054</v>
      </c>
    </row>
    <row r="24" spans="2:10">
      <c r="B24" s="318" t="s">
        <v>1017</v>
      </c>
      <c r="C24" s="452">
        <v>50000</v>
      </c>
      <c r="D24" s="452">
        <v>50000</v>
      </c>
      <c r="E24" s="112">
        <v>50000</v>
      </c>
      <c r="G24" s="784" t="str">
        <f>CONCATENATE("Desired Carryover Into ",E1+1,"")</f>
        <v>Desired Carryover Into 2014</v>
      </c>
      <c r="H24" s="785"/>
      <c r="I24" s="785"/>
      <c r="J24" s="786"/>
    </row>
    <row r="25" spans="2:10">
      <c r="B25" s="318"/>
      <c r="C25" s="452"/>
      <c r="D25" s="452"/>
      <c r="E25" s="112"/>
      <c r="G25" s="650"/>
      <c r="H25" s="651"/>
      <c r="I25" s="652"/>
      <c r="J25" s="653"/>
    </row>
    <row r="26" spans="2:10">
      <c r="B26" s="318"/>
      <c r="C26" s="452"/>
      <c r="D26" s="452"/>
      <c r="E26" s="112"/>
      <c r="G26" s="654" t="s">
        <v>687</v>
      </c>
      <c r="H26" s="652"/>
      <c r="I26" s="652"/>
      <c r="J26" s="655">
        <v>0</v>
      </c>
    </row>
    <row r="27" spans="2:10">
      <c r="B27" s="318"/>
      <c r="C27" s="452"/>
      <c r="D27" s="452"/>
      <c r="E27" s="112"/>
      <c r="G27" s="650" t="s">
        <v>688</v>
      </c>
      <c r="H27" s="651"/>
      <c r="I27" s="651"/>
      <c r="J27" s="656" t="str">
        <f>IF(J26=0,"",ROUND((J26+E40-G39)/inputOth!E6*1000,3)-G44)</f>
        <v/>
      </c>
    </row>
    <row r="28" spans="2:10">
      <c r="B28" s="318"/>
      <c r="C28" s="452"/>
      <c r="D28" s="452"/>
      <c r="E28" s="112"/>
      <c r="G28" s="657" t="str">
        <f>CONCATENATE("",E1," Tot Exp/Non-Appr Must Be:")</f>
        <v>2013 Tot Exp/Non-Appr Must Be:</v>
      </c>
      <c r="H28" s="658"/>
      <c r="I28" s="659"/>
      <c r="J28" s="660">
        <f>IF(J26&gt;0,IF(E37&lt;E21,IF(J26=G39,E37,((J26-G39)*(1-D39))+E21),E37+(J26-G39)),0)</f>
        <v>0</v>
      </c>
    </row>
    <row r="29" spans="2:10">
      <c r="B29" s="318"/>
      <c r="C29" s="452"/>
      <c r="D29" s="452"/>
      <c r="E29" s="112"/>
      <c r="G29" s="661" t="s">
        <v>839</v>
      </c>
      <c r="H29" s="662"/>
      <c r="I29" s="662"/>
      <c r="J29" s="663">
        <f>IF(J26&gt;0,J28-E37,0)</f>
        <v>0</v>
      </c>
    </row>
    <row r="30" spans="2:10">
      <c r="B30" s="309" t="s">
        <v>75</v>
      </c>
      <c r="C30" s="452"/>
      <c r="D30" s="452"/>
      <c r="E30" s="120">
        <f>Nhood!E17</f>
        <v>322</v>
      </c>
      <c r="G30" s="1"/>
      <c r="H30" s="1"/>
      <c r="I30" s="1"/>
      <c r="J30" s="1"/>
    </row>
    <row r="31" spans="2:10">
      <c r="B31" s="309" t="s">
        <v>73</v>
      </c>
      <c r="C31" s="452"/>
      <c r="D31" s="452"/>
      <c r="E31" s="112"/>
      <c r="G31" s="784" t="str">
        <f>CONCATENATE("Projected Carryover Into ",E1+1,"")</f>
        <v>Projected Carryover Into 2014</v>
      </c>
      <c r="H31" s="791"/>
      <c r="I31" s="791"/>
      <c r="J31" s="792"/>
    </row>
    <row r="32" spans="2:10">
      <c r="B32" s="309" t="s">
        <v>680</v>
      </c>
      <c r="C32" s="453" t="str">
        <f>IF(C33*0.1&lt;C31,"Exceed 10% Rule","")</f>
        <v/>
      </c>
      <c r="D32" s="453" t="str">
        <f>IF(D33*0.1&lt;D31,"Exceed 10% Rule","")</f>
        <v/>
      </c>
      <c r="E32" s="344" t="str">
        <f>IF(E33*0.1&lt;E31,"Exceed 10% Rule","")</f>
        <v/>
      </c>
      <c r="G32" s="650"/>
      <c r="H32" s="652"/>
      <c r="I32" s="652"/>
      <c r="J32" s="678"/>
    </row>
    <row r="33" spans="2:11">
      <c r="B33" s="311" t="s">
        <v>170</v>
      </c>
      <c r="C33" s="454">
        <f>SUM(C23:C31)</f>
        <v>155318</v>
      </c>
      <c r="D33" s="454">
        <f>SUM(D23:D31)</f>
        <v>160000</v>
      </c>
      <c r="E33" s="352">
        <f>SUM(E23:E31)</f>
        <v>439376</v>
      </c>
      <c r="G33" s="679">
        <f>D34</f>
        <v>312790</v>
      </c>
      <c r="H33" s="669" t="str">
        <f>CONCATENATE("",E1-1," Ending Cash Balance (est.)")</f>
        <v>2012 Ending Cash Balance (est.)</v>
      </c>
      <c r="I33" s="680"/>
      <c r="J33" s="678"/>
    </row>
    <row r="34" spans="2:11">
      <c r="B34" s="148" t="s">
        <v>281</v>
      </c>
      <c r="C34" s="457">
        <f>C21-C33</f>
        <v>342698</v>
      </c>
      <c r="D34" s="457">
        <f>D21-D33</f>
        <v>312790</v>
      </c>
      <c r="E34" s="337" t="s">
        <v>146</v>
      </c>
      <c r="G34" s="679">
        <f>E20</f>
        <v>16157</v>
      </c>
      <c r="H34" s="652" t="str">
        <f>CONCATENATE("",E1," Non-AV Receipts (est.)")</f>
        <v>2013 Non-AV Receipts (est.)</v>
      </c>
      <c r="I34" s="680"/>
      <c r="J34" s="678"/>
    </row>
    <row r="35" spans="2:11">
      <c r="B35" s="287" t="str">
        <f>CONCATENATE("",E$1-2,"/",E$1-1," Budget Authority Amount:")</f>
        <v>2011/2012 Budget Authority Amount:</v>
      </c>
      <c r="C35" s="279">
        <f>inputOth!B41</f>
        <v>450527</v>
      </c>
      <c r="D35" s="279">
        <f>inputPrYr!D27</f>
        <v>470413</v>
      </c>
      <c r="E35" s="337" t="s">
        <v>146</v>
      </c>
      <c r="F35" s="320"/>
      <c r="G35" s="681">
        <f>IF(E39&gt;0,E38,E40)</f>
        <v>110429</v>
      </c>
      <c r="H35" s="652" t="str">
        <f>CONCATENATE("",E1," Ad Valorem Tax (est.)")</f>
        <v>2013 Ad Valorem Tax (est.)</v>
      </c>
      <c r="I35" s="680"/>
      <c r="J35" s="678"/>
      <c r="K35" s="666" t="str">
        <f>IF(G35=E40,"","Note: Does not include Delinquent Taxes")</f>
        <v>Note: Does not include Delinquent Taxes</v>
      </c>
    </row>
    <row r="36" spans="2:11">
      <c r="B36" s="287"/>
      <c r="C36" s="774" t="s">
        <v>684</v>
      </c>
      <c r="D36" s="775"/>
      <c r="E36" s="112"/>
      <c r="F36" s="502" t="str">
        <f>IF(E33/0.95-E33&lt;E36,"Exceeds 5%","")</f>
        <v/>
      </c>
      <c r="G36" s="679">
        <f>SUM(G33:G35)</f>
        <v>439376</v>
      </c>
      <c r="H36" s="652" t="str">
        <f>CONCATENATE("Total ",E1," Resources Available")</f>
        <v>Total 2013 Resources Available</v>
      </c>
      <c r="I36" s="680"/>
      <c r="J36" s="678"/>
    </row>
    <row r="37" spans="2:11">
      <c r="B37" s="506" t="str">
        <f>CONCATENATE(C91,"     ",D91)</f>
        <v xml:space="preserve">     </v>
      </c>
      <c r="C37" s="776" t="s">
        <v>685</v>
      </c>
      <c r="D37" s="777"/>
      <c r="E37" s="265">
        <f>E33+E36</f>
        <v>439376</v>
      </c>
      <c r="G37" s="682"/>
      <c r="H37" s="652"/>
      <c r="I37" s="652"/>
      <c r="J37" s="678"/>
    </row>
    <row r="38" spans="2:11">
      <c r="B38" s="506" t="str">
        <f>CONCATENATE(C92,"     ",D92)</f>
        <v xml:space="preserve">     </v>
      </c>
      <c r="C38" s="321"/>
      <c r="D38" s="240" t="s">
        <v>171</v>
      </c>
      <c r="E38" s="120">
        <f>IF(E37-E21&gt;0,E37-E21,0)</f>
        <v>110429</v>
      </c>
      <c r="G38" s="681">
        <f>ROUND(C33*0.05+C33,0)</f>
        <v>163084</v>
      </c>
      <c r="H38" s="652" t="str">
        <f>CONCATENATE("Less ",E1-2," Expenditures + 5%")</f>
        <v>Less 2011 Expenditures + 5%</v>
      </c>
      <c r="I38" s="680"/>
      <c r="J38" s="683"/>
    </row>
    <row r="39" spans="2:11">
      <c r="B39" s="240"/>
      <c r="C39" s="504" t="s">
        <v>686</v>
      </c>
      <c r="D39" s="649">
        <f>inputOth!$E$23</f>
        <v>0.05</v>
      </c>
      <c r="E39" s="265">
        <f>ROUND(IF(D39&gt;0,($E$38*D39),0),0)</f>
        <v>5521</v>
      </c>
      <c r="G39" s="684">
        <f>G36-G38</f>
        <v>276292</v>
      </c>
      <c r="H39" s="685" t="str">
        <f>CONCATENATE("Projected ",E1+1," carryover (est.)")</f>
        <v>Projected 2014 carryover (est.)</v>
      </c>
      <c r="I39" s="686"/>
      <c r="J39" s="687"/>
    </row>
    <row r="40" spans="2:11">
      <c r="B40" s="85"/>
      <c r="C40" s="782" t="str">
        <f>CONCATENATE("Amount of  ",$E$1-1," Ad Valorem Tax")</f>
        <v>Amount of  2012 Ad Valorem Tax</v>
      </c>
      <c r="D40" s="783"/>
      <c r="E40" s="348">
        <f>E38+E39</f>
        <v>115950</v>
      </c>
      <c r="G40" s="1"/>
      <c r="H40" s="1"/>
      <c r="I40" s="1"/>
      <c r="J40" s="1"/>
    </row>
    <row r="41" spans="2:11">
      <c r="B41" s="85"/>
      <c r="C41" s="327"/>
      <c r="D41" s="327"/>
      <c r="E41" s="327"/>
      <c r="G41" s="787" t="s">
        <v>840</v>
      </c>
      <c r="H41" s="788"/>
      <c r="I41" s="788"/>
      <c r="J41" s="789"/>
    </row>
    <row r="42" spans="2:11">
      <c r="B42" s="84" t="s">
        <v>159</v>
      </c>
      <c r="C42" s="703" t="str">
        <f t="shared" ref="C42:E43" si="0">C4</f>
        <v xml:space="preserve">Prior Year </v>
      </c>
      <c r="D42" s="704" t="str">
        <f t="shared" si="0"/>
        <v xml:space="preserve">Current Year </v>
      </c>
      <c r="E42" s="215" t="str">
        <f t="shared" si="0"/>
        <v xml:space="preserve">Proposed Budget </v>
      </c>
      <c r="G42" s="668"/>
      <c r="H42" s="669"/>
      <c r="I42" s="670"/>
      <c r="J42" s="671"/>
    </row>
    <row r="43" spans="2:11">
      <c r="B43" s="483" t="str">
        <f>inputPrYr!B28</f>
        <v>Conservation District</v>
      </c>
      <c r="C43" s="455" t="str">
        <f t="shared" si="0"/>
        <v>Actual for 2011</v>
      </c>
      <c r="D43" s="455" t="str">
        <f t="shared" si="0"/>
        <v>Estimate for 2012</v>
      </c>
      <c r="E43" s="302" t="str">
        <f t="shared" si="0"/>
        <v>Year for 2013</v>
      </c>
      <c r="G43" s="672">
        <f>summ!H27</f>
        <v>0.54400000000000004</v>
      </c>
      <c r="H43" s="669" t="str">
        <f>CONCATENATE("",E1," Fund Mill Rate")</f>
        <v>2013 Fund Mill Rate</v>
      </c>
      <c r="I43" s="670"/>
      <c r="J43" s="671"/>
    </row>
    <row r="44" spans="2:11">
      <c r="B44" s="148" t="s">
        <v>280</v>
      </c>
      <c r="C44" s="452">
        <v>1390</v>
      </c>
      <c r="D44" s="456">
        <f>C74</f>
        <v>0</v>
      </c>
      <c r="E44" s="265">
        <f>D74</f>
        <v>2050</v>
      </c>
      <c r="G44" s="673">
        <f>summ!E27</f>
        <v>0.54600000000000004</v>
      </c>
      <c r="H44" s="669" t="str">
        <f>CONCATENATE("",E1-1," Fund Mill Rate")</f>
        <v>2012 Fund Mill Rate</v>
      </c>
      <c r="I44" s="670"/>
      <c r="J44" s="671"/>
    </row>
    <row r="45" spans="2:11">
      <c r="B45" s="303" t="s">
        <v>282</v>
      </c>
      <c r="C45" s="305"/>
      <c r="D45" s="305"/>
      <c r="E45" s="127"/>
      <c r="G45" s="674">
        <f>summ!H61</f>
        <v>59.232000000000006</v>
      </c>
      <c r="H45" s="669" t="str">
        <f>CONCATENATE("Total ",E1," Mill Rate")</f>
        <v>Total 2013 Mill Rate</v>
      </c>
      <c r="I45" s="670"/>
      <c r="J45" s="671"/>
    </row>
    <row r="46" spans="2:11">
      <c r="B46" s="148" t="s">
        <v>160</v>
      </c>
      <c r="C46" s="452">
        <v>34423</v>
      </c>
      <c r="D46" s="456">
        <f>IF(inputPrYr!H28&gt;0,inputPrYr!H28,inputPrYr!E28)</f>
        <v>39985</v>
      </c>
      <c r="E46" s="337" t="s">
        <v>146</v>
      </c>
      <c r="G46" s="673">
        <f>summ!E61</f>
        <v>59.207000000000001</v>
      </c>
      <c r="H46" s="675" t="str">
        <f>CONCATENATE("Total ",E1-1," Mill Rate")</f>
        <v>Total 2012 Mill Rate</v>
      </c>
      <c r="I46" s="676"/>
      <c r="J46" s="677"/>
    </row>
    <row r="47" spans="2:11">
      <c r="B47" s="148" t="s">
        <v>161</v>
      </c>
      <c r="C47" s="452">
        <v>1762</v>
      </c>
      <c r="D47" s="452">
        <v>1300</v>
      </c>
      <c r="E47" s="112">
        <v>1300</v>
      </c>
      <c r="G47" s="1"/>
      <c r="H47" s="1"/>
      <c r="I47" s="1"/>
      <c r="J47" s="1"/>
    </row>
    <row r="48" spans="2:11">
      <c r="B48" s="148" t="s">
        <v>162</v>
      </c>
      <c r="C48" s="452">
        <v>4832</v>
      </c>
      <c r="D48" s="452">
        <v>4305</v>
      </c>
      <c r="E48" s="265">
        <f>mvalloc!E19</f>
        <v>4778</v>
      </c>
      <c r="G48" s="1"/>
      <c r="H48" s="1"/>
      <c r="I48" s="1"/>
      <c r="J48" s="1"/>
    </row>
    <row r="49" spans="2:10">
      <c r="B49" s="148" t="s">
        <v>163</v>
      </c>
      <c r="C49" s="452">
        <v>95</v>
      </c>
      <c r="D49" s="452">
        <v>93</v>
      </c>
      <c r="E49" s="265">
        <f>mvalloc!F19</f>
        <v>74</v>
      </c>
      <c r="G49" s="1"/>
      <c r="H49" s="1"/>
      <c r="I49" s="1"/>
      <c r="J49" s="1"/>
    </row>
    <row r="50" spans="2:10">
      <c r="B50" s="305" t="s">
        <v>229</v>
      </c>
      <c r="C50" s="452">
        <v>161</v>
      </c>
      <c r="D50" s="452">
        <v>147</v>
      </c>
      <c r="E50" s="265">
        <f>mvalloc!G19</f>
        <v>141</v>
      </c>
      <c r="G50" s="1"/>
      <c r="H50" s="1"/>
      <c r="I50" s="1"/>
      <c r="J50" s="1"/>
    </row>
    <row r="51" spans="2:10">
      <c r="B51" s="318"/>
      <c r="C51" s="452"/>
      <c r="D51" s="452"/>
      <c r="E51" s="112"/>
      <c r="G51" s="1"/>
      <c r="H51" s="1"/>
      <c r="I51" s="1"/>
      <c r="J51" s="1"/>
    </row>
    <row r="52" spans="2:10">
      <c r="B52" s="318"/>
      <c r="C52" s="452"/>
      <c r="D52" s="452"/>
      <c r="E52" s="112"/>
      <c r="G52" s="1"/>
      <c r="H52" s="1"/>
      <c r="I52" s="1"/>
      <c r="J52" s="1"/>
    </row>
    <row r="53" spans="2:10">
      <c r="B53" s="318"/>
      <c r="C53" s="452"/>
      <c r="D53" s="452"/>
      <c r="E53" s="112"/>
      <c r="G53" s="1"/>
      <c r="H53" s="1"/>
      <c r="I53" s="1"/>
      <c r="J53" s="1"/>
    </row>
    <row r="54" spans="2:10">
      <c r="B54" s="318"/>
      <c r="C54" s="452"/>
      <c r="D54" s="452"/>
      <c r="E54" s="112"/>
      <c r="G54" s="1"/>
      <c r="H54" s="1"/>
      <c r="I54" s="1"/>
      <c r="J54" s="1"/>
    </row>
    <row r="55" spans="2:10">
      <c r="B55" s="318"/>
      <c r="C55" s="452"/>
      <c r="D55" s="452"/>
      <c r="E55" s="112"/>
      <c r="G55" s="1"/>
      <c r="H55" s="1"/>
      <c r="I55" s="1"/>
      <c r="J55" s="1"/>
    </row>
    <row r="56" spans="2:10">
      <c r="B56" s="318"/>
      <c r="C56" s="452"/>
      <c r="D56" s="452"/>
      <c r="E56" s="112"/>
      <c r="G56" s="1"/>
      <c r="H56" s="1"/>
      <c r="I56" s="1"/>
      <c r="J56" s="1"/>
    </row>
    <row r="57" spans="2:10">
      <c r="B57" s="308"/>
      <c r="C57" s="452"/>
      <c r="D57" s="452"/>
      <c r="E57" s="112"/>
      <c r="G57" s="1"/>
      <c r="H57" s="1"/>
      <c r="I57" s="1"/>
      <c r="J57" s="1"/>
    </row>
    <row r="58" spans="2:10">
      <c r="B58" s="309" t="s">
        <v>73</v>
      </c>
      <c r="C58" s="452"/>
      <c r="D58" s="452"/>
      <c r="E58" s="112"/>
      <c r="G58" s="1"/>
      <c r="H58" s="1"/>
      <c r="I58" s="1"/>
      <c r="J58" s="1"/>
    </row>
    <row r="59" spans="2:10">
      <c r="B59" s="309" t="s">
        <v>681</v>
      </c>
      <c r="C59" s="453" t="str">
        <f>IF(C60*0.1&lt;C58,"Exceed 10% Rule","")</f>
        <v/>
      </c>
      <c r="D59" s="453" t="str">
        <f>IF(D60*0.1&lt;D58,"Exceed 10% Rule","")</f>
        <v/>
      </c>
      <c r="E59" s="344" t="str">
        <f>IF(E60*0.1+E80&lt;E58,"Exceed 10% Rule","")</f>
        <v/>
      </c>
      <c r="G59" s="1"/>
      <c r="H59" s="1"/>
      <c r="I59" s="1"/>
      <c r="J59" s="1"/>
    </row>
    <row r="60" spans="2:10">
      <c r="B60" s="311" t="s">
        <v>165</v>
      </c>
      <c r="C60" s="454">
        <f>SUM(C46:C58)</f>
        <v>41273</v>
      </c>
      <c r="D60" s="454">
        <f>SUM(D46:D58)</f>
        <v>45830</v>
      </c>
      <c r="E60" s="352">
        <f>SUM(E46:E58)</f>
        <v>6293</v>
      </c>
      <c r="G60" s="1"/>
      <c r="H60" s="1"/>
      <c r="I60" s="1"/>
      <c r="J60" s="1"/>
    </row>
    <row r="61" spans="2:10">
      <c r="B61" s="311" t="s">
        <v>166</v>
      </c>
      <c r="C61" s="454">
        <f>C44+C60</f>
        <v>42663</v>
      </c>
      <c r="D61" s="454">
        <f>D44+D60</f>
        <v>45830</v>
      </c>
      <c r="E61" s="352">
        <f>E44+E60</f>
        <v>8343</v>
      </c>
      <c r="G61" s="1"/>
      <c r="H61" s="1"/>
      <c r="I61" s="1"/>
      <c r="J61" s="1"/>
    </row>
    <row r="62" spans="2:10">
      <c r="B62" s="148" t="s">
        <v>169</v>
      </c>
      <c r="C62" s="309"/>
      <c r="D62" s="309"/>
      <c r="E62" s="108"/>
      <c r="G62" s="1"/>
      <c r="H62" s="1"/>
      <c r="I62" s="1"/>
      <c r="J62" s="1"/>
    </row>
    <row r="63" spans="2:10">
      <c r="B63" s="318" t="s">
        <v>175</v>
      </c>
      <c r="C63" s="452">
        <v>42663</v>
      </c>
      <c r="D63" s="452">
        <v>43780</v>
      </c>
      <c r="E63" s="112">
        <v>0</v>
      </c>
      <c r="G63" s="1"/>
      <c r="H63" s="1"/>
      <c r="I63" s="1"/>
      <c r="J63" s="1"/>
    </row>
    <row r="64" spans="2:10">
      <c r="B64" s="318" t="s">
        <v>1074</v>
      </c>
      <c r="C64" s="452">
        <v>0</v>
      </c>
      <c r="D64" s="452">
        <v>0</v>
      </c>
      <c r="E64" s="112">
        <v>8343</v>
      </c>
      <c r="G64" s="784" t="str">
        <f>CONCATENATE("Desired Carryover Into ",E1+1,"")</f>
        <v>Desired Carryover Into 2014</v>
      </c>
      <c r="H64" s="785"/>
      <c r="I64" s="785"/>
      <c r="J64" s="786"/>
    </row>
    <row r="65" spans="2:11">
      <c r="B65" s="318"/>
      <c r="C65" s="452"/>
      <c r="D65" s="452"/>
      <c r="E65" s="112"/>
      <c r="G65" s="650"/>
      <c r="H65" s="651"/>
      <c r="I65" s="652"/>
      <c r="J65" s="653"/>
    </row>
    <row r="66" spans="2:11">
      <c r="B66" s="318"/>
      <c r="C66" s="452"/>
      <c r="D66" s="452"/>
      <c r="E66" s="112"/>
      <c r="G66" s="654" t="s">
        <v>687</v>
      </c>
      <c r="H66" s="652"/>
      <c r="I66" s="652"/>
      <c r="J66" s="655">
        <v>0</v>
      </c>
    </row>
    <row r="67" spans="2:11">
      <c r="B67" s="318"/>
      <c r="C67" s="452"/>
      <c r="D67" s="452"/>
      <c r="E67" s="112"/>
      <c r="G67" s="650" t="s">
        <v>688</v>
      </c>
      <c r="H67" s="651"/>
      <c r="I67" s="651"/>
      <c r="J67" s="656" t="str">
        <f>IF(J66=0,"",ROUND((J66+E80-G79)/inputOth!E6*1000,3)-G84)</f>
        <v/>
      </c>
    </row>
    <row r="68" spans="2:11">
      <c r="B68" s="318"/>
      <c r="C68" s="452"/>
      <c r="D68" s="452"/>
      <c r="E68" s="112"/>
      <c r="G68" s="657" t="str">
        <f>CONCATENATE("",E1," Tot Exp/Non-Appr Must Be:")</f>
        <v>2013 Tot Exp/Non-Appr Must Be:</v>
      </c>
      <c r="H68" s="658"/>
      <c r="I68" s="659"/>
      <c r="J68" s="660">
        <f>IF(J66&gt;0,IF(E77&lt;E61,IF(J66=G79,E77,((J66-G79)*(1-D79))+E61),E77+(J66-G79)),0)</f>
        <v>0</v>
      </c>
    </row>
    <row r="69" spans="2:11">
      <c r="B69" s="318"/>
      <c r="C69" s="452"/>
      <c r="D69" s="452"/>
      <c r="E69" s="112"/>
      <c r="G69" s="661" t="s">
        <v>839</v>
      </c>
      <c r="H69" s="662"/>
      <c r="I69" s="662"/>
      <c r="J69" s="663">
        <f>IF(J66&gt;0,J68-E77,0)</f>
        <v>0</v>
      </c>
    </row>
    <row r="70" spans="2:11">
      <c r="B70" s="309" t="s">
        <v>75</v>
      </c>
      <c r="C70" s="452"/>
      <c r="D70" s="452"/>
      <c r="E70" s="120" t="str">
        <f>Nhood!E18</f>
        <v/>
      </c>
      <c r="G70" s="1"/>
      <c r="H70" s="1"/>
      <c r="I70" s="1"/>
      <c r="J70" s="1"/>
    </row>
    <row r="71" spans="2:11">
      <c r="B71" s="309" t="s">
        <v>73</v>
      </c>
      <c r="C71" s="452"/>
      <c r="D71" s="452"/>
      <c r="E71" s="112"/>
      <c r="G71" s="784" t="str">
        <f>CONCATENATE("Projected Carryover Into ",E1+1,"")</f>
        <v>Projected Carryover Into 2014</v>
      </c>
      <c r="H71" s="793"/>
      <c r="I71" s="793"/>
      <c r="J71" s="792"/>
    </row>
    <row r="72" spans="2:11">
      <c r="B72" s="309" t="s">
        <v>680</v>
      </c>
      <c r="C72" s="453" t="str">
        <f>IF(C73*0.1&lt;C71,"Exceed 10% Rule","")</f>
        <v/>
      </c>
      <c r="D72" s="453" t="str">
        <f>IF(D73*0.1&lt;D71,"Exceed 10% Rule","")</f>
        <v/>
      </c>
      <c r="E72" s="344" t="str">
        <f>IF(E73*0.1&lt;E71,"Exceed 10% Rule","")</f>
        <v/>
      </c>
      <c r="G72" s="688"/>
      <c r="H72" s="651"/>
      <c r="I72" s="651"/>
      <c r="J72" s="683"/>
    </row>
    <row r="73" spans="2:11">
      <c r="B73" s="311" t="s">
        <v>170</v>
      </c>
      <c r="C73" s="454">
        <f>SUM(C63:C71)</f>
        <v>42663</v>
      </c>
      <c r="D73" s="454">
        <f>SUM(D63:D71)</f>
        <v>43780</v>
      </c>
      <c r="E73" s="352">
        <f>SUM(E63:E71)</f>
        <v>8343</v>
      </c>
      <c r="G73" s="679">
        <f>D74</f>
        <v>2050</v>
      </c>
      <c r="H73" s="669" t="str">
        <f>CONCATENATE("",E1-1," Ending Cash Balance (est.)")</f>
        <v>2012 Ending Cash Balance (est.)</v>
      </c>
      <c r="I73" s="680"/>
      <c r="J73" s="683"/>
    </row>
    <row r="74" spans="2:11">
      <c r="B74" s="148" t="s">
        <v>281</v>
      </c>
      <c r="C74" s="457">
        <f>C61-C73</f>
        <v>0</v>
      </c>
      <c r="D74" s="457">
        <f>D61-D73</f>
        <v>2050</v>
      </c>
      <c r="E74" s="337" t="s">
        <v>146</v>
      </c>
      <c r="G74" s="679">
        <f>E60</f>
        <v>6293</v>
      </c>
      <c r="H74" s="652" t="str">
        <f>CONCATENATE("",E1," Non-AV Receipts (est.)")</f>
        <v>2013 Non-AV Receipts (est.)</v>
      </c>
      <c r="I74" s="680"/>
      <c r="J74" s="683"/>
    </row>
    <row r="75" spans="2:11">
      <c r="B75" s="287" t="str">
        <f>CONCATENATE("",E$1-2,"/",E$1-1," Budget Authority Amount:")</f>
        <v>2011/2012 Budget Authority Amount:</v>
      </c>
      <c r="C75" s="279">
        <f>inputOth!B42</f>
        <v>43943</v>
      </c>
      <c r="D75" s="279">
        <f>inputPrYr!D28</f>
        <v>43926</v>
      </c>
      <c r="E75" s="337" t="s">
        <v>146</v>
      </c>
      <c r="F75" s="320"/>
      <c r="G75" s="681">
        <f>IF(E79&gt;0,E78,E80)</f>
        <v>0</v>
      </c>
      <c r="H75" s="652" t="str">
        <f>CONCATENATE("",E1," Ad Valorem Tax (est.)")</f>
        <v>2013 Ad Valorem Tax (est.)</v>
      </c>
      <c r="I75" s="680"/>
      <c r="J75" s="683"/>
      <c r="K75" s="666" t="str">
        <f>IF(G75=E80,"","Note: Does not include Delinquent Taxes")</f>
        <v/>
      </c>
    </row>
    <row r="76" spans="2:11">
      <c r="B76" s="287"/>
      <c r="C76" s="774" t="s">
        <v>684</v>
      </c>
      <c r="D76" s="775"/>
      <c r="E76" s="112"/>
      <c r="F76" s="502" t="str">
        <f>IF(E73/0.95-E73&lt;E76,"Exceeds 5%","")</f>
        <v/>
      </c>
      <c r="G76" s="689">
        <f>SUM(G73:G75)</f>
        <v>8343</v>
      </c>
      <c r="H76" s="652" t="str">
        <f>CONCATENATE("Total ",E1," Resources Available")</f>
        <v>Total 2013 Resources Available</v>
      </c>
      <c r="I76" s="690"/>
      <c r="J76" s="683"/>
    </row>
    <row r="77" spans="2:11">
      <c r="B77" s="505" t="str">
        <f>CONCATENATE(C93,"     ",D93)</f>
        <v xml:space="preserve">     </v>
      </c>
      <c r="C77" s="776" t="s">
        <v>685</v>
      </c>
      <c r="D77" s="777"/>
      <c r="E77" s="265">
        <f>E73+E76</f>
        <v>8343</v>
      </c>
      <c r="G77" s="691"/>
      <c r="H77" s="692"/>
      <c r="I77" s="651"/>
      <c r="J77" s="683"/>
    </row>
    <row r="78" spans="2:11">
      <c r="B78" s="505" t="str">
        <f>CONCATENATE(C94,"     ",D94)</f>
        <v xml:space="preserve">     </v>
      </c>
      <c r="C78" s="321"/>
      <c r="D78" s="240" t="s">
        <v>171</v>
      </c>
      <c r="E78" s="120">
        <f>IF(E77-E61&gt;0,E77-E61,0)</f>
        <v>0</v>
      </c>
      <c r="G78" s="693">
        <f>ROUND(C73*0.05+C73,0)</f>
        <v>44796</v>
      </c>
      <c r="H78" s="652" t="str">
        <f>CONCATENATE("Less ",E1-2," Expenditures + 5%")</f>
        <v>Less 2011 Expenditures + 5%</v>
      </c>
      <c r="I78" s="690"/>
      <c r="J78" s="683"/>
    </row>
    <row r="79" spans="2:11">
      <c r="B79" s="240"/>
      <c r="C79" s="504" t="s">
        <v>686</v>
      </c>
      <c r="D79" s="649">
        <f>inputOth!$E$23</f>
        <v>0.05</v>
      </c>
      <c r="E79" s="265">
        <f>ROUND(IF(D79&gt;0,($E$78*D79),0),0)</f>
        <v>0</v>
      </c>
      <c r="G79" s="694">
        <f>G76-G78</f>
        <v>-36453</v>
      </c>
      <c r="H79" s="685" t="str">
        <f>CONCATENATE("Projected ",E1+1," carryover (est.)")</f>
        <v>Projected 2014 carryover (est.)</v>
      </c>
      <c r="I79" s="695"/>
      <c r="J79" s="696"/>
    </row>
    <row r="80" spans="2:11">
      <c r="B80" s="301"/>
      <c r="C80" s="782" t="str">
        <f>CONCATENATE("Amount of  ",$E$1-1," Ad Valorem Tax")</f>
        <v>Amount of  2012 Ad Valorem Tax</v>
      </c>
      <c r="D80" s="783"/>
      <c r="E80" s="348">
        <f>E78+E79</f>
        <v>0</v>
      </c>
      <c r="G80" s="1"/>
      <c r="H80" s="1"/>
      <c r="I80" s="1"/>
      <c r="J80" s="1"/>
    </row>
    <row r="81" spans="2:10">
      <c r="B81" s="287" t="s">
        <v>190</v>
      </c>
      <c r="C81" s="349"/>
      <c r="D81" s="85"/>
      <c r="E81" s="85"/>
      <c r="G81" s="787" t="s">
        <v>840</v>
      </c>
      <c r="H81" s="788"/>
      <c r="I81" s="788"/>
      <c r="J81" s="789"/>
    </row>
    <row r="82" spans="2:10">
      <c r="G82" s="668"/>
      <c r="H82" s="669"/>
      <c r="I82" s="670"/>
      <c r="J82" s="671"/>
    </row>
    <row r="83" spans="2:10">
      <c r="G83" s="672" t="str">
        <f>summ!H28</f>
        <v xml:space="preserve">  </v>
      </c>
      <c r="H83" s="669" t="str">
        <f>CONCATENATE("",E1," Fund Mill Rate")</f>
        <v>2013 Fund Mill Rate</v>
      </c>
      <c r="I83" s="670"/>
      <c r="J83" s="671"/>
    </row>
    <row r="84" spans="2:10">
      <c r="G84" s="673">
        <f>summ!E28</f>
        <v>0.193</v>
      </c>
      <c r="H84" s="669" t="str">
        <f>CONCATENATE("",E1-1," Fund Mill Rate")</f>
        <v>2012 Fund Mill Rate</v>
      </c>
      <c r="I84" s="670"/>
      <c r="J84" s="671"/>
    </row>
    <row r="85" spans="2:10">
      <c r="G85" s="674">
        <f>summ!H61</f>
        <v>59.232000000000006</v>
      </c>
      <c r="H85" s="669" t="str">
        <f>CONCATENATE("Total ",E1," Mill Rate")</f>
        <v>Total 2013 Mill Rate</v>
      </c>
      <c r="I85" s="670"/>
      <c r="J85" s="671"/>
    </row>
    <row r="86" spans="2:10">
      <c r="G86" s="673">
        <f>summ!E61</f>
        <v>59.207000000000001</v>
      </c>
      <c r="H86" s="675" t="str">
        <f>CONCATENATE("Total ",E1-1," Mill Rate")</f>
        <v>Total 2012 Mill Rate</v>
      </c>
      <c r="I86" s="676"/>
      <c r="J86" s="677"/>
    </row>
    <row r="91" spans="2:10" hidden="1">
      <c r="C91" s="72" t="str">
        <f>IF(C33&gt;C35,"See Tab A","")</f>
        <v/>
      </c>
      <c r="D91" s="72" t="str">
        <f>IF(D33&gt;D35,"See Tab C","")</f>
        <v/>
      </c>
    </row>
    <row r="92" spans="2:10" hidden="1">
      <c r="C92" s="72" t="str">
        <f>IF(C34&lt;0,"See Tab B","")</f>
        <v/>
      </c>
      <c r="D92" s="72" t="str">
        <f>IF(D34&lt;0,"See Tab D","")</f>
        <v/>
      </c>
    </row>
    <row r="93" spans="2:10" hidden="1">
      <c r="C93" s="72" t="str">
        <f>IF(C73&gt;C75,"See Tab A","")</f>
        <v/>
      </c>
      <c r="D93" s="72" t="str">
        <f>IF(D73&gt;D75,"See Tab C","")</f>
        <v/>
      </c>
    </row>
    <row r="94" spans="2:10" hidden="1">
      <c r="C94" s="72" t="str">
        <f>IF(C74&lt;0,"See Tab B","")</f>
        <v/>
      </c>
      <c r="D94" s="72" t="str">
        <f>IF(D74&lt;0,"See Tab D","")</f>
        <v/>
      </c>
    </row>
  </sheetData>
  <sheetProtection sheet="1"/>
  <mergeCells count="12">
    <mergeCell ref="G81:J81"/>
    <mergeCell ref="G24:J24"/>
    <mergeCell ref="G31:J31"/>
    <mergeCell ref="G41:J41"/>
    <mergeCell ref="G64:J64"/>
    <mergeCell ref="G71:J71"/>
    <mergeCell ref="C76:D76"/>
    <mergeCell ref="C77:D77"/>
    <mergeCell ref="C36:D36"/>
    <mergeCell ref="C37:D37"/>
    <mergeCell ref="C80:D80"/>
    <mergeCell ref="C40:D40"/>
  </mergeCells>
  <phoneticPr fontId="0" type="noConversion"/>
  <conditionalFormatting sqref="E71">
    <cfRule type="cellIs" dxfId="292" priority="3" stopIfTrue="1" operator="greaterThan">
      <formula>$E$73*0.1</formula>
    </cfRule>
  </conditionalFormatting>
  <conditionalFormatting sqref="E76">
    <cfRule type="cellIs" dxfId="291" priority="4" stopIfTrue="1" operator="greaterThan">
      <formula>$E$73/0.95-$E$73</formula>
    </cfRule>
  </conditionalFormatting>
  <conditionalFormatting sqref="E36">
    <cfRule type="cellIs" dxfId="290" priority="5" stopIfTrue="1" operator="greaterThan">
      <formula>$E$33/0.95-$E$33</formula>
    </cfRule>
  </conditionalFormatting>
  <conditionalFormatting sqref="E31">
    <cfRule type="cellIs" dxfId="289" priority="6" stopIfTrue="1" operator="greaterThan">
      <formula>$E$33*0.1</formula>
    </cfRule>
  </conditionalFormatting>
  <conditionalFormatting sqref="C74 C34">
    <cfRule type="cellIs" dxfId="288" priority="7" stopIfTrue="1" operator="lessThan">
      <formula>0</formula>
    </cfRule>
  </conditionalFormatting>
  <conditionalFormatting sqref="C73">
    <cfRule type="cellIs" dxfId="287" priority="8" stopIfTrue="1" operator="greaterThan">
      <formula>$C$75</formula>
    </cfRule>
  </conditionalFormatting>
  <conditionalFormatting sqref="D73">
    <cfRule type="cellIs" dxfId="286" priority="9" stopIfTrue="1" operator="greaterThan">
      <formula>$D$75</formula>
    </cfRule>
  </conditionalFormatting>
  <conditionalFormatting sqref="C71">
    <cfRule type="cellIs" dxfId="285" priority="10" stopIfTrue="1" operator="greaterThan">
      <formula>$C$73*0.1</formula>
    </cfRule>
  </conditionalFormatting>
  <conditionalFormatting sqref="D71">
    <cfRule type="cellIs" dxfId="284" priority="11" stopIfTrue="1" operator="greaterThan">
      <formula>$D$73*0.1</formula>
    </cfRule>
  </conditionalFormatting>
  <conditionalFormatting sqref="E58">
    <cfRule type="cellIs" dxfId="283" priority="12" stopIfTrue="1" operator="greaterThan">
      <formula>$E$60*0.1+E80</formula>
    </cfRule>
  </conditionalFormatting>
  <conditionalFormatting sqref="C58">
    <cfRule type="cellIs" dxfId="282" priority="13" stopIfTrue="1" operator="greaterThan">
      <formula>$C$60*0.1</formula>
    </cfRule>
  </conditionalFormatting>
  <conditionalFormatting sqref="D58">
    <cfRule type="cellIs" dxfId="281" priority="14" stopIfTrue="1" operator="greaterThan">
      <formula>$D$60*0.1</formula>
    </cfRule>
  </conditionalFormatting>
  <conditionalFormatting sqref="C33">
    <cfRule type="cellIs" dxfId="280" priority="15" stopIfTrue="1" operator="greaterThan">
      <formula>$C$35</formula>
    </cfRule>
  </conditionalFormatting>
  <conditionalFormatting sqref="D33">
    <cfRule type="cellIs" dxfId="279" priority="16" stopIfTrue="1" operator="greaterThan">
      <formula>$D$35</formula>
    </cfRule>
  </conditionalFormatting>
  <conditionalFormatting sqref="C31">
    <cfRule type="cellIs" dxfId="278" priority="17" stopIfTrue="1" operator="greaterThan">
      <formula>$C$33*0.1</formula>
    </cfRule>
  </conditionalFormatting>
  <conditionalFormatting sqref="D31">
    <cfRule type="cellIs" dxfId="277" priority="18" stopIfTrue="1" operator="greaterThan">
      <formula>$D$33*0.1</formula>
    </cfRule>
  </conditionalFormatting>
  <conditionalFormatting sqref="E18">
    <cfRule type="cellIs" dxfId="276" priority="19" stopIfTrue="1" operator="greaterThan">
      <formula>$E$20*0.1+E40</formula>
    </cfRule>
  </conditionalFormatting>
  <conditionalFormatting sqref="C18">
    <cfRule type="cellIs" dxfId="275" priority="20" stopIfTrue="1" operator="greaterThan">
      <formula>$C$20*0.1</formula>
    </cfRule>
  </conditionalFormatting>
  <conditionalFormatting sqref="D18">
    <cfRule type="cellIs" dxfId="274" priority="21" stopIfTrue="1" operator="greaterThan">
      <formula>$D$20*0.1</formula>
    </cfRule>
  </conditionalFormatting>
  <conditionalFormatting sqref="D34 D74">
    <cfRule type="cellIs" dxfId="273" priority="2" stopIfTrue="1" operator="lessThan">
      <formula>0</formula>
    </cfRule>
  </conditionalFormatting>
  <pageMargins left="1.1200000000000001" right="0.5" top="0.74" bottom="0.34" header="0.5" footer="0"/>
  <pageSetup scale="54" orientation="portrait" blackAndWhite="1" r:id="rId1"/>
  <headerFooter alignWithMargins="0">
    <oddHeader xml:space="preserve">&amp;RState of Kansas
County
</oddHeader>
  </headerFooter>
</worksheet>
</file>

<file path=xl/worksheets/sheet23.xml><?xml version="1.0" encoding="utf-8"?>
<worksheet xmlns="http://schemas.openxmlformats.org/spreadsheetml/2006/main" xmlns:r="http://schemas.openxmlformats.org/officeDocument/2006/relationships">
  <sheetPr codeName="Sheet18">
    <pageSetUpPr fitToPage="1"/>
  </sheetPr>
  <dimension ref="B1:K94"/>
  <sheetViews>
    <sheetView topLeftCell="A46" zoomScaleNormal="100" workbookViewId="0">
      <selection activeCell="I56" sqref="I56"/>
    </sheetView>
  </sheetViews>
  <sheetFormatPr defaultColWidth="8.88671875" defaultRowHeight="15.75"/>
  <cols>
    <col min="1" max="1" width="2.44140625" style="72" customWidth="1"/>
    <col min="2" max="2" width="31.109375" style="72" customWidth="1"/>
    <col min="3" max="4" width="15.77734375" style="72" customWidth="1"/>
    <col min="5" max="5" width="16.109375" style="72" customWidth="1"/>
    <col min="6" max="6" width="7.44140625" style="72" customWidth="1"/>
    <col min="7" max="7" width="10.21875" style="72" customWidth="1"/>
    <col min="8" max="8" width="8.88671875" style="72"/>
    <col min="9" max="9" width="5" style="72" customWidth="1"/>
    <col min="10" max="10" width="10" style="72" customWidth="1"/>
    <col min="11" max="16384" width="8.88671875" style="72"/>
  </cols>
  <sheetData>
    <row r="1" spans="2:5">
      <c r="B1" s="228" t="str">
        <f>(inputPrYr!C2)</f>
        <v>Franklin County</v>
      </c>
      <c r="C1" s="85"/>
      <c r="D1" s="85"/>
      <c r="E1" s="286">
        <f>inputPrYr!C4</f>
        <v>2013</v>
      </c>
    </row>
    <row r="2" spans="2:5">
      <c r="B2" s="85"/>
      <c r="C2" s="85"/>
      <c r="D2" s="85"/>
      <c r="E2" s="240"/>
    </row>
    <row r="3" spans="2:5">
      <c r="B3" s="152" t="s">
        <v>238</v>
      </c>
      <c r="C3" s="333"/>
      <c r="D3" s="333"/>
      <c r="E3" s="334"/>
    </row>
    <row r="4" spans="2:5">
      <c r="B4" s="84" t="s">
        <v>159</v>
      </c>
      <c r="C4" s="703" t="s">
        <v>841</v>
      </c>
      <c r="D4" s="704" t="s">
        <v>842</v>
      </c>
      <c r="E4" s="215" t="s">
        <v>843</v>
      </c>
    </row>
    <row r="5" spans="2:5">
      <c r="B5" s="484" t="str">
        <f>inputPrYr!B29</f>
        <v>Service for the Elderly</v>
      </c>
      <c r="C5" s="455" t="str">
        <f>CONCATENATE("Actual for ",E1-2,"")</f>
        <v>Actual for 2011</v>
      </c>
      <c r="D5" s="455" t="str">
        <f>CONCATENATE("Estimate for ",E1-1,"")</f>
        <v>Estimate for 2012</v>
      </c>
      <c r="E5" s="302" t="str">
        <f>CONCATENATE("Year for ",E1,"")</f>
        <v>Year for 2013</v>
      </c>
    </row>
    <row r="6" spans="2:5">
      <c r="B6" s="148" t="s">
        <v>280</v>
      </c>
      <c r="C6" s="452">
        <v>1371</v>
      </c>
      <c r="D6" s="456">
        <f>C34</f>
        <v>0</v>
      </c>
      <c r="E6" s="265">
        <f>D34</f>
        <v>8790</v>
      </c>
    </row>
    <row r="7" spans="2:5">
      <c r="B7" s="290" t="s">
        <v>282</v>
      </c>
      <c r="C7" s="305"/>
      <c r="D7" s="305"/>
      <c r="E7" s="127"/>
    </row>
    <row r="8" spans="2:5">
      <c r="B8" s="148" t="s">
        <v>160</v>
      </c>
      <c r="C8" s="452">
        <v>133739</v>
      </c>
      <c r="D8" s="456">
        <f>IF(inputPrYr!H29&gt;0,inputPrYr!H29,inputPrYr!E29)</f>
        <v>171464</v>
      </c>
      <c r="E8" s="337" t="s">
        <v>146</v>
      </c>
    </row>
    <row r="9" spans="2:5">
      <c r="B9" s="148" t="s">
        <v>161</v>
      </c>
      <c r="C9" s="452">
        <v>7374</v>
      </c>
      <c r="D9" s="452">
        <v>5000</v>
      </c>
      <c r="E9" s="112">
        <v>5000</v>
      </c>
    </row>
    <row r="10" spans="2:5">
      <c r="B10" s="148" t="s">
        <v>162</v>
      </c>
      <c r="C10" s="452">
        <v>17825</v>
      </c>
      <c r="D10" s="452">
        <v>16753</v>
      </c>
      <c r="E10" s="265">
        <f>mvalloc!E20</f>
        <v>20488</v>
      </c>
    </row>
    <row r="11" spans="2:5">
      <c r="B11" s="148" t="s">
        <v>163</v>
      </c>
      <c r="C11" s="452">
        <v>351</v>
      </c>
      <c r="D11" s="452">
        <v>362</v>
      </c>
      <c r="E11" s="265">
        <f>mvalloc!F20</f>
        <v>316</v>
      </c>
    </row>
    <row r="12" spans="2:5">
      <c r="B12" s="305" t="s">
        <v>229</v>
      </c>
      <c r="C12" s="452">
        <v>717</v>
      </c>
      <c r="D12" s="452">
        <v>573</v>
      </c>
      <c r="E12" s="265">
        <f>mvalloc!G20</f>
        <v>604</v>
      </c>
    </row>
    <row r="13" spans="2:5">
      <c r="B13" s="318"/>
      <c r="C13" s="452"/>
      <c r="D13" s="452"/>
      <c r="E13" s="112"/>
    </row>
    <row r="14" spans="2:5">
      <c r="B14" s="318"/>
      <c r="C14" s="452"/>
      <c r="D14" s="452"/>
      <c r="E14" s="112"/>
    </row>
    <row r="15" spans="2:5">
      <c r="B15" s="318"/>
      <c r="C15" s="452"/>
      <c r="D15" s="452"/>
      <c r="E15" s="112"/>
    </row>
    <row r="16" spans="2:5">
      <c r="B16" s="318"/>
      <c r="C16" s="452"/>
      <c r="D16" s="452"/>
      <c r="E16" s="112"/>
    </row>
    <row r="17" spans="2:10">
      <c r="B17" s="308"/>
      <c r="C17" s="452"/>
      <c r="D17" s="452"/>
      <c r="E17" s="112"/>
    </row>
    <row r="18" spans="2:10">
      <c r="B18" s="309" t="s">
        <v>73</v>
      </c>
      <c r="C18" s="452"/>
      <c r="D18" s="452"/>
      <c r="E18" s="112"/>
    </row>
    <row r="19" spans="2:10">
      <c r="B19" s="309" t="s">
        <v>74</v>
      </c>
      <c r="C19" s="453" t="str">
        <f>IF(C20*0.1&lt;C18,"Exceed 10% Rule","")</f>
        <v/>
      </c>
      <c r="D19" s="453" t="str">
        <f>IF(D20*0.1&lt;D18,"Exceed 10% Rule","")</f>
        <v/>
      </c>
      <c r="E19" s="344" t="str">
        <f>IF(E20*0.1+E40&lt;E18,"Exceed 10% Rule","")</f>
        <v/>
      </c>
    </row>
    <row r="20" spans="2:10">
      <c r="B20" s="311" t="s">
        <v>165</v>
      </c>
      <c r="C20" s="454">
        <f>SUM(C8:C18)</f>
        <v>160006</v>
      </c>
      <c r="D20" s="454">
        <f>SUM(D8:D18)</f>
        <v>194152</v>
      </c>
      <c r="E20" s="352">
        <f>SUM(E8:E18)</f>
        <v>26408</v>
      </c>
    </row>
    <row r="21" spans="2:10">
      <c r="B21" s="311" t="s">
        <v>166</v>
      </c>
      <c r="C21" s="454">
        <f>C6+C20</f>
        <v>161377</v>
      </c>
      <c r="D21" s="454">
        <f>D6+D20</f>
        <v>194152</v>
      </c>
      <c r="E21" s="352">
        <f>E6+E20</f>
        <v>35198</v>
      </c>
    </row>
    <row r="22" spans="2:10">
      <c r="B22" s="148" t="s">
        <v>169</v>
      </c>
      <c r="C22" s="309"/>
      <c r="D22" s="309"/>
      <c r="E22" s="108"/>
    </row>
    <row r="23" spans="2:10">
      <c r="B23" s="318" t="s">
        <v>175</v>
      </c>
      <c r="C23" s="452">
        <v>161377</v>
      </c>
      <c r="D23" s="452">
        <v>185362</v>
      </c>
      <c r="E23" s="112">
        <v>0</v>
      </c>
    </row>
    <row r="24" spans="2:10">
      <c r="B24" s="318" t="s">
        <v>1066</v>
      </c>
      <c r="C24" s="452">
        <v>0</v>
      </c>
      <c r="D24" s="452">
        <v>0</v>
      </c>
      <c r="E24" s="112">
        <v>35198</v>
      </c>
      <c r="G24" s="784" t="str">
        <f>CONCATENATE("Desired Carryover Into ",E1+1,"")</f>
        <v>Desired Carryover Into 2014</v>
      </c>
      <c r="H24" s="785"/>
      <c r="I24" s="785"/>
      <c r="J24" s="786"/>
    </row>
    <row r="25" spans="2:10">
      <c r="B25" s="318"/>
      <c r="C25" s="452"/>
      <c r="D25" s="452"/>
      <c r="E25" s="112"/>
      <c r="G25" s="650"/>
      <c r="H25" s="651"/>
      <c r="I25" s="652"/>
      <c r="J25" s="653"/>
    </row>
    <row r="26" spans="2:10">
      <c r="B26" s="318"/>
      <c r="C26" s="452"/>
      <c r="D26" s="452"/>
      <c r="E26" s="112"/>
      <c r="G26" s="654" t="s">
        <v>687</v>
      </c>
      <c r="H26" s="652"/>
      <c r="I26" s="652"/>
      <c r="J26" s="655">
        <v>0</v>
      </c>
    </row>
    <row r="27" spans="2:10">
      <c r="B27" s="318"/>
      <c r="C27" s="452"/>
      <c r="D27" s="452"/>
      <c r="E27" s="112"/>
      <c r="G27" s="650" t="s">
        <v>688</v>
      </c>
      <c r="H27" s="651"/>
      <c r="I27" s="651"/>
      <c r="J27" s="656" t="str">
        <f>IF(J26=0,"",ROUND((J26+E40-G39)/inputOth!E6*1000,3)-G44)</f>
        <v/>
      </c>
    </row>
    <row r="28" spans="2:10">
      <c r="B28" s="318"/>
      <c r="C28" s="452"/>
      <c r="D28" s="452"/>
      <c r="E28" s="112"/>
      <c r="G28" s="657" t="str">
        <f>CONCATENATE("",E1," Tot Exp/Non-Appr Must Be:")</f>
        <v>2013 Tot Exp/Non-Appr Must Be:</v>
      </c>
      <c r="H28" s="658"/>
      <c r="I28" s="659"/>
      <c r="J28" s="660">
        <f>IF(J26&gt;0,IF(E37&lt;E21,IF(J26=G39,E37,((J26-G39)*(1-D39))+E21),E37+(J26-G39)),0)</f>
        <v>0</v>
      </c>
    </row>
    <row r="29" spans="2:10">
      <c r="B29" s="318"/>
      <c r="C29" s="452"/>
      <c r="D29" s="452"/>
      <c r="E29" s="112"/>
      <c r="G29" s="661" t="s">
        <v>839</v>
      </c>
      <c r="H29" s="662"/>
      <c r="I29" s="662"/>
      <c r="J29" s="663">
        <f>IF(J26&gt;0,J28-E37,0)</f>
        <v>0</v>
      </c>
    </row>
    <row r="30" spans="2:10">
      <c r="B30" s="309" t="s">
        <v>75</v>
      </c>
      <c r="C30" s="452"/>
      <c r="D30" s="452"/>
      <c r="E30" s="120" t="str">
        <f>Nhood!E19</f>
        <v/>
      </c>
      <c r="G30" s="1"/>
      <c r="H30" s="1"/>
      <c r="I30" s="1"/>
      <c r="J30" s="1"/>
    </row>
    <row r="31" spans="2:10">
      <c r="B31" s="309" t="s">
        <v>73</v>
      </c>
      <c r="C31" s="452"/>
      <c r="D31" s="452"/>
      <c r="E31" s="112"/>
      <c r="G31" s="784" t="str">
        <f>CONCATENATE("Projected Carryover Into ",E1+1,"")</f>
        <v>Projected Carryover Into 2014</v>
      </c>
      <c r="H31" s="791"/>
      <c r="I31" s="791"/>
      <c r="J31" s="792"/>
    </row>
    <row r="32" spans="2:10">
      <c r="B32" s="309" t="s">
        <v>76</v>
      </c>
      <c r="C32" s="453" t="str">
        <f>IF(C33*0.1&lt;C31,"Exceed 10% Rule","")</f>
        <v/>
      </c>
      <c r="D32" s="453" t="str">
        <f>IF(D33*0.1&lt;D31,"Exceed 10% Rule","")</f>
        <v/>
      </c>
      <c r="E32" s="344" t="str">
        <f>IF(E33*0.1&lt;E31,"Exceed 10% Rule","")</f>
        <v/>
      </c>
      <c r="G32" s="650"/>
      <c r="H32" s="652"/>
      <c r="I32" s="652"/>
      <c r="J32" s="678"/>
    </row>
    <row r="33" spans="2:11">
      <c r="B33" s="311" t="s">
        <v>170</v>
      </c>
      <c r="C33" s="454">
        <f>SUM(C23:C31)</f>
        <v>161377</v>
      </c>
      <c r="D33" s="454">
        <f>SUM(D23:D31)</f>
        <v>185362</v>
      </c>
      <c r="E33" s="352">
        <f>SUM(E23:E31)</f>
        <v>35198</v>
      </c>
      <c r="G33" s="679">
        <f>D34</f>
        <v>8790</v>
      </c>
      <c r="H33" s="669" t="str">
        <f>CONCATENATE("",E1-1," Ending Cash Balance (est.)")</f>
        <v>2012 Ending Cash Balance (est.)</v>
      </c>
      <c r="I33" s="680"/>
      <c r="J33" s="678"/>
    </row>
    <row r="34" spans="2:11">
      <c r="B34" s="148" t="s">
        <v>281</v>
      </c>
      <c r="C34" s="457">
        <f>C21-C33</f>
        <v>0</v>
      </c>
      <c r="D34" s="457">
        <f>D21-D33</f>
        <v>8790</v>
      </c>
      <c r="E34" s="337" t="s">
        <v>146</v>
      </c>
      <c r="G34" s="679">
        <f>E20</f>
        <v>26408</v>
      </c>
      <c r="H34" s="652" t="str">
        <f>CONCATENATE("",E1," Non-AV Receipts (est.)")</f>
        <v>2013 Non-AV Receipts (est.)</v>
      </c>
      <c r="I34" s="680"/>
      <c r="J34" s="678"/>
    </row>
    <row r="35" spans="2:11">
      <c r="B35" s="287" t="str">
        <f>CONCATENATE("",E$1-2,"/",E$1-1," Budget Authority Amount:")</f>
        <v>2011/2012 Budget Authority Amount:</v>
      </c>
      <c r="C35" s="279">
        <f>inputOth!B43</f>
        <v>166734</v>
      </c>
      <c r="D35" s="279">
        <f>inputPrYr!D29</f>
        <v>185987</v>
      </c>
      <c r="E35" s="337" t="s">
        <v>146</v>
      </c>
      <c r="F35" s="320"/>
      <c r="G35" s="681">
        <f>IF(E39&gt;0,E38,E40)</f>
        <v>0</v>
      </c>
      <c r="H35" s="652" t="str">
        <f>CONCATENATE("",E1," Ad Valorem Tax (est.)")</f>
        <v>2013 Ad Valorem Tax (est.)</v>
      </c>
      <c r="I35" s="680"/>
      <c r="J35" s="678"/>
      <c r="K35" s="666" t="str">
        <f>IF(G35=E40,"","Note: Does not include Delinquent Taxes")</f>
        <v/>
      </c>
    </row>
    <row r="36" spans="2:11">
      <c r="B36" s="287"/>
      <c r="C36" s="774" t="s">
        <v>684</v>
      </c>
      <c r="D36" s="775"/>
      <c r="E36" s="112"/>
      <c r="F36" s="502" t="str">
        <f>IF(E33/0.95-E33&lt;E36,"Exceeds 5%","")</f>
        <v/>
      </c>
      <c r="G36" s="679">
        <f>SUM(G33:G35)</f>
        <v>35198</v>
      </c>
      <c r="H36" s="652" t="str">
        <f>CONCATENATE("Total ",E1," Resources Available")</f>
        <v>Total 2013 Resources Available</v>
      </c>
      <c r="I36" s="680"/>
      <c r="J36" s="678"/>
    </row>
    <row r="37" spans="2:11">
      <c r="B37" s="506" t="str">
        <f>CONCATENATE(C91,"     ",D91)</f>
        <v xml:space="preserve">     </v>
      </c>
      <c r="C37" s="776" t="s">
        <v>685</v>
      </c>
      <c r="D37" s="777"/>
      <c r="E37" s="265">
        <f>E33+E36</f>
        <v>35198</v>
      </c>
      <c r="G37" s="682"/>
      <c r="H37" s="652"/>
      <c r="I37" s="652"/>
      <c r="J37" s="678"/>
    </row>
    <row r="38" spans="2:11">
      <c r="B38" s="506" t="str">
        <f>CONCATENATE(C92,"     ",D92)</f>
        <v xml:space="preserve">     </v>
      </c>
      <c r="C38" s="321"/>
      <c r="D38" s="240" t="s">
        <v>171</v>
      </c>
      <c r="E38" s="120">
        <f>IF(E37-E21&gt;0,E37-E21,0)</f>
        <v>0</v>
      </c>
      <c r="G38" s="681">
        <f>ROUND(C33*0.05+C33,0)</f>
        <v>169446</v>
      </c>
      <c r="H38" s="652" t="str">
        <f>CONCATENATE("Less ",E1-2," Expenditures + 5%")</f>
        <v>Less 2011 Expenditures + 5%</v>
      </c>
      <c r="I38" s="680"/>
      <c r="J38" s="683"/>
    </row>
    <row r="39" spans="2:11">
      <c r="B39" s="240"/>
      <c r="C39" s="504" t="s">
        <v>686</v>
      </c>
      <c r="D39" s="649">
        <f>inputOth!$E$23</f>
        <v>0.05</v>
      </c>
      <c r="E39" s="265">
        <f>ROUND(IF(D39&gt;0,($E$38*D39),0),0)</f>
        <v>0</v>
      </c>
      <c r="G39" s="684">
        <f>G36-G38</f>
        <v>-134248</v>
      </c>
      <c r="H39" s="685" t="str">
        <f>CONCATENATE("Projected ",E1+1," carryover (est.)")</f>
        <v>Projected 2014 carryover (est.)</v>
      </c>
      <c r="I39" s="686"/>
      <c r="J39" s="687"/>
    </row>
    <row r="40" spans="2:11">
      <c r="B40" s="85"/>
      <c r="C40" s="782" t="str">
        <f>CONCATENATE("Amount of  ",$E$1-1," Ad Valorem Tax")</f>
        <v>Amount of  2012 Ad Valorem Tax</v>
      </c>
      <c r="D40" s="783"/>
      <c r="E40" s="348">
        <f>E38+E39</f>
        <v>0</v>
      </c>
      <c r="G40" s="1"/>
      <c r="H40" s="1"/>
      <c r="I40" s="1"/>
      <c r="J40" s="1"/>
    </row>
    <row r="41" spans="2:11">
      <c r="B41" s="85"/>
      <c r="C41" s="327"/>
      <c r="D41" s="327"/>
      <c r="E41" s="327"/>
      <c r="G41" s="787" t="s">
        <v>840</v>
      </c>
      <c r="H41" s="788"/>
      <c r="I41" s="788"/>
      <c r="J41" s="789"/>
    </row>
    <row r="42" spans="2:11">
      <c r="B42" s="84" t="s">
        <v>159</v>
      </c>
      <c r="C42" s="703" t="str">
        <f t="shared" ref="C42:E43" si="0">C4</f>
        <v xml:space="preserve">Prior Year </v>
      </c>
      <c r="D42" s="704" t="str">
        <f t="shared" si="0"/>
        <v xml:space="preserve">Current Year </v>
      </c>
      <c r="E42" s="215" t="str">
        <f t="shared" si="0"/>
        <v xml:space="preserve">Proposed Budget </v>
      </c>
      <c r="G42" s="668"/>
      <c r="H42" s="669"/>
      <c r="I42" s="670"/>
      <c r="J42" s="671"/>
    </row>
    <row r="43" spans="2:11">
      <c r="B43" s="483" t="str">
        <f>inputPrYr!B30</f>
        <v>Extension Council</v>
      </c>
      <c r="C43" s="455" t="str">
        <f t="shared" si="0"/>
        <v>Actual for 2011</v>
      </c>
      <c r="D43" s="455" t="str">
        <f t="shared" si="0"/>
        <v>Estimate for 2012</v>
      </c>
      <c r="E43" s="302" t="str">
        <f t="shared" si="0"/>
        <v>Year for 2013</v>
      </c>
      <c r="G43" s="672" t="str">
        <f>summ!H29</f>
        <v xml:space="preserve">  </v>
      </c>
      <c r="H43" s="669" t="str">
        <f>CONCATENATE("",E1," Fund Mill Rate")</f>
        <v>2013 Fund Mill Rate</v>
      </c>
      <c r="I43" s="670"/>
      <c r="J43" s="671"/>
    </row>
    <row r="44" spans="2:11">
      <c r="B44" s="148" t="s">
        <v>280</v>
      </c>
      <c r="C44" s="452">
        <v>1578</v>
      </c>
      <c r="D44" s="456">
        <f>C74</f>
        <v>0</v>
      </c>
      <c r="E44" s="265">
        <f>D74</f>
        <v>0</v>
      </c>
      <c r="G44" s="673">
        <f>summ!E29</f>
        <v>0.82499999999999996</v>
      </c>
      <c r="H44" s="669" t="str">
        <f>CONCATENATE("",E1-1," Fund Mill Rate")</f>
        <v>2012 Fund Mill Rate</v>
      </c>
      <c r="I44" s="670"/>
      <c r="J44" s="671"/>
    </row>
    <row r="45" spans="2:11">
      <c r="B45" s="303" t="s">
        <v>282</v>
      </c>
      <c r="C45" s="305"/>
      <c r="D45" s="305"/>
      <c r="E45" s="127"/>
      <c r="G45" s="674">
        <f>summ!H61</f>
        <v>59.232000000000006</v>
      </c>
      <c r="H45" s="669" t="str">
        <f>CONCATENATE("Total ",E1," Mill Rate")</f>
        <v>Total 2013 Mill Rate</v>
      </c>
      <c r="I45" s="670"/>
      <c r="J45" s="671"/>
    </row>
    <row r="46" spans="2:11">
      <c r="B46" s="148" t="s">
        <v>160</v>
      </c>
      <c r="C46" s="452">
        <v>3</v>
      </c>
      <c r="D46" s="456">
        <f>IF(inputPrYr!H30&gt;0,inputPrYr!H30,inputPrYr!E30)</f>
        <v>0</v>
      </c>
      <c r="E46" s="337" t="s">
        <v>146</v>
      </c>
      <c r="G46" s="673">
        <f>summ!E61</f>
        <v>59.207000000000001</v>
      </c>
      <c r="H46" s="675" t="str">
        <f>CONCATENATE("Total ",E1-1," Mill Rate")</f>
        <v>Total 2012 Mill Rate</v>
      </c>
      <c r="I46" s="676"/>
      <c r="J46" s="677"/>
    </row>
    <row r="47" spans="2:11">
      <c r="B47" s="148" t="s">
        <v>161</v>
      </c>
      <c r="C47" s="452">
        <v>3011</v>
      </c>
      <c r="D47" s="452">
        <v>0</v>
      </c>
      <c r="E47" s="112">
        <v>0</v>
      </c>
      <c r="G47" s="1"/>
      <c r="H47" s="1"/>
      <c r="I47" s="1"/>
      <c r="J47" s="1"/>
    </row>
    <row r="48" spans="2:11">
      <c r="B48" s="148" t="s">
        <v>162</v>
      </c>
      <c r="C48" s="452">
        <v>9397</v>
      </c>
      <c r="D48" s="452">
        <v>0</v>
      </c>
      <c r="E48" s="265" t="str">
        <f>mvalloc!E21</f>
        <v xml:space="preserve">  </v>
      </c>
      <c r="G48" s="1"/>
      <c r="H48" s="1"/>
      <c r="I48" s="1"/>
      <c r="J48" s="1"/>
    </row>
    <row r="49" spans="2:10">
      <c r="B49" s="148" t="s">
        <v>163</v>
      </c>
      <c r="C49" s="452">
        <v>186</v>
      </c>
      <c r="D49" s="452">
        <v>0</v>
      </c>
      <c r="E49" s="265" t="str">
        <f>mvalloc!F21</f>
        <v xml:space="preserve">  </v>
      </c>
      <c r="G49" s="1"/>
      <c r="H49" s="1"/>
      <c r="I49" s="1"/>
      <c r="J49" s="1"/>
    </row>
    <row r="50" spans="2:10">
      <c r="B50" s="305" t="s">
        <v>229</v>
      </c>
      <c r="C50" s="452">
        <v>521</v>
      </c>
      <c r="D50" s="452">
        <v>0</v>
      </c>
      <c r="E50" s="265" t="str">
        <f>mvalloc!G21</f>
        <v xml:space="preserve">  </v>
      </c>
      <c r="G50" s="1"/>
      <c r="H50" s="1"/>
      <c r="I50" s="1"/>
      <c r="J50" s="1"/>
    </row>
    <row r="51" spans="2:10">
      <c r="B51" s="318"/>
      <c r="C51" s="452"/>
      <c r="D51" s="452"/>
      <c r="E51" s="112"/>
      <c r="G51" s="1"/>
      <c r="H51" s="1"/>
      <c r="I51" s="1"/>
      <c r="J51" s="1"/>
    </row>
    <row r="52" spans="2:10">
      <c r="B52" s="318"/>
      <c r="C52" s="452"/>
      <c r="D52" s="452"/>
      <c r="E52" s="112"/>
      <c r="G52" s="1"/>
      <c r="H52" s="1"/>
      <c r="I52" s="1"/>
      <c r="J52" s="1"/>
    </row>
    <row r="53" spans="2:10">
      <c r="B53" s="318"/>
      <c r="C53" s="452"/>
      <c r="D53" s="452"/>
      <c r="E53" s="112"/>
      <c r="G53" s="1"/>
      <c r="H53" s="1"/>
      <c r="I53" s="1"/>
      <c r="J53" s="1"/>
    </row>
    <row r="54" spans="2:10">
      <c r="B54" s="318"/>
      <c r="C54" s="452"/>
      <c r="D54" s="452"/>
      <c r="E54" s="112"/>
      <c r="G54" s="1"/>
      <c r="H54" s="1"/>
      <c r="I54" s="1"/>
      <c r="J54" s="1"/>
    </row>
    <row r="55" spans="2:10">
      <c r="B55" s="318"/>
      <c r="C55" s="452"/>
      <c r="D55" s="452"/>
      <c r="E55" s="112"/>
      <c r="G55" s="1"/>
      <c r="H55" s="1"/>
      <c r="I55" s="1"/>
      <c r="J55" s="1"/>
    </row>
    <row r="56" spans="2:10">
      <c r="B56" s="318"/>
      <c r="C56" s="452"/>
      <c r="D56" s="452"/>
      <c r="E56" s="112"/>
      <c r="G56" s="1"/>
      <c r="H56" s="1"/>
      <c r="I56" s="1"/>
      <c r="J56" s="1"/>
    </row>
    <row r="57" spans="2:10">
      <c r="B57" s="308"/>
      <c r="C57" s="452"/>
      <c r="D57" s="452"/>
      <c r="E57" s="112"/>
      <c r="G57" s="1"/>
      <c r="H57" s="1"/>
      <c r="I57" s="1"/>
      <c r="J57" s="1"/>
    </row>
    <row r="58" spans="2:10">
      <c r="B58" s="309" t="s">
        <v>73</v>
      </c>
      <c r="C58" s="452"/>
      <c r="D58" s="452"/>
      <c r="E58" s="112"/>
      <c r="G58" s="1"/>
      <c r="H58" s="1"/>
      <c r="I58" s="1"/>
      <c r="J58" s="1"/>
    </row>
    <row r="59" spans="2:10">
      <c r="B59" s="309" t="s">
        <v>74</v>
      </c>
      <c r="C59" s="453" t="str">
        <f>IF(C60*0.1&lt;C58,"Exceed 10% Rule","")</f>
        <v/>
      </c>
      <c r="D59" s="453" t="str">
        <f>IF(D60*0.1&lt;D58,"Exceed 10% Rule","")</f>
        <v/>
      </c>
      <c r="E59" s="344" t="str">
        <f>IF(E60*0.1+E80&lt;E58,"Exceed 10% Rule","")</f>
        <v/>
      </c>
      <c r="G59" s="1"/>
      <c r="H59" s="1"/>
      <c r="I59" s="1"/>
      <c r="J59" s="1"/>
    </row>
    <row r="60" spans="2:10">
      <c r="B60" s="311" t="s">
        <v>165</v>
      </c>
      <c r="C60" s="454">
        <f>SUM(C46:C58)</f>
        <v>13118</v>
      </c>
      <c r="D60" s="454">
        <f>SUM(D46:D58)</f>
        <v>0</v>
      </c>
      <c r="E60" s="352">
        <f>SUM(E46:E58)</f>
        <v>0</v>
      </c>
      <c r="G60" s="1"/>
      <c r="H60" s="1"/>
      <c r="I60" s="1"/>
      <c r="J60" s="1"/>
    </row>
    <row r="61" spans="2:10">
      <c r="B61" s="311" t="s">
        <v>166</v>
      </c>
      <c r="C61" s="454">
        <f>C44+C60</f>
        <v>14696</v>
      </c>
      <c r="D61" s="454">
        <f>D44+D60</f>
        <v>0</v>
      </c>
      <c r="E61" s="352">
        <f>E44+E60</f>
        <v>0</v>
      </c>
      <c r="G61" s="1"/>
      <c r="H61" s="1"/>
      <c r="I61" s="1"/>
      <c r="J61" s="1"/>
    </row>
    <row r="62" spans="2:10">
      <c r="B62" s="148" t="s">
        <v>169</v>
      </c>
      <c r="C62" s="309"/>
      <c r="D62" s="309"/>
      <c r="E62" s="108"/>
      <c r="G62" s="1"/>
      <c r="H62" s="1"/>
      <c r="I62" s="1"/>
      <c r="J62" s="1"/>
    </row>
    <row r="63" spans="2:10">
      <c r="B63" s="318" t="s">
        <v>175</v>
      </c>
      <c r="C63" s="452">
        <v>14696</v>
      </c>
      <c r="D63" s="452">
        <v>0</v>
      </c>
      <c r="E63" s="112">
        <v>0</v>
      </c>
      <c r="G63" s="1"/>
      <c r="H63" s="1"/>
      <c r="I63" s="1"/>
      <c r="J63" s="1"/>
    </row>
    <row r="64" spans="2:10">
      <c r="B64" s="318"/>
      <c r="C64" s="452"/>
      <c r="D64" s="452"/>
      <c r="E64" s="112"/>
      <c r="G64" s="784" t="str">
        <f>CONCATENATE("Desired Carryover Into ",E1+1,"")</f>
        <v>Desired Carryover Into 2014</v>
      </c>
      <c r="H64" s="785"/>
      <c r="I64" s="785"/>
      <c r="J64" s="786"/>
    </row>
    <row r="65" spans="2:11">
      <c r="B65" s="318"/>
      <c r="C65" s="452"/>
      <c r="D65" s="452"/>
      <c r="E65" s="112"/>
      <c r="G65" s="650"/>
      <c r="H65" s="651"/>
      <c r="I65" s="652"/>
      <c r="J65" s="653"/>
    </row>
    <row r="66" spans="2:11">
      <c r="B66" s="318"/>
      <c r="C66" s="452"/>
      <c r="D66" s="452"/>
      <c r="E66" s="112"/>
      <c r="G66" s="654" t="s">
        <v>687</v>
      </c>
      <c r="H66" s="652"/>
      <c r="I66" s="652"/>
      <c r="J66" s="655">
        <v>0</v>
      </c>
    </row>
    <row r="67" spans="2:11">
      <c r="B67" s="318"/>
      <c r="C67" s="452"/>
      <c r="D67" s="452"/>
      <c r="E67" s="112"/>
      <c r="G67" s="650" t="s">
        <v>688</v>
      </c>
      <c r="H67" s="651"/>
      <c r="I67" s="651"/>
      <c r="J67" s="656" t="str">
        <f>IF(J66=0,"",ROUND((J66+E80-G79)/inputOth!E6*1000,3)-G84)</f>
        <v/>
      </c>
    </row>
    <row r="68" spans="2:11">
      <c r="B68" s="318"/>
      <c r="C68" s="452"/>
      <c r="D68" s="452"/>
      <c r="E68" s="112"/>
      <c r="G68" s="657" t="str">
        <f>CONCATENATE("",E1," Tot Exp/Non-Appr Must Be:")</f>
        <v>2013 Tot Exp/Non-Appr Must Be:</v>
      </c>
      <c r="H68" s="658"/>
      <c r="I68" s="659"/>
      <c r="J68" s="660">
        <f>IF(J66&gt;0,IF(E77&lt;E61,IF(J66=G79,E77,((J66-G79)*(1-D79))+E61),E77+(J66-G79)),0)</f>
        <v>0</v>
      </c>
    </row>
    <row r="69" spans="2:11">
      <c r="B69" s="318"/>
      <c r="C69" s="452"/>
      <c r="D69" s="452"/>
      <c r="E69" s="112"/>
      <c r="G69" s="661" t="s">
        <v>839</v>
      </c>
      <c r="H69" s="662"/>
      <c r="I69" s="662"/>
      <c r="J69" s="663">
        <f>IF(J66&gt;0,J68-E77,0)</f>
        <v>0</v>
      </c>
    </row>
    <row r="70" spans="2:11">
      <c r="B70" s="309" t="s">
        <v>75</v>
      </c>
      <c r="C70" s="452"/>
      <c r="D70" s="452"/>
      <c r="E70" s="120" t="str">
        <f>Nhood!E20</f>
        <v/>
      </c>
      <c r="G70" s="1"/>
      <c r="H70" s="1"/>
      <c r="I70" s="1"/>
      <c r="J70" s="1"/>
    </row>
    <row r="71" spans="2:11">
      <c r="B71" s="309" t="s">
        <v>73</v>
      </c>
      <c r="C71" s="452"/>
      <c r="D71" s="452"/>
      <c r="E71" s="112"/>
      <c r="G71" s="784" t="str">
        <f>CONCATENATE("Projected Carryover Into ",E1+1,"")</f>
        <v>Projected Carryover Into 2014</v>
      </c>
      <c r="H71" s="793"/>
      <c r="I71" s="793"/>
      <c r="J71" s="792"/>
    </row>
    <row r="72" spans="2:11">
      <c r="B72" s="309" t="s">
        <v>76</v>
      </c>
      <c r="C72" s="453" t="str">
        <f>IF(C73*0.1&lt;C71,"Exceed 10% Rule","")</f>
        <v/>
      </c>
      <c r="D72" s="453" t="str">
        <f>IF(D73*0.1&lt;D71,"Exceed 10% Rule","")</f>
        <v/>
      </c>
      <c r="E72" s="344" t="str">
        <f>IF(E73*0.1&lt;E71,"Exceed 10% Rule","")</f>
        <v/>
      </c>
      <c r="G72" s="688"/>
      <c r="H72" s="651"/>
      <c r="I72" s="651"/>
      <c r="J72" s="683"/>
    </row>
    <row r="73" spans="2:11">
      <c r="B73" s="311" t="s">
        <v>170</v>
      </c>
      <c r="C73" s="454">
        <f>SUM(C63:C71)</f>
        <v>14696</v>
      </c>
      <c r="D73" s="454">
        <f>SUM(D63:D71)</f>
        <v>0</v>
      </c>
      <c r="E73" s="352">
        <f>SUM(E63:E71)</f>
        <v>0</v>
      </c>
      <c r="G73" s="679">
        <f>D74</f>
        <v>0</v>
      </c>
      <c r="H73" s="669" t="str">
        <f>CONCATENATE("",E1-1," Ending Cash Balance (est.)")</f>
        <v>2012 Ending Cash Balance (est.)</v>
      </c>
      <c r="I73" s="680"/>
      <c r="J73" s="683"/>
    </row>
    <row r="74" spans="2:11">
      <c r="B74" s="148" t="s">
        <v>281</v>
      </c>
      <c r="C74" s="457">
        <f>C61-C73</f>
        <v>0</v>
      </c>
      <c r="D74" s="457">
        <f>D61-D73</f>
        <v>0</v>
      </c>
      <c r="E74" s="337" t="s">
        <v>146</v>
      </c>
      <c r="G74" s="679">
        <f>E60</f>
        <v>0</v>
      </c>
      <c r="H74" s="652" t="str">
        <f>CONCATENATE("",E1," Non-AV Receipts (est.)")</f>
        <v>2013 Non-AV Receipts (est.)</v>
      </c>
      <c r="I74" s="680"/>
      <c r="J74" s="683"/>
    </row>
    <row r="75" spans="2:11">
      <c r="B75" s="287" t="str">
        <f>CONCATENATE("",E$1-2,"/",E$1-1," Budget Authority Amount:")</f>
        <v>2011/2012 Budget Authority Amount:</v>
      </c>
      <c r="C75" s="279">
        <f>inputOth!B44</f>
        <v>39135</v>
      </c>
      <c r="D75" s="279">
        <f>inputPrYr!D30</f>
        <v>0</v>
      </c>
      <c r="E75" s="337" t="s">
        <v>146</v>
      </c>
      <c r="F75" s="320"/>
      <c r="G75" s="681">
        <f>IF(E79&gt;0,E78,E80)</f>
        <v>0</v>
      </c>
      <c r="H75" s="652" t="str">
        <f>CONCATENATE("",E1," Ad Valorem Tax (est.)")</f>
        <v>2013 Ad Valorem Tax (est.)</v>
      </c>
      <c r="I75" s="680"/>
      <c r="J75" s="683"/>
      <c r="K75" s="666" t="str">
        <f>IF(G75=E80,"","Note: Does not include Delinquent Taxes")</f>
        <v/>
      </c>
    </row>
    <row r="76" spans="2:11">
      <c r="B76" s="287"/>
      <c r="C76" s="774" t="s">
        <v>684</v>
      </c>
      <c r="D76" s="775"/>
      <c r="E76" s="112"/>
      <c r="F76" s="502" t="str">
        <f>IF(E73/0.95-E73&lt;E76,"Exceeds 5%","")</f>
        <v/>
      </c>
      <c r="G76" s="689">
        <f>SUM(G73:G75)</f>
        <v>0</v>
      </c>
      <c r="H76" s="652" t="str">
        <f>CONCATENATE("Total ",E1," Resources Available")</f>
        <v>Total 2013 Resources Available</v>
      </c>
      <c r="I76" s="690"/>
      <c r="J76" s="683"/>
    </row>
    <row r="77" spans="2:11">
      <c r="B77" s="505" t="str">
        <f>CONCATENATE(C93,"     ",D93)</f>
        <v xml:space="preserve">     </v>
      </c>
      <c r="C77" s="776" t="s">
        <v>685</v>
      </c>
      <c r="D77" s="777"/>
      <c r="E77" s="265">
        <f>E73+E76</f>
        <v>0</v>
      </c>
      <c r="G77" s="691"/>
      <c r="H77" s="692"/>
      <c r="I77" s="651"/>
      <c r="J77" s="683"/>
    </row>
    <row r="78" spans="2:11">
      <c r="B78" s="505" t="str">
        <f>CONCATENATE(C94,"     ",D94)</f>
        <v xml:space="preserve">     </v>
      </c>
      <c r="C78" s="321"/>
      <c r="D78" s="240" t="s">
        <v>171</v>
      </c>
      <c r="E78" s="120">
        <f>IF(E77-E61&gt;0,E77-E61,0)</f>
        <v>0</v>
      </c>
      <c r="G78" s="693">
        <f>ROUND(C73*0.05+C73,0)</f>
        <v>15431</v>
      </c>
      <c r="H78" s="652" t="str">
        <f>CONCATENATE("Less ",E1-2," Expenditures + 5%")</f>
        <v>Less 2011 Expenditures + 5%</v>
      </c>
      <c r="I78" s="690"/>
      <c r="J78" s="683"/>
    </row>
    <row r="79" spans="2:11">
      <c r="B79" s="240"/>
      <c r="C79" s="504" t="s">
        <v>686</v>
      </c>
      <c r="D79" s="649">
        <f>inputOth!$E$23</f>
        <v>0.05</v>
      </c>
      <c r="E79" s="265">
        <f>ROUND(IF(D79&gt;0,($E$78*D79),0),0)</f>
        <v>0</v>
      </c>
      <c r="G79" s="694">
        <f>G76-G78</f>
        <v>-15431</v>
      </c>
      <c r="H79" s="685" t="str">
        <f>CONCATENATE("Projected ",E1+1," carryover (est.)")</f>
        <v>Projected 2014 carryover (est.)</v>
      </c>
      <c r="I79" s="695"/>
      <c r="J79" s="696"/>
    </row>
    <row r="80" spans="2:11">
      <c r="B80" s="85"/>
      <c r="C80" s="782" t="str">
        <f>CONCATENATE("Amount of  ",$E$1-1," Ad Valorem Tax")</f>
        <v>Amount of  2012 Ad Valorem Tax</v>
      </c>
      <c r="D80" s="783"/>
      <c r="E80" s="348">
        <f>E78+E79</f>
        <v>0</v>
      </c>
      <c r="G80" s="1"/>
      <c r="H80" s="1"/>
      <c r="I80" s="1"/>
      <c r="J80" s="1"/>
    </row>
    <row r="81" spans="2:10">
      <c r="B81" s="287" t="s">
        <v>190</v>
      </c>
      <c r="C81" s="349"/>
      <c r="D81" s="85"/>
      <c r="E81" s="85"/>
      <c r="G81" s="787" t="s">
        <v>840</v>
      </c>
      <c r="H81" s="788"/>
      <c r="I81" s="788"/>
      <c r="J81" s="789"/>
    </row>
    <row r="82" spans="2:10">
      <c r="G82" s="668"/>
      <c r="H82" s="669"/>
      <c r="I82" s="670"/>
      <c r="J82" s="671"/>
    </row>
    <row r="83" spans="2:10">
      <c r="G83" s="672" t="str">
        <f>summ!H30</f>
        <v xml:space="preserve">  </v>
      </c>
      <c r="H83" s="669" t="str">
        <f>CONCATENATE("",E1," Fund Mill Rate")</f>
        <v>2013 Fund Mill Rate</v>
      </c>
      <c r="I83" s="670"/>
      <c r="J83" s="671"/>
    </row>
    <row r="84" spans="2:10">
      <c r="G84" s="673" t="str">
        <f>summ!E30</f>
        <v xml:space="preserve">  </v>
      </c>
      <c r="H84" s="669" t="str">
        <f>CONCATENATE("",E1-1," Fund Mill Rate")</f>
        <v>2012 Fund Mill Rate</v>
      </c>
      <c r="I84" s="670"/>
      <c r="J84" s="671"/>
    </row>
    <row r="85" spans="2:10">
      <c r="G85" s="674">
        <f>summ!H61</f>
        <v>59.232000000000006</v>
      </c>
      <c r="H85" s="669" t="str">
        <f>CONCATENATE("Total ",E1," Mill Rate")</f>
        <v>Total 2013 Mill Rate</v>
      </c>
      <c r="I85" s="670"/>
      <c r="J85" s="671"/>
    </row>
    <row r="86" spans="2:10">
      <c r="G86" s="673">
        <f>summ!E61</f>
        <v>59.207000000000001</v>
      </c>
      <c r="H86" s="675" t="str">
        <f>CONCATENATE("Total ",E1-1," Mill Rate")</f>
        <v>Total 2012 Mill Rate</v>
      </c>
      <c r="I86" s="676"/>
      <c r="J86" s="677"/>
    </row>
    <row r="91" spans="2:10" hidden="1">
      <c r="C91" s="72" t="str">
        <f>IF(C33&gt;C35,"See Tab A","")</f>
        <v/>
      </c>
      <c r="D91" s="72" t="str">
        <f>IF(D33&gt;D35,"See Tab C","")</f>
        <v/>
      </c>
    </row>
    <row r="92" spans="2:10" hidden="1">
      <c r="C92" s="72" t="str">
        <f>IF(C34&lt;0,"See Tab B","")</f>
        <v/>
      </c>
      <c r="D92" s="72" t="str">
        <f>IF(D34&lt;0,"See Tab D","")</f>
        <v/>
      </c>
    </row>
    <row r="93" spans="2:10" hidden="1">
      <c r="C93" s="72" t="str">
        <f>IF(C73&gt;C75,"See Tab A","")</f>
        <v/>
      </c>
      <c r="D93" s="72" t="str">
        <f>IF(D73&gt;D75,"See Tab C","")</f>
        <v/>
      </c>
    </row>
    <row r="94" spans="2:10" hidden="1">
      <c r="C94" s="72" t="str">
        <f>IF(C74&lt;0,"See Tab B","")</f>
        <v/>
      </c>
      <c r="D94" s="72" t="str">
        <f>IF(D74&lt;0,"See Tab D","")</f>
        <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272" priority="3" stopIfTrue="1" operator="greaterThan">
      <formula>$E$73*0.1</formula>
    </cfRule>
  </conditionalFormatting>
  <conditionalFormatting sqref="E76">
    <cfRule type="cellIs" dxfId="271" priority="4" stopIfTrue="1" operator="greaterThan">
      <formula>$E$73/0.95-$E$73</formula>
    </cfRule>
  </conditionalFormatting>
  <conditionalFormatting sqref="E36">
    <cfRule type="cellIs" dxfId="270" priority="5" stopIfTrue="1" operator="greaterThan">
      <formula>$E$33/0.95-$E$33</formula>
    </cfRule>
  </conditionalFormatting>
  <conditionalFormatting sqref="E31">
    <cfRule type="cellIs" dxfId="269" priority="6" stopIfTrue="1" operator="greaterThan">
      <formula>$E$33*0.1</formula>
    </cfRule>
  </conditionalFormatting>
  <conditionalFormatting sqref="C74 C34">
    <cfRule type="cellIs" dxfId="268" priority="7" stopIfTrue="1" operator="lessThan">
      <formula>0</formula>
    </cfRule>
  </conditionalFormatting>
  <conditionalFormatting sqref="C73">
    <cfRule type="cellIs" dxfId="267" priority="8" stopIfTrue="1" operator="greaterThan">
      <formula>$C$75</formula>
    </cfRule>
  </conditionalFormatting>
  <conditionalFormatting sqref="D73">
    <cfRule type="cellIs" dxfId="266" priority="9" stopIfTrue="1" operator="greaterThan">
      <formula>$D$75</formula>
    </cfRule>
  </conditionalFormatting>
  <conditionalFormatting sqref="C71">
    <cfRule type="cellIs" dxfId="265" priority="10" stopIfTrue="1" operator="greaterThan">
      <formula>$C$73*0.1</formula>
    </cfRule>
  </conditionalFormatting>
  <conditionalFormatting sqref="D71">
    <cfRule type="cellIs" dxfId="264" priority="11" stopIfTrue="1" operator="greaterThan">
      <formula>$D$73*0.1</formula>
    </cfRule>
  </conditionalFormatting>
  <conditionalFormatting sqref="E58">
    <cfRule type="cellIs" dxfId="263" priority="12" stopIfTrue="1" operator="greaterThan">
      <formula>$E$60*0.1+E80</formula>
    </cfRule>
  </conditionalFormatting>
  <conditionalFormatting sqref="C58">
    <cfRule type="cellIs" dxfId="262" priority="13" stopIfTrue="1" operator="greaterThan">
      <formula>$C$60*0.1</formula>
    </cfRule>
  </conditionalFormatting>
  <conditionalFormatting sqref="D58">
    <cfRule type="cellIs" dxfId="261" priority="14" stopIfTrue="1" operator="greaterThan">
      <formula>$D$60*0.1</formula>
    </cfRule>
  </conditionalFormatting>
  <conditionalFormatting sqref="C33">
    <cfRule type="cellIs" dxfId="260" priority="15" stopIfTrue="1" operator="greaterThan">
      <formula>$C$35</formula>
    </cfRule>
  </conditionalFormatting>
  <conditionalFormatting sqref="D33">
    <cfRule type="cellIs" dxfId="259" priority="16" stopIfTrue="1" operator="greaterThan">
      <formula>$D$35</formula>
    </cfRule>
  </conditionalFormatting>
  <conditionalFormatting sqref="C31">
    <cfRule type="cellIs" dxfId="258" priority="17" stopIfTrue="1" operator="greaterThan">
      <formula>$C$33*0.1</formula>
    </cfRule>
  </conditionalFormatting>
  <conditionalFormatting sqref="D31">
    <cfRule type="cellIs" dxfId="257" priority="18" stopIfTrue="1" operator="greaterThan">
      <formula>$D$33*0.1</formula>
    </cfRule>
  </conditionalFormatting>
  <conditionalFormatting sqref="E18">
    <cfRule type="cellIs" dxfId="256" priority="19" stopIfTrue="1" operator="greaterThan">
      <formula>$E$20*0.1+E40</formula>
    </cfRule>
  </conditionalFormatting>
  <conditionalFormatting sqref="C18">
    <cfRule type="cellIs" dxfId="255" priority="20" stopIfTrue="1" operator="greaterThan">
      <formula>$C$20*0.1</formula>
    </cfRule>
  </conditionalFormatting>
  <conditionalFormatting sqref="D18">
    <cfRule type="cellIs" dxfId="254" priority="21" stopIfTrue="1" operator="greaterThan">
      <formula>$D$20*0.1</formula>
    </cfRule>
  </conditionalFormatting>
  <conditionalFormatting sqref="D34 D74">
    <cfRule type="cellIs" dxfId="253" priority="2" stopIfTrue="1" operator="lessThan">
      <formula>0</formula>
    </cfRule>
  </conditionalFormatting>
  <pageMargins left="1.1200000000000001" right="0.5" top="0.74" bottom="0.34" header="0.5" footer="0"/>
  <pageSetup scale="54" orientation="portrait" blackAndWhite="1" r:id="rId1"/>
  <headerFooter alignWithMargins="0">
    <oddHeader xml:space="preserve">&amp;RState of Kansas
County
</oddHeader>
  </headerFooter>
</worksheet>
</file>

<file path=xl/worksheets/sheet24.xml><?xml version="1.0" encoding="utf-8"?>
<worksheet xmlns="http://schemas.openxmlformats.org/spreadsheetml/2006/main" xmlns:r="http://schemas.openxmlformats.org/officeDocument/2006/relationships">
  <sheetPr codeName="Sheet19">
    <pageSetUpPr fitToPage="1"/>
  </sheetPr>
  <dimension ref="B1:K94"/>
  <sheetViews>
    <sheetView zoomScaleNormal="100" workbookViewId="0">
      <selection activeCell="I56" sqref="I56"/>
    </sheetView>
  </sheetViews>
  <sheetFormatPr defaultColWidth="8.88671875" defaultRowHeight="15.75"/>
  <cols>
    <col min="1" max="1" width="2.44140625" style="72" customWidth="1"/>
    <col min="2" max="2" width="31.109375" style="72" customWidth="1"/>
    <col min="3" max="4" width="15.77734375" style="72" customWidth="1"/>
    <col min="5" max="5" width="16.21875" style="72" customWidth="1"/>
    <col min="6" max="6" width="7.44140625" style="72" customWidth="1"/>
    <col min="7" max="7" width="10.21875" style="72" customWidth="1"/>
    <col min="8" max="8" width="8.88671875" style="72"/>
    <col min="9" max="9" width="5" style="72" customWidth="1"/>
    <col min="10" max="10" width="10" style="72" customWidth="1"/>
    <col min="11" max="16384" width="8.88671875" style="72"/>
  </cols>
  <sheetData>
    <row r="1" spans="2:5">
      <c r="B1" s="228" t="str">
        <f>(inputPrYr!C2)</f>
        <v>Franklin County</v>
      </c>
      <c r="C1" s="85"/>
      <c r="D1" s="85"/>
      <c r="E1" s="286">
        <f>inputPrYr!C4</f>
        <v>2013</v>
      </c>
    </row>
    <row r="2" spans="2:5">
      <c r="B2" s="85"/>
      <c r="C2" s="85"/>
      <c r="D2" s="85"/>
      <c r="E2" s="240"/>
    </row>
    <row r="3" spans="2:5">
      <c r="B3" s="152" t="s">
        <v>238</v>
      </c>
      <c r="C3" s="333"/>
      <c r="D3" s="333"/>
      <c r="E3" s="334"/>
    </row>
    <row r="4" spans="2:5">
      <c r="B4" s="84" t="s">
        <v>159</v>
      </c>
      <c r="C4" s="703" t="s">
        <v>841</v>
      </c>
      <c r="D4" s="704" t="s">
        <v>842</v>
      </c>
      <c r="E4" s="215" t="s">
        <v>843</v>
      </c>
    </row>
    <row r="5" spans="2:5">
      <c r="B5" s="484" t="str">
        <f>inputPrYr!B31</f>
        <v>Fair Premium</v>
      </c>
      <c r="C5" s="455" t="str">
        <f>CONCATENATE("Actual for ",E1-2,"")</f>
        <v>Actual for 2011</v>
      </c>
      <c r="D5" s="455" t="str">
        <f>CONCATENATE("Estimate for ",E1-1,"")</f>
        <v>Estimate for 2012</v>
      </c>
      <c r="E5" s="302" t="str">
        <f>CONCATENATE("Year for ",E1,"")</f>
        <v>Year for 2013</v>
      </c>
    </row>
    <row r="6" spans="2:5">
      <c r="B6" s="148" t="s">
        <v>280</v>
      </c>
      <c r="C6" s="452">
        <v>81</v>
      </c>
      <c r="D6" s="456">
        <f>C34</f>
        <v>0</v>
      </c>
      <c r="E6" s="265">
        <f>D34</f>
        <v>227</v>
      </c>
    </row>
    <row r="7" spans="2:5">
      <c r="B7" s="290" t="s">
        <v>282</v>
      </c>
      <c r="C7" s="305"/>
      <c r="D7" s="305"/>
      <c r="E7" s="127"/>
    </row>
    <row r="8" spans="2:5">
      <c r="B8" s="148" t="s">
        <v>160</v>
      </c>
      <c r="C8" s="452">
        <v>5738</v>
      </c>
      <c r="D8" s="456">
        <f>IF(inputPrYr!H31&gt;0,inputPrYr!H31,inputPrYr!E31)</f>
        <v>6381</v>
      </c>
      <c r="E8" s="337" t="s">
        <v>146</v>
      </c>
    </row>
    <row r="9" spans="2:5">
      <c r="B9" s="148" t="s">
        <v>161</v>
      </c>
      <c r="C9" s="452">
        <v>282</v>
      </c>
      <c r="D9" s="452">
        <v>100</v>
      </c>
      <c r="E9" s="112">
        <v>200</v>
      </c>
    </row>
    <row r="10" spans="2:5">
      <c r="B10" s="148" t="s">
        <v>162</v>
      </c>
      <c r="C10" s="452">
        <v>773</v>
      </c>
      <c r="D10" s="452">
        <v>707</v>
      </c>
      <c r="E10" s="265">
        <f>mvalloc!E22</f>
        <v>762</v>
      </c>
    </row>
    <row r="11" spans="2:5">
      <c r="B11" s="148" t="s">
        <v>163</v>
      </c>
      <c r="C11" s="452">
        <v>15</v>
      </c>
      <c r="D11" s="452">
        <v>15</v>
      </c>
      <c r="E11" s="265">
        <f>mvalloc!F22</f>
        <v>12</v>
      </c>
    </row>
    <row r="12" spans="2:5">
      <c r="B12" s="305" t="s">
        <v>229</v>
      </c>
      <c r="C12" s="452">
        <v>26</v>
      </c>
      <c r="D12" s="452">
        <v>24</v>
      </c>
      <c r="E12" s="265">
        <f>mvalloc!G22</f>
        <v>22</v>
      </c>
    </row>
    <row r="13" spans="2:5">
      <c r="B13" s="318"/>
      <c r="C13" s="452"/>
      <c r="D13" s="452"/>
      <c r="E13" s="112"/>
    </row>
    <row r="14" spans="2:5">
      <c r="B14" s="318"/>
      <c r="C14" s="452"/>
      <c r="D14" s="452"/>
      <c r="E14" s="112"/>
    </row>
    <row r="15" spans="2:5">
      <c r="B15" s="318"/>
      <c r="C15" s="452"/>
      <c r="D15" s="452"/>
      <c r="E15" s="112"/>
    </row>
    <row r="16" spans="2:5">
      <c r="B16" s="318"/>
      <c r="C16" s="452"/>
      <c r="D16" s="452"/>
      <c r="E16" s="112"/>
    </row>
    <row r="17" spans="2:10">
      <c r="B17" s="308"/>
      <c r="C17" s="452"/>
      <c r="D17" s="452"/>
      <c r="E17" s="112"/>
    </row>
    <row r="18" spans="2:10">
      <c r="B18" s="309" t="s">
        <v>73</v>
      </c>
      <c r="C18" s="452"/>
      <c r="D18" s="452"/>
      <c r="E18" s="112"/>
    </row>
    <row r="19" spans="2:10">
      <c r="B19" s="309" t="s">
        <v>681</v>
      </c>
      <c r="C19" s="453" t="str">
        <f>IF(C20*0.1&lt;C18,"Exceed 10% Rule","")</f>
        <v/>
      </c>
      <c r="D19" s="453" t="str">
        <f>IF(D20*0.1&lt;D18,"Exceed 10% Rule","")</f>
        <v/>
      </c>
      <c r="E19" s="344" t="str">
        <f>IF(E20*0.1+E40&lt;E18,"Exceed 10% Rule","")</f>
        <v/>
      </c>
    </row>
    <row r="20" spans="2:10">
      <c r="B20" s="311" t="s">
        <v>165</v>
      </c>
      <c r="C20" s="454">
        <f>SUM(C8:C18)</f>
        <v>6834</v>
      </c>
      <c r="D20" s="454">
        <f>SUM(D8:D18)</f>
        <v>7227</v>
      </c>
      <c r="E20" s="352">
        <f>SUM(E8:E18)</f>
        <v>996</v>
      </c>
    </row>
    <row r="21" spans="2:10">
      <c r="B21" s="311" t="s">
        <v>166</v>
      </c>
      <c r="C21" s="454">
        <f>C6+C20</f>
        <v>6915</v>
      </c>
      <c r="D21" s="454">
        <f>D6+D20</f>
        <v>7227</v>
      </c>
      <c r="E21" s="352">
        <f>E6+E20</f>
        <v>1223</v>
      </c>
    </row>
    <row r="22" spans="2:10">
      <c r="B22" s="148" t="s">
        <v>169</v>
      </c>
      <c r="C22" s="309"/>
      <c r="D22" s="309"/>
      <c r="E22" s="108"/>
    </row>
    <row r="23" spans="2:10">
      <c r="B23" s="318" t="s">
        <v>175</v>
      </c>
      <c r="C23" s="452">
        <v>6915</v>
      </c>
      <c r="D23" s="452">
        <v>7000</v>
      </c>
      <c r="E23" s="112">
        <v>7000</v>
      </c>
    </row>
    <row r="24" spans="2:10">
      <c r="B24" s="318"/>
      <c r="C24" s="452"/>
      <c r="D24" s="452"/>
      <c r="E24" s="112"/>
      <c r="G24" s="784" t="str">
        <f>CONCATENATE("Desired Carryover Into ",E1+1,"")</f>
        <v>Desired Carryover Into 2014</v>
      </c>
      <c r="H24" s="785"/>
      <c r="I24" s="785"/>
      <c r="J24" s="786"/>
    </row>
    <row r="25" spans="2:10">
      <c r="B25" s="318"/>
      <c r="C25" s="452"/>
      <c r="D25" s="452"/>
      <c r="E25" s="112"/>
      <c r="G25" s="650"/>
      <c r="H25" s="651"/>
      <c r="I25" s="652"/>
      <c r="J25" s="653"/>
    </row>
    <row r="26" spans="2:10">
      <c r="B26" s="318"/>
      <c r="C26" s="452"/>
      <c r="D26" s="452"/>
      <c r="E26" s="112"/>
      <c r="G26" s="654" t="s">
        <v>687</v>
      </c>
      <c r="H26" s="652"/>
      <c r="I26" s="652"/>
      <c r="J26" s="655">
        <v>0</v>
      </c>
    </row>
    <row r="27" spans="2:10">
      <c r="B27" s="318"/>
      <c r="C27" s="452"/>
      <c r="D27" s="452"/>
      <c r="E27" s="112"/>
      <c r="G27" s="650" t="s">
        <v>688</v>
      </c>
      <c r="H27" s="651"/>
      <c r="I27" s="651"/>
      <c r="J27" s="656" t="str">
        <f>IF(J26=0,"",ROUND((J26+E40-G39)/inputOth!E6*1000,3)-G44)</f>
        <v/>
      </c>
    </row>
    <row r="28" spans="2:10">
      <c r="B28" s="318"/>
      <c r="C28" s="452"/>
      <c r="D28" s="452"/>
      <c r="E28" s="112"/>
      <c r="G28" s="657" t="str">
        <f>CONCATENATE("",E1," Tot Exp/Non-Appr Must Be:")</f>
        <v>2013 Tot Exp/Non-Appr Must Be:</v>
      </c>
      <c r="H28" s="658"/>
      <c r="I28" s="659"/>
      <c r="J28" s="660">
        <f>IF(J26&gt;0,IF(E37&lt;E21,IF(J26=G39,E37,((J26-G39)*(1-D39))+E21),E37+(J26-G39)),0)</f>
        <v>0</v>
      </c>
    </row>
    <row r="29" spans="2:10">
      <c r="B29" s="318"/>
      <c r="C29" s="452"/>
      <c r="D29" s="452"/>
      <c r="E29" s="112"/>
      <c r="G29" s="661" t="s">
        <v>839</v>
      </c>
      <c r="H29" s="662"/>
      <c r="I29" s="662"/>
      <c r="J29" s="663">
        <f>IF(J26&gt;0,J28-E37,0)</f>
        <v>0</v>
      </c>
    </row>
    <row r="30" spans="2:10">
      <c r="B30" s="309" t="s">
        <v>75</v>
      </c>
      <c r="C30" s="452"/>
      <c r="D30" s="452"/>
      <c r="E30" s="120">
        <f>Nhood!E21</f>
        <v>17</v>
      </c>
      <c r="G30" s="1"/>
      <c r="H30" s="1"/>
      <c r="I30" s="1"/>
      <c r="J30" s="1"/>
    </row>
    <row r="31" spans="2:10">
      <c r="B31" s="309" t="s">
        <v>73</v>
      </c>
      <c r="C31" s="452"/>
      <c r="D31" s="452"/>
      <c r="E31" s="112"/>
      <c r="G31" s="784" t="str">
        <f>CONCATENATE("Projected Carryover Into ",E1+1,"")</f>
        <v>Projected Carryover Into 2014</v>
      </c>
      <c r="H31" s="791"/>
      <c r="I31" s="791"/>
      <c r="J31" s="792"/>
    </row>
    <row r="32" spans="2:10">
      <c r="B32" s="309" t="s">
        <v>680</v>
      </c>
      <c r="C32" s="453" t="str">
        <f>IF(C33*0.1&lt;C31,"Exceed 10% Rule","")</f>
        <v/>
      </c>
      <c r="D32" s="453" t="str">
        <f>IF(D33*0.1&lt;D31,"Exceed 10% Rule","")</f>
        <v/>
      </c>
      <c r="E32" s="344" t="str">
        <f>IF(E33*0.1&lt;E31,"Exceed 10% Rule","")</f>
        <v/>
      </c>
      <c r="G32" s="650"/>
      <c r="H32" s="652"/>
      <c r="I32" s="652"/>
      <c r="J32" s="678"/>
    </row>
    <row r="33" spans="2:11">
      <c r="B33" s="311" t="s">
        <v>170</v>
      </c>
      <c r="C33" s="454">
        <f>SUM(C23:C31)</f>
        <v>6915</v>
      </c>
      <c r="D33" s="454">
        <f>SUM(D23:D31)</f>
        <v>7000</v>
      </c>
      <c r="E33" s="352">
        <f>SUM(E23:E31)</f>
        <v>7017</v>
      </c>
      <c r="G33" s="679">
        <f>D34</f>
        <v>227</v>
      </c>
      <c r="H33" s="669" t="str">
        <f>CONCATENATE("",E1-1," Ending Cash Balance (est.)")</f>
        <v>2012 Ending Cash Balance (est.)</v>
      </c>
      <c r="I33" s="680"/>
      <c r="J33" s="678"/>
    </row>
    <row r="34" spans="2:11">
      <c r="B34" s="148" t="s">
        <v>281</v>
      </c>
      <c r="C34" s="457">
        <f>C21-C33</f>
        <v>0</v>
      </c>
      <c r="D34" s="457">
        <f>D21-D33</f>
        <v>227</v>
      </c>
      <c r="E34" s="337" t="s">
        <v>146</v>
      </c>
      <c r="G34" s="679">
        <f>E20</f>
        <v>996</v>
      </c>
      <c r="H34" s="652" t="str">
        <f>CONCATENATE("",E1," Non-AV Receipts (est.)")</f>
        <v>2013 Non-AV Receipts (est.)</v>
      </c>
      <c r="I34" s="680"/>
      <c r="J34" s="678"/>
    </row>
    <row r="35" spans="2:11">
      <c r="B35" s="287" t="str">
        <f>CONCATENATE("",E$1-2,"/",E$1-1," Budget Authority Amount:")</f>
        <v>2011/2012 Budget Authority Amount:</v>
      </c>
      <c r="C35" s="279">
        <f>inputOth!B45</f>
        <v>7027</v>
      </c>
      <c r="D35" s="279">
        <f>inputPrYr!D31</f>
        <v>7023</v>
      </c>
      <c r="E35" s="337" t="s">
        <v>146</v>
      </c>
      <c r="F35" s="320"/>
      <c r="G35" s="681">
        <f>IF(E39&gt;0,E38,E40)</f>
        <v>5794</v>
      </c>
      <c r="H35" s="652" t="str">
        <f>CONCATENATE("",E1," Ad Valorem Tax (est.)")</f>
        <v>2013 Ad Valorem Tax (est.)</v>
      </c>
      <c r="I35" s="680"/>
      <c r="J35" s="678"/>
      <c r="K35" s="666" t="str">
        <f>IF(G35=E40,"","Note: Does not include Delinquent Taxes")</f>
        <v>Note: Does not include Delinquent Taxes</v>
      </c>
    </row>
    <row r="36" spans="2:11">
      <c r="B36" s="287"/>
      <c r="C36" s="774" t="s">
        <v>684</v>
      </c>
      <c r="D36" s="775"/>
      <c r="E36" s="112"/>
      <c r="F36" s="502" t="str">
        <f>IF(E33/0.95-E33&lt;E36,"Exceeds 5%","")</f>
        <v/>
      </c>
      <c r="G36" s="679">
        <f>SUM(G33:G35)</f>
        <v>7017</v>
      </c>
      <c r="H36" s="652" t="str">
        <f>CONCATENATE("Total ",E1," Resources Available")</f>
        <v>Total 2013 Resources Available</v>
      </c>
      <c r="I36" s="680"/>
      <c r="J36" s="678"/>
    </row>
    <row r="37" spans="2:11">
      <c r="B37" s="506" t="str">
        <f>CONCATENATE(C91,"     ",D91)</f>
        <v xml:space="preserve">     </v>
      </c>
      <c r="C37" s="776" t="s">
        <v>685</v>
      </c>
      <c r="D37" s="777"/>
      <c r="E37" s="265">
        <f>E33+E36</f>
        <v>7017</v>
      </c>
      <c r="G37" s="682"/>
      <c r="H37" s="652"/>
      <c r="I37" s="652"/>
      <c r="J37" s="678"/>
    </row>
    <row r="38" spans="2:11">
      <c r="B38" s="506" t="str">
        <f>CONCATENATE(C92,"     ",D92)</f>
        <v xml:space="preserve">     </v>
      </c>
      <c r="C38" s="321"/>
      <c r="D38" s="240" t="s">
        <v>171</v>
      </c>
      <c r="E38" s="120">
        <f>IF(E37-E21&gt;0,E37-E21,0)</f>
        <v>5794</v>
      </c>
      <c r="G38" s="681">
        <f>ROUND(C33*0.05+C33,0)</f>
        <v>7261</v>
      </c>
      <c r="H38" s="652" t="str">
        <f>CONCATENATE("Less ",E1-2," Expenditures + 5%")</f>
        <v>Less 2011 Expenditures + 5%</v>
      </c>
      <c r="I38" s="680"/>
      <c r="J38" s="683"/>
    </row>
    <row r="39" spans="2:11">
      <c r="B39" s="240"/>
      <c r="C39" s="504" t="s">
        <v>686</v>
      </c>
      <c r="D39" s="649">
        <f>inputOth!$E$23</f>
        <v>0.05</v>
      </c>
      <c r="E39" s="265">
        <f>ROUND(IF(D39&gt;0,($E$38*D39),0),0)</f>
        <v>290</v>
      </c>
      <c r="G39" s="684">
        <f>G36-G38</f>
        <v>-244</v>
      </c>
      <c r="H39" s="685" t="str">
        <f>CONCATENATE("Projected ",E1+1," carryover (est.)")</f>
        <v>Projected 2014 carryover (est.)</v>
      </c>
      <c r="I39" s="686"/>
      <c r="J39" s="687"/>
    </row>
    <row r="40" spans="2:11">
      <c r="B40" s="85"/>
      <c r="C40" s="782" t="str">
        <f>CONCATENATE("Amount of  ",$E$1-1," Ad Valorem Tax")</f>
        <v>Amount of  2012 Ad Valorem Tax</v>
      </c>
      <c r="D40" s="783"/>
      <c r="E40" s="348">
        <f>E38+E39</f>
        <v>6084</v>
      </c>
      <c r="G40" s="1"/>
      <c r="H40" s="1"/>
      <c r="I40" s="1"/>
      <c r="J40" s="1"/>
    </row>
    <row r="41" spans="2:11">
      <c r="B41" s="85"/>
      <c r="C41" s="327"/>
      <c r="D41" s="327"/>
      <c r="E41" s="327"/>
      <c r="G41" s="787" t="s">
        <v>840</v>
      </c>
      <c r="H41" s="788"/>
      <c r="I41" s="788"/>
      <c r="J41" s="789"/>
    </row>
    <row r="42" spans="2:11">
      <c r="B42" s="84" t="s">
        <v>159</v>
      </c>
      <c r="C42" s="703" t="str">
        <f t="shared" ref="C42:E43" si="0">C4</f>
        <v xml:space="preserve">Prior Year </v>
      </c>
      <c r="D42" s="704" t="str">
        <f t="shared" si="0"/>
        <v xml:space="preserve">Current Year </v>
      </c>
      <c r="E42" s="215" t="str">
        <f t="shared" si="0"/>
        <v xml:space="preserve">Proposed Budget </v>
      </c>
      <c r="G42" s="668"/>
      <c r="H42" s="669"/>
      <c r="I42" s="670"/>
      <c r="J42" s="671"/>
    </row>
    <row r="43" spans="2:11">
      <c r="B43" s="483" t="str">
        <f>inputPrYr!B32</f>
        <v>Fair Building</v>
      </c>
      <c r="C43" s="455" t="str">
        <f t="shared" si="0"/>
        <v>Actual for 2011</v>
      </c>
      <c r="D43" s="455" t="str">
        <f t="shared" si="0"/>
        <v>Estimate for 2012</v>
      </c>
      <c r="E43" s="302" t="str">
        <f t="shared" si="0"/>
        <v>Year for 2013</v>
      </c>
      <c r="G43" s="672">
        <f>summ!H31</f>
        <v>2.9000000000000001E-2</v>
      </c>
      <c r="H43" s="669" t="str">
        <f>CONCATENATE("",E1," Fund Mill Rate")</f>
        <v>2013 Fund Mill Rate</v>
      </c>
      <c r="I43" s="670"/>
      <c r="J43" s="671"/>
    </row>
    <row r="44" spans="2:11">
      <c r="B44" s="148" t="s">
        <v>280</v>
      </c>
      <c r="C44" s="452">
        <v>0</v>
      </c>
      <c r="D44" s="456">
        <f>C74</f>
        <v>42</v>
      </c>
      <c r="E44" s="265">
        <f>D74</f>
        <v>225</v>
      </c>
      <c r="G44" s="673">
        <f>summ!E31</f>
        <v>3.1E-2</v>
      </c>
      <c r="H44" s="669" t="str">
        <f>CONCATENATE("",E1-1," Fund Mill Rate")</f>
        <v>2012 Fund Mill Rate</v>
      </c>
      <c r="I44" s="670"/>
      <c r="J44" s="671"/>
    </row>
    <row r="45" spans="2:11">
      <c r="B45" s="303" t="s">
        <v>282</v>
      </c>
      <c r="C45" s="305"/>
      <c r="D45" s="305"/>
      <c r="E45" s="127"/>
      <c r="G45" s="674">
        <f>summ!H61</f>
        <v>59.232000000000006</v>
      </c>
      <c r="H45" s="669" t="str">
        <f>CONCATENATE("Total ",E1," Mill Rate")</f>
        <v>Total 2013 Mill Rate</v>
      </c>
      <c r="I45" s="670"/>
      <c r="J45" s="671"/>
    </row>
    <row r="46" spans="2:11">
      <c r="B46" s="148" t="s">
        <v>160</v>
      </c>
      <c r="C46" s="452">
        <v>5738</v>
      </c>
      <c r="D46" s="456">
        <f>IF(inputPrYr!H32&gt;0,inputPrYr!H32,inputPrYr!E32)</f>
        <v>6332</v>
      </c>
      <c r="E46" s="337" t="s">
        <v>146</v>
      </c>
      <c r="G46" s="673">
        <f>summ!E61</f>
        <v>59.207000000000001</v>
      </c>
      <c r="H46" s="675" t="str">
        <f>CONCATENATE("Total ",E1-1," Mill Rate")</f>
        <v>Total 2012 Mill Rate</v>
      </c>
      <c r="I46" s="676"/>
      <c r="J46" s="677"/>
    </row>
    <row r="47" spans="2:11">
      <c r="B47" s="148" t="s">
        <v>161</v>
      </c>
      <c r="C47" s="452">
        <v>278</v>
      </c>
      <c r="D47" s="452">
        <v>100</v>
      </c>
      <c r="E47" s="112">
        <v>200</v>
      </c>
      <c r="G47" s="1"/>
      <c r="H47" s="1"/>
      <c r="I47" s="1"/>
      <c r="J47" s="1"/>
    </row>
    <row r="48" spans="2:11">
      <c r="B48" s="148" t="s">
        <v>162</v>
      </c>
      <c r="C48" s="452">
        <v>748</v>
      </c>
      <c r="D48" s="452">
        <v>712</v>
      </c>
      <c r="E48" s="265">
        <f>mvalloc!E23</f>
        <v>757</v>
      </c>
      <c r="G48" s="1"/>
      <c r="H48" s="1"/>
      <c r="I48" s="1"/>
      <c r="J48" s="1"/>
    </row>
    <row r="49" spans="2:10">
      <c r="B49" s="148" t="s">
        <v>163</v>
      </c>
      <c r="C49" s="452">
        <v>15</v>
      </c>
      <c r="D49" s="452">
        <v>15</v>
      </c>
      <c r="E49" s="265">
        <f>mvalloc!F23</f>
        <v>12</v>
      </c>
      <c r="G49" s="1"/>
      <c r="H49" s="1"/>
      <c r="I49" s="1"/>
      <c r="J49" s="1"/>
    </row>
    <row r="50" spans="2:10">
      <c r="B50" s="305" t="s">
        <v>229</v>
      </c>
      <c r="C50" s="452">
        <v>26</v>
      </c>
      <c r="D50" s="452">
        <v>24</v>
      </c>
      <c r="E50" s="265">
        <f>mvalloc!G23</f>
        <v>22</v>
      </c>
      <c r="G50" s="1"/>
      <c r="H50" s="1"/>
      <c r="I50" s="1"/>
      <c r="J50" s="1"/>
    </row>
    <row r="51" spans="2:10">
      <c r="B51" s="318"/>
      <c r="C51" s="452"/>
      <c r="D51" s="452"/>
      <c r="E51" s="112"/>
      <c r="G51" s="1"/>
      <c r="H51" s="1"/>
      <c r="I51" s="1"/>
      <c r="J51" s="1"/>
    </row>
    <row r="52" spans="2:10">
      <c r="B52" s="318"/>
      <c r="C52" s="452"/>
      <c r="D52" s="452"/>
      <c r="E52" s="112"/>
      <c r="G52" s="1"/>
      <c r="H52" s="1"/>
      <c r="I52" s="1"/>
      <c r="J52" s="1"/>
    </row>
    <row r="53" spans="2:10">
      <c r="B53" s="318"/>
      <c r="C53" s="452"/>
      <c r="D53" s="452"/>
      <c r="E53" s="112"/>
      <c r="G53" s="1"/>
      <c r="H53" s="1"/>
      <c r="I53" s="1"/>
      <c r="J53" s="1"/>
    </row>
    <row r="54" spans="2:10">
      <c r="B54" s="318"/>
      <c r="C54" s="452"/>
      <c r="D54" s="452"/>
      <c r="E54" s="112"/>
      <c r="G54" s="1"/>
      <c r="H54" s="1"/>
      <c r="I54" s="1"/>
      <c r="J54" s="1"/>
    </row>
    <row r="55" spans="2:10">
      <c r="B55" s="318"/>
      <c r="C55" s="452"/>
      <c r="D55" s="452"/>
      <c r="E55" s="112"/>
      <c r="G55" s="1"/>
      <c r="H55" s="1"/>
      <c r="I55" s="1"/>
      <c r="J55" s="1"/>
    </row>
    <row r="56" spans="2:10">
      <c r="B56" s="318"/>
      <c r="C56" s="452"/>
      <c r="D56" s="452"/>
      <c r="E56" s="112"/>
      <c r="G56" s="1"/>
      <c r="H56" s="1"/>
      <c r="I56" s="1"/>
      <c r="J56" s="1"/>
    </row>
    <row r="57" spans="2:10">
      <c r="B57" s="308"/>
      <c r="C57" s="452"/>
      <c r="D57" s="452"/>
      <c r="E57" s="112"/>
      <c r="G57" s="1"/>
      <c r="H57" s="1"/>
      <c r="I57" s="1"/>
      <c r="J57" s="1"/>
    </row>
    <row r="58" spans="2:10">
      <c r="B58" s="309" t="s">
        <v>73</v>
      </c>
      <c r="C58" s="452"/>
      <c r="D58" s="452"/>
      <c r="E58" s="112"/>
      <c r="G58" s="1"/>
      <c r="H58" s="1"/>
      <c r="I58" s="1"/>
      <c r="J58" s="1"/>
    </row>
    <row r="59" spans="2:10">
      <c r="B59" s="309" t="s">
        <v>681</v>
      </c>
      <c r="C59" s="453" t="str">
        <f>IF(C60*0.1&lt;C58,"Exceed 10% Rule","")</f>
        <v/>
      </c>
      <c r="D59" s="453" t="str">
        <f>IF(D60*0.1&lt;D58,"Exceed 10% Rule","")</f>
        <v/>
      </c>
      <c r="E59" s="344" t="str">
        <f>IF(E60*0.1+E80&lt;E58,"Exceed 10% Rule","")</f>
        <v/>
      </c>
      <c r="G59" s="1"/>
      <c r="H59" s="1"/>
      <c r="I59" s="1"/>
      <c r="J59" s="1"/>
    </row>
    <row r="60" spans="2:10">
      <c r="B60" s="311" t="s">
        <v>165</v>
      </c>
      <c r="C60" s="454">
        <f>SUM(C46:C58)</f>
        <v>6805</v>
      </c>
      <c r="D60" s="454">
        <f>SUM(D46:D58)</f>
        <v>7183</v>
      </c>
      <c r="E60" s="352">
        <f>SUM(E46:E58)</f>
        <v>991</v>
      </c>
      <c r="G60" s="1"/>
      <c r="H60" s="1"/>
      <c r="I60" s="1"/>
      <c r="J60" s="1"/>
    </row>
    <row r="61" spans="2:10">
      <c r="B61" s="311" t="s">
        <v>166</v>
      </c>
      <c r="C61" s="454">
        <f>C44+C60</f>
        <v>6805</v>
      </c>
      <c r="D61" s="454">
        <f>D44+D60</f>
        <v>7225</v>
      </c>
      <c r="E61" s="352">
        <f>E44+E60</f>
        <v>1216</v>
      </c>
      <c r="G61" s="1"/>
      <c r="H61" s="1"/>
      <c r="I61" s="1"/>
      <c r="J61" s="1"/>
    </row>
    <row r="62" spans="2:10">
      <c r="B62" s="148" t="s">
        <v>169</v>
      </c>
      <c r="C62" s="309"/>
      <c r="D62" s="309"/>
      <c r="E62" s="108"/>
      <c r="G62" s="1"/>
      <c r="H62" s="1"/>
      <c r="I62" s="1"/>
      <c r="J62" s="1"/>
    </row>
    <row r="63" spans="2:10">
      <c r="B63" s="318" t="s">
        <v>175</v>
      </c>
      <c r="C63" s="452">
        <v>6763</v>
      </c>
      <c r="D63" s="452">
        <v>7000</v>
      </c>
      <c r="E63" s="112">
        <v>7000</v>
      </c>
      <c r="G63" s="1"/>
      <c r="H63" s="1"/>
      <c r="I63" s="1"/>
      <c r="J63" s="1"/>
    </row>
    <row r="64" spans="2:10">
      <c r="B64" s="318"/>
      <c r="C64" s="452"/>
      <c r="D64" s="452"/>
      <c r="E64" s="112"/>
      <c r="G64" s="784" t="str">
        <f>CONCATENATE("Desired Carryover Into ",E1+1,"")</f>
        <v>Desired Carryover Into 2014</v>
      </c>
      <c r="H64" s="785"/>
      <c r="I64" s="785"/>
      <c r="J64" s="786"/>
    </row>
    <row r="65" spans="2:11">
      <c r="B65" s="318"/>
      <c r="C65" s="452"/>
      <c r="D65" s="452"/>
      <c r="E65" s="112"/>
      <c r="G65" s="650"/>
      <c r="H65" s="651"/>
      <c r="I65" s="652"/>
      <c r="J65" s="653"/>
    </row>
    <row r="66" spans="2:11">
      <c r="B66" s="318"/>
      <c r="C66" s="452"/>
      <c r="D66" s="452"/>
      <c r="E66" s="112"/>
      <c r="G66" s="654" t="s">
        <v>687</v>
      </c>
      <c r="H66" s="652"/>
      <c r="I66" s="652"/>
      <c r="J66" s="655">
        <v>0</v>
      </c>
    </row>
    <row r="67" spans="2:11">
      <c r="B67" s="318"/>
      <c r="C67" s="452"/>
      <c r="D67" s="452"/>
      <c r="E67" s="112"/>
      <c r="G67" s="650" t="s">
        <v>688</v>
      </c>
      <c r="H67" s="651"/>
      <c r="I67" s="651"/>
      <c r="J67" s="656" t="str">
        <f>IF(J66=0,"",ROUND((J66+E80-G79)/inputOth!E6*1000,3)-G84)</f>
        <v/>
      </c>
    </row>
    <row r="68" spans="2:11">
      <c r="B68" s="318"/>
      <c r="C68" s="452"/>
      <c r="D68" s="452"/>
      <c r="E68" s="112"/>
      <c r="G68" s="657" t="str">
        <f>CONCATENATE("",E1," Tot Exp/Non-Appr Must Be:")</f>
        <v>2013 Tot Exp/Non-Appr Must Be:</v>
      </c>
      <c r="H68" s="658"/>
      <c r="I68" s="659"/>
      <c r="J68" s="660">
        <f>IF(J66&gt;0,IF(E77&lt;E61,IF(J66=G79,E77,((J66-G79)*(1-D79))+E61),E77+(J66-G79)),0)</f>
        <v>0</v>
      </c>
    </row>
    <row r="69" spans="2:11">
      <c r="B69" s="318"/>
      <c r="C69" s="452"/>
      <c r="D69" s="452"/>
      <c r="E69" s="112"/>
      <c r="G69" s="661" t="s">
        <v>839</v>
      </c>
      <c r="H69" s="662"/>
      <c r="I69" s="662"/>
      <c r="J69" s="663">
        <f>IF(J66&gt;0,J68-E77,0)</f>
        <v>0</v>
      </c>
    </row>
    <row r="70" spans="2:11">
      <c r="B70" s="309" t="s">
        <v>75</v>
      </c>
      <c r="C70" s="452"/>
      <c r="D70" s="452"/>
      <c r="E70" s="120">
        <f>Nhood!E22</f>
        <v>17</v>
      </c>
      <c r="G70" s="1"/>
      <c r="H70" s="1"/>
      <c r="I70" s="1"/>
      <c r="J70" s="1"/>
    </row>
    <row r="71" spans="2:11">
      <c r="B71" s="309" t="s">
        <v>73</v>
      </c>
      <c r="C71" s="452"/>
      <c r="D71" s="452"/>
      <c r="E71" s="112"/>
      <c r="G71" s="784" t="str">
        <f>CONCATENATE("Projected Carryover Into ",E1+1,"")</f>
        <v>Projected Carryover Into 2014</v>
      </c>
      <c r="H71" s="793"/>
      <c r="I71" s="793"/>
      <c r="J71" s="792"/>
    </row>
    <row r="72" spans="2:11">
      <c r="B72" s="309" t="s">
        <v>680</v>
      </c>
      <c r="C72" s="453" t="str">
        <f>IF(C73*0.1&lt;C71,"Exceed 10% Rule","")</f>
        <v/>
      </c>
      <c r="D72" s="453" t="str">
        <f>IF(D73*0.1&lt;D71,"Exceed 10% Rule","")</f>
        <v/>
      </c>
      <c r="E72" s="344" t="str">
        <f>IF(E73*0.1&lt;E71,"Exceed 10% Rule","")</f>
        <v/>
      </c>
      <c r="G72" s="688"/>
      <c r="H72" s="651"/>
      <c r="I72" s="651"/>
      <c r="J72" s="683"/>
    </row>
    <row r="73" spans="2:11">
      <c r="B73" s="311" t="s">
        <v>170</v>
      </c>
      <c r="C73" s="454">
        <f>SUM(C63:C71)</f>
        <v>6763</v>
      </c>
      <c r="D73" s="454">
        <f>SUM(D63:D71)</f>
        <v>7000</v>
      </c>
      <c r="E73" s="352">
        <f>SUM(E63:E71)</f>
        <v>7017</v>
      </c>
      <c r="G73" s="679">
        <f>D74</f>
        <v>225</v>
      </c>
      <c r="H73" s="669" t="str">
        <f>CONCATENATE("",E1-1," Ending Cash Balance (est.)")</f>
        <v>2012 Ending Cash Balance (est.)</v>
      </c>
      <c r="I73" s="680"/>
      <c r="J73" s="683"/>
    </row>
    <row r="74" spans="2:11">
      <c r="B74" s="148" t="s">
        <v>281</v>
      </c>
      <c r="C74" s="457">
        <f>C61-C73</f>
        <v>42</v>
      </c>
      <c r="D74" s="457">
        <f>D61-D73</f>
        <v>225</v>
      </c>
      <c r="E74" s="337" t="s">
        <v>146</v>
      </c>
      <c r="G74" s="679">
        <f>E60</f>
        <v>991</v>
      </c>
      <c r="H74" s="652" t="str">
        <f>CONCATENATE("",E1," Non-AV Receipts (est.)")</f>
        <v>2013 Non-AV Receipts (est.)</v>
      </c>
      <c r="I74" s="680"/>
      <c r="J74" s="683"/>
    </row>
    <row r="75" spans="2:11">
      <c r="B75" s="287" t="str">
        <f>CONCATENATE("",E$1-2,"/",E$1-1," Budget Authority Amount:")</f>
        <v>2011/2012 Budget Authority Amount:</v>
      </c>
      <c r="C75" s="279">
        <f>inputOth!B46</f>
        <v>7027</v>
      </c>
      <c r="D75" s="279">
        <f>inputPrYr!D32</f>
        <v>7023</v>
      </c>
      <c r="E75" s="337" t="s">
        <v>146</v>
      </c>
      <c r="F75" s="320"/>
      <c r="G75" s="681">
        <f>IF(E79&gt;0,E78,E80)</f>
        <v>5801</v>
      </c>
      <c r="H75" s="652" t="str">
        <f>CONCATENATE("",E1," Ad Valorem Tax (est.)")</f>
        <v>2013 Ad Valorem Tax (est.)</v>
      </c>
      <c r="I75" s="680"/>
      <c r="J75" s="683"/>
      <c r="K75" s="666" t="str">
        <f>IF(G75=E80,"","Note: Does not include Delinquent Taxes")</f>
        <v>Note: Does not include Delinquent Taxes</v>
      </c>
    </row>
    <row r="76" spans="2:11">
      <c r="B76" s="287"/>
      <c r="C76" s="774" t="s">
        <v>684</v>
      </c>
      <c r="D76" s="775"/>
      <c r="E76" s="112"/>
      <c r="F76" s="502" t="str">
        <f>IF(E73/0.95-E73&lt;E76,"Exceeds 5%","")</f>
        <v/>
      </c>
      <c r="G76" s="689">
        <f>SUM(G73:G75)</f>
        <v>7017</v>
      </c>
      <c r="H76" s="652" t="str">
        <f>CONCATENATE("Total ",E1," Resources Available")</f>
        <v>Total 2013 Resources Available</v>
      </c>
      <c r="I76" s="690"/>
      <c r="J76" s="683"/>
    </row>
    <row r="77" spans="2:11">
      <c r="B77" s="505" t="str">
        <f>CONCATENATE(C93,"     ",D93)</f>
        <v xml:space="preserve">     </v>
      </c>
      <c r="C77" s="776" t="s">
        <v>685</v>
      </c>
      <c r="D77" s="777"/>
      <c r="E77" s="265">
        <f>E73+E76</f>
        <v>7017</v>
      </c>
      <c r="G77" s="691"/>
      <c r="H77" s="692"/>
      <c r="I77" s="651"/>
      <c r="J77" s="683"/>
    </row>
    <row r="78" spans="2:11">
      <c r="B78" s="505" t="str">
        <f>CONCATENATE(C94,"     ",D94)</f>
        <v xml:space="preserve">     </v>
      </c>
      <c r="C78" s="321"/>
      <c r="D78" s="240" t="s">
        <v>171</v>
      </c>
      <c r="E78" s="120">
        <f>IF(E77-E61&gt;0,E77-E61,0)</f>
        <v>5801</v>
      </c>
      <c r="G78" s="693">
        <f>ROUND(C73*0.05+C73,0)</f>
        <v>7101</v>
      </c>
      <c r="H78" s="652" t="str">
        <f>CONCATENATE("Less ",E1-2," Expenditures + 5%")</f>
        <v>Less 2011 Expenditures + 5%</v>
      </c>
      <c r="I78" s="690"/>
      <c r="J78" s="683"/>
    </row>
    <row r="79" spans="2:11">
      <c r="B79" s="240"/>
      <c r="C79" s="504" t="s">
        <v>686</v>
      </c>
      <c r="D79" s="649">
        <f>inputOth!$E$23</f>
        <v>0.05</v>
      </c>
      <c r="E79" s="265">
        <f>ROUND(IF(D79&gt;0,($E$78*D79),0),0)</f>
        <v>290</v>
      </c>
      <c r="G79" s="694">
        <f>G76-G78</f>
        <v>-84</v>
      </c>
      <c r="H79" s="685" t="str">
        <f>CONCATENATE("Projected ",E1+1," carryover (est.)")</f>
        <v>Projected 2014 carryover (est.)</v>
      </c>
      <c r="I79" s="695"/>
      <c r="J79" s="696"/>
    </row>
    <row r="80" spans="2:11">
      <c r="B80" s="85"/>
      <c r="C80" s="782" t="str">
        <f>CONCATENATE("Amount of  ",$E$1-1," Ad Valorem Tax")</f>
        <v>Amount of  2012 Ad Valorem Tax</v>
      </c>
      <c r="D80" s="783"/>
      <c r="E80" s="348">
        <f>E78+E79</f>
        <v>6091</v>
      </c>
      <c r="G80" s="1"/>
      <c r="H80" s="1"/>
      <c r="I80" s="1"/>
      <c r="J80" s="1"/>
    </row>
    <row r="81" spans="2:10">
      <c r="B81" s="287" t="s">
        <v>190</v>
      </c>
      <c r="C81" s="349"/>
      <c r="D81" s="85"/>
      <c r="E81" s="85"/>
      <c r="G81" s="787" t="s">
        <v>840</v>
      </c>
      <c r="H81" s="788"/>
      <c r="I81" s="788"/>
      <c r="J81" s="789"/>
    </row>
    <row r="82" spans="2:10">
      <c r="G82" s="668"/>
      <c r="H82" s="669"/>
      <c r="I82" s="670"/>
      <c r="J82" s="671"/>
    </row>
    <row r="83" spans="2:10">
      <c r="G83" s="672">
        <f>summ!H32</f>
        <v>2.9000000000000001E-2</v>
      </c>
      <c r="H83" s="669" t="str">
        <f>CONCATENATE("",E1," Fund Mill Rate")</f>
        <v>2013 Fund Mill Rate</v>
      </c>
      <c r="I83" s="670"/>
      <c r="J83" s="671"/>
    </row>
    <row r="84" spans="2:10">
      <c r="G84" s="673">
        <f>summ!E32</f>
        <v>3.1E-2</v>
      </c>
      <c r="H84" s="669" t="str">
        <f>CONCATENATE("",E1-1," Fund Mill Rate")</f>
        <v>2012 Fund Mill Rate</v>
      </c>
      <c r="I84" s="670"/>
      <c r="J84" s="671"/>
    </row>
    <row r="85" spans="2:10">
      <c r="G85" s="674">
        <f>summ!H61</f>
        <v>59.232000000000006</v>
      </c>
      <c r="H85" s="669" t="str">
        <f>CONCATENATE("Total ",E1," Mill Rate")</f>
        <v>Total 2013 Mill Rate</v>
      </c>
      <c r="I85" s="670"/>
      <c r="J85" s="671"/>
    </row>
    <row r="86" spans="2:10">
      <c r="G86" s="673">
        <f>summ!E61</f>
        <v>59.207000000000001</v>
      </c>
      <c r="H86" s="675" t="str">
        <f>CONCATENATE("Total ",E1-1," Mill Rate")</f>
        <v>Total 2012 Mill Rate</v>
      </c>
      <c r="I86" s="676"/>
      <c r="J86" s="677"/>
    </row>
    <row r="91" spans="2:10" hidden="1">
      <c r="C91" s="72" t="str">
        <f>IF(C33&gt;C35,"See Tab A","")</f>
        <v/>
      </c>
      <c r="D91" s="72" t="str">
        <f>IF(D33&gt;D35,"See Tab C","")</f>
        <v/>
      </c>
    </row>
    <row r="92" spans="2:10" hidden="1">
      <c r="C92" s="72" t="str">
        <f>IF(C34&lt;0,"See Tab B","")</f>
        <v/>
      </c>
      <c r="D92" s="72" t="str">
        <f>IF(D34&lt;0,"See Tab D","")</f>
        <v/>
      </c>
    </row>
    <row r="93" spans="2:10" hidden="1">
      <c r="C93" s="72" t="str">
        <f>IF(C73&gt;C75,"See Tab A","")</f>
        <v/>
      </c>
      <c r="D93" s="72" t="str">
        <f>IF(D73&gt;D75,"See Tab C","")</f>
        <v/>
      </c>
    </row>
    <row r="94" spans="2:10" hidden="1">
      <c r="C94" s="72" t="str">
        <f>IF(C74&lt;0,"See Tab B","")</f>
        <v/>
      </c>
      <c r="D94" s="72" t="str">
        <f>IF(D74&lt;0,"See Tab D","")</f>
        <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252" priority="3" stopIfTrue="1" operator="greaterThan">
      <formula>$E$73*0.1</formula>
    </cfRule>
  </conditionalFormatting>
  <conditionalFormatting sqref="E76">
    <cfRule type="cellIs" dxfId="251" priority="4" stopIfTrue="1" operator="greaterThan">
      <formula>$E$73/0.95-$E$73</formula>
    </cfRule>
  </conditionalFormatting>
  <conditionalFormatting sqref="E36">
    <cfRule type="cellIs" dxfId="250" priority="5" stopIfTrue="1" operator="greaterThan">
      <formula>$E$33/0.95-$E$33</formula>
    </cfRule>
  </conditionalFormatting>
  <conditionalFormatting sqref="E31">
    <cfRule type="cellIs" dxfId="249" priority="6" stopIfTrue="1" operator="greaterThan">
      <formula>$E$33*0.1</formula>
    </cfRule>
  </conditionalFormatting>
  <conditionalFormatting sqref="C74 C34">
    <cfRule type="cellIs" dxfId="248" priority="7" stopIfTrue="1" operator="lessThan">
      <formula>0</formula>
    </cfRule>
  </conditionalFormatting>
  <conditionalFormatting sqref="C73">
    <cfRule type="cellIs" dxfId="247" priority="8" stopIfTrue="1" operator="greaterThan">
      <formula>$C$75</formula>
    </cfRule>
  </conditionalFormatting>
  <conditionalFormatting sqref="D73">
    <cfRule type="cellIs" dxfId="246" priority="9" stopIfTrue="1" operator="greaterThan">
      <formula>$D$75</formula>
    </cfRule>
  </conditionalFormatting>
  <conditionalFormatting sqref="C71">
    <cfRule type="cellIs" dxfId="245" priority="10" stopIfTrue="1" operator="greaterThan">
      <formula>$C$73*0.1</formula>
    </cfRule>
  </conditionalFormatting>
  <conditionalFormatting sqref="D71">
    <cfRule type="cellIs" dxfId="244" priority="11" stopIfTrue="1" operator="greaterThan">
      <formula>$D$73*0.1</formula>
    </cfRule>
  </conditionalFormatting>
  <conditionalFormatting sqref="E58">
    <cfRule type="cellIs" dxfId="243" priority="12" stopIfTrue="1" operator="greaterThan">
      <formula>$E$60*0.1+E80</formula>
    </cfRule>
  </conditionalFormatting>
  <conditionalFormatting sqref="C58">
    <cfRule type="cellIs" dxfId="242" priority="13" stopIfTrue="1" operator="greaterThan">
      <formula>$C$60*0.1</formula>
    </cfRule>
  </conditionalFormatting>
  <conditionalFormatting sqref="D58">
    <cfRule type="cellIs" dxfId="241" priority="14" stopIfTrue="1" operator="greaterThan">
      <formula>$D$60*0.1</formula>
    </cfRule>
  </conditionalFormatting>
  <conditionalFormatting sqref="C33">
    <cfRule type="cellIs" dxfId="240" priority="15" stopIfTrue="1" operator="greaterThan">
      <formula>$C$35</formula>
    </cfRule>
  </conditionalFormatting>
  <conditionalFormatting sqref="D33">
    <cfRule type="cellIs" dxfId="239" priority="16" stopIfTrue="1" operator="greaterThan">
      <formula>$D$35</formula>
    </cfRule>
  </conditionalFormatting>
  <conditionalFormatting sqref="C31">
    <cfRule type="cellIs" dxfId="238" priority="17" stopIfTrue="1" operator="greaterThan">
      <formula>$C$33*0.1</formula>
    </cfRule>
  </conditionalFormatting>
  <conditionalFormatting sqref="D31">
    <cfRule type="cellIs" dxfId="237" priority="18" stopIfTrue="1" operator="greaterThan">
      <formula>$D$33*0.1</formula>
    </cfRule>
  </conditionalFormatting>
  <conditionalFormatting sqref="E18">
    <cfRule type="cellIs" dxfId="236" priority="19" stopIfTrue="1" operator="greaterThan">
      <formula>$E$20*0.1+E40</formula>
    </cfRule>
  </conditionalFormatting>
  <conditionalFormatting sqref="C18">
    <cfRule type="cellIs" dxfId="235" priority="20" stopIfTrue="1" operator="greaterThan">
      <formula>$C$20*0.1</formula>
    </cfRule>
  </conditionalFormatting>
  <conditionalFormatting sqref="D18">
    <cfRule type="cellIs" dxfId="234" priority="21" stopIfTrue="1" operator="greaterThan">
      <formula>$D$20*0.1</formula>
    </cfRule>
  </conditionalFormatting>
  <conditionalFormatting sqref="D34 D74">
    <cfRule type="cellIs" dxfId="233" priority="2" stopIfTrue="1" operator="lessThan">
      <formula>0</formula>
    </cfRule>
  </conditionalFormatting>
  <pageMargins left="1.1200000000000001" right="0.5" top="0.74" bottom="0.34" header="0.5" footer="0"/>
  <pageSetup scale="54" orientation="portrait" blackAndWhite="1" r:id="rId1"/>
  <headerFooter alignWithMargins="0">
    <oddHeader xml:space="preserve">&amp;RState of Kansas
County
</oddHeader>
  </headerFooter>
</worksheet>
</file>

<file path=xl/worksheets/sheet25.xml><?xml version="1.0" encoding="utf-8"?>
<worksheet xmlns="http://schemas.openxmlformats.org/spreadsheetml/2006/main" xmlns:r="http://schemas.openxmlformats.org/officeDocument/2006/relationships">
  <sheetPr codeName="Sheet20">
    <pageSetUpPr fitToPage="1"/>
  </sheetPr>
  <dimension ref="B1:K94"/>
  <sheetViews>
    <sheetView topLeftCell="A46" zoomScaleNormal="100" workbookViewId="0">
      <selection activeCell="B65" sqref="B65"/>
    </sheetView>
  </sheetViews>
  <sheetFormatPr defaultColWidth="8.88671875" defaultRowHeight="15.75"/>
  <cols>
    <col min="1" max="1" width="2.44140625" style="72" customWidth="1"/>
    <col min="2" max="2" width="31.109375" style="72" customWidth="1"/>
    <col min="3" max="4" width="15.77734375" style="72" customWidth="1"/>
    <col min="5" max="5" width="16.21875" style="72" customWidth="1"/>
    <col min="6" max="6" width="7.44140625" style="72" customWidth="1"/>
    <col min="7" max="7" width="10.21875" style="72" customWidth="1"/>
    <col min="8" max="8" width="8.88671875" style="72"/>
    <col min="9" max="9" width="5" style="72" customWidth="1"/>
    <col min="10" max="10" width="10" style="72" customWidth="1"/>
    <col min="11" max="16384" width="8.88671875" style="72"/>
  </cols>
  <sheetData>
    <row r="1" spans="2:5">
      <c r="B1" s="228" t="str">
        <f>inputPrYr!C2</f>
        <v>Franklin County</v>
      </c>
      <c r="C1" s="85"/>
      <c r="D1" s="85"/>
      <c r="E1" s="286">
        <f>inputPrYr!C4</f>
        <v>2013</v>
      </c>
    </row>
    <row r="2" spans="2:5">
      <c r="B2" s="85"/>
      <c r="C2" s="85"/>
      <c r="D2" s="85"/>
      <c r="E2" s="240"/>
    </row>
    <row r="3" spans="2:5">
      <c r="B3" s="152" t="s">
        <v>238</v>
      </c>
      <c r="C3" s="333"/>
      <c r="D3" s="333"/>
      <c r="E3" s="334"/>
    </row>
    <row r="4" spans="2:5">
      <c r="B4" s="84" t="s">
        <v>159</v>
      </c>
      <c r="C4" s="703" t="s">
        <v>841</v>
      </c>
      <c r="D4" s="704" t="s">
        <v>842</v>
      </c>
      <c r="E4" s="215" t="s">
        <v>843</v>
      </c>
    </row>
    <row r="5" spans="2:5">
      <c r="B5" s="484" t="str">
        <f>inputPrYr!B33</f>
        <v>Historical Society</v>
      </c>
      <c r="C5" s="455" t="str">
        <f>CONCATENATE("Actual for ",E1-2,"")</f>
        <v>Actual for 2011</v>
      </c>
      <c r="D5" s="455" t="str">
        <f>CONCATENATE("Estimate for ",E1-1,"")</f>
        <v>Estimate for 2012</v>
      </c>
      <c r="E5" s="302" t="str">
        <f>CONCATENATE("Year for ",E1,"")</f>
        <v>Year for 2013</v>
      </c>
    </row>
    <row r="6" spans="2:5">
      <c r="B6" s="148" t="s">
        <v>280</v>
      </c>
      <c r="C6" s="452">
        <v>468</v>
      </c>
      <c r="D6" s="456">
        <f>C34</f>
        <v>0</v>
      </c>
      <c r="E6" s="265">
        <f>D34</f>
        <v>3216</v>
      </c>
    </row>
    <row r="7" spans="2:5">
      <c r="B7" s="290" t="s">
        <v>282</v>
      </c>
      <c r="C7" s="305"/>
      <c r="D7" s="305"/>
      <c r="E7" s="127"/>
    </row>
    <row r="8" spans="2:5">
      <c r="B8" s="148" t="s">
        <v>160</v>
      </c>
      <c r="C8" s="452">
        <v>66078</v>
      </c>
      <c r="D8" s="456">
        <f>IF(inputPrYr!H33&gt;0,inputPrYr!H33,inputPrYr!E33)</f>
        <v>62729</v>
      </c>
      <c r="E8" s="337" t="s">
        <v>146</v>
      </c>
    </row>
    <row r="9" spans="2:5">
      <c r="B9" s="148" t="s">
        <v>161</v>
      </c>
      <c r="C9" s="452">
        <v>3454</v>
      </c>
      <c r="D9" s="452">
        <v>2750</v>
      </c>
      <c r="E9" s="112">
        <v>2750</v>
      </c>
    </row>
    <row r="10" spans="2:5">
      <c r="B10" s="148" t="s">
        <v>162</v>
      </c>
      <c r="C10" s="452">
        <v>8751</v>
      </c>
      <c r="D10" s="452">
        <v>8275</v>
      </c>
      <c r="E10" s="265">
        <f>mvalloc!E24</f>
        <v>7496</v>
      </c>
    </row>
    <row r="11" spans="2:5">
      <c r="B11" s="148" t="s">
        <v>163</v>
      </c>
      <c r="C11" s="452">
        <v>172</v>
      </c>
      <c r="D11" s="452">
        <v>179</v>
      </c>
      <c r="E11" s="265">
        <f>mvalloc!F24</f>
        <v>116</v>
      </c>
    </row>
    <row r="12" spans="2:5">
      <c r="B12" s="305" t="s">
        <v>229</v>
      </c>
      <c r="C12" s="452">
        <v>337</v>
      </c>
      <c r="D12" s="452">
        <v>283</v>
      </c>
      <c r="E12" s="265">
        <f>mvalloc!G24</f>
        <v>221</v>
      </c>
    </row>
    <row r="13" spans="2:5">
      <c r="B13" s="318"/>
      <c r="C13" s="452"/>
      <c r="D13" s="452"/>
      <c r="E13" s="112"/>
    </row>
    <row r="14" spans="2:5">
      <c r="B14" s="318"/>
      <c r="C14" s="452"/>
      <c r="D14" s="452"/>
      <c r="E14" s="112"/>
    </row>
    <row r="15" spans="2:5">
      <c r="B15" s="318"/>
      <c r="C15" s="452"/>
      <c r="D15" s="452"/>
      <c r="E15" s="112"/>
    </row>
    <row r="16" spans="2:5">
      <c r="B16" s="318"/>
      <c r="C16" s="452"/>
      <c r="D16" s="452"/>
      <c r="E16" s="112"/>
    </row>
    <row r="17" spans="2:10">
      <c r="B17" s="308"/>
      <c r="C17" s="452"/>
      <c r="D17" s="452"/>
      <c r="E17" s="112"/>
    </row>
    <row r="18" spans="2:10">
      <c r="B18" s="309" t="s">
        <v>73</v>
      </c>
      <c r="C18" s="452"/>
      <c r="D18" s="452"/>
      <c r="E18" s="112"/>
    </row>
    <row r="19" spans="2:10">
      <c r="B19" s="309" t="s">
        <v>681</v>
      </c>
      <c r="C19" s="453" t="str">
        <f>IF(C20*0.1&lt;C18,"Exceed 10% Rule","")</f>
        <v/>
      </c>
      <c r="D19" s="453" t="str">
        <f>IF(D20*0.1&lt;D18,"Exceed 10% Rule","")</f>
        <v/>
      </c>
      <c r="E19" s="344" t="str">
        <f>IF(E20*0.1+E40&lt;E18,"Exceed 10% Rule","")</f>
        <v/>
      </c>
    </row>
    <row r="20" spans="2:10">
      <c r="B20" s="311" t="s">
        <v>165</v>
      </c>
      <c r="C20" s="454">
        <f>SUM(C8:C18)</f>
        <v>78792</v>
      </c>
      <c r="D20" s="454">
        <f>SUM(D8:D18)</f>
        <v>74216</v>
      </c>
      <c r="E20" s="352">
        <f>SUM(E8:E18)</f>
        <v>10583</v>
      </c>
    </row>
    <row r="21" spans="2:10">
      <c r="B21" s="311" t="s">
        <v>166</v>
      </c>
      <c r="C21" s="454">
        <f>C6+C20</f>
        <v>79260</v>
      </c>
      <c r="D21" s="454">
        <f>D6+D20</f>
        <v>74216</v>
      </c>
      <c r="E21" s="352">
        <f>E6+E20</f>
        <v>13799</v>
      </c>
    </row>
    <row r="22" spans="2:10">
      <c r="B22" s="148" t="s">
        <v>169</v>
      </c>
      <c r="C22" s="309"/>
      <c r="D22" s="309"/>
      <c r="E22" s="108"/>
    </row>
    <row r="23" spans="2:10">
      <c r="B23" s="318" t="s">
        <v>175</v>
      </c>
      <c r="C23" s="452">
        <v>79260</v>
      </c>
      <c r="D23" s="452">
        <v>71000</v>
      </c>
      <c r="E23" s="112">
        <v>71000</v>
      </c>
    </row>
    <row r="24" spans="2:10">
      <c r="B24" s="318"/>
      <c r="C24" s="452"/>
      <c r="D24" s="452"/>
      <c r="E24" s="112"/>
      <c r="G24" s="784" t="str">
        <f>CONCATENATE("Desired Carryover Into ",E1+1,"")</f>
        <v>Desired Carryover Into 2014</v>
      </c>
      <c r="H24" s="785"/>
      <c r="I24" s="785"/>
      <c r="J24" s="786"/>
    </row>
    <row r="25" spans="2:10">
      <c r="B25" s="318"/>
      <c r="C25" s="452"/>
      <c r="D25" s="452"/>
      <c r="E25" s="112"/>
      <c r="G25" s="650"/>
      <c r="H25" s="651"/>
      <c r="I25" s="652"/>
      <c r="J25" s="653"/>
    </row>
    <row r="26" spans="2:10">
      <c r="B26" s="318"/>
      <c r="C26" s="452"/>
      <c r="D26" s="452"/>
      <c r="E26" s="112"/>
      <c r="G26" s="654" t="s">
        <v>687</v>
      </c>
      <c r="H26" s="652"/>
      <c r="I26" s="652"/>
      <c r="J26" s="655">
        <v>0</v>
      </c>
    </row>
    <row r="27" spans="2:10">
      <c r="B27" s="318"/>
      <c r="C27" s="452"/>
      <c r="D27" s="452"/>
      <c r="E27" s="112"/>
      <c r="G27" s="650" t="s">
        <v>688</v>
      </c>
      <c r="H27" s="651"/>
      <c r="I27" s="651"/>
      <c r="J27" s="656" t="str">
        <f>IF(J26=0,"",ROUND((J26+E40-G39)/inputOth!E6*1000,3)-G44)</f>
        <v/>
      </c>
    </row>
    <row r="28" spans="2:10">
      <c r="B28" s="318"/>
      <c r="C28" s="452"/>
      <c r="D28" s="452"/>
      <c r="E28" s="112"/>
      <c r="G28" s="657" t="str">
        <f>CONCATENATE("",E1," Tot Exp/Non-Appr Must Be:")</f>
        <v>2013 Tot Exp/Non-Appr Must Be:</v>
      </c>
      <c r="H28" s="658"/>
      <c r="I28" s="659"/>
      <c r="J28" s="660">
        <f>IF(J26&gt;0,IF(E37&lt;E21,IF(J26=G39,E37,((J26-G39)*(1-D39))+E21),E37+(J26-G39)),0)</f>
        <v>0</v>
      </c>
    </row>
    <row r="29" spans="2:10">
      <c r="B29" s="318"/>
      <c r="C29" s="452"/>
      <c r="D29" s="452"/>
      <c r="E29" s="112"/>
      <c r="G29" s="661" t="s">
        <v>839</v>
      </c>
      <c r="H29" s="662"/>
      <c r="I29" s="662"/>
      <c r="J29" s="663">
        <f>IF(J26&gt;0,J28-E37,0)</f>
        <v>0</v>
      </c>
    </row>
    <row r="30" spans="2:10">
      <c r="B30" s="309" t="s">
        <v>75</v>
      </c>
      <c r="C30" s="452"/>
      <c r="D30" s="452"/>
      <c r="E30" s="120">
        <f>Nhood!E23</f>
        <v>167</v>
      </c>
      <c r="G30" s="1"/>
      <c r="H30" s="1"/>
      <c r="I30" s="1"/>
      <c r="J30" s="1"/>
    </row>
    <row r="31" spans="2:10">
      <c r="B31" s="309" t="s">
        <v>73</v>
      </c>
      <c r="C31" s="452"/>
      <c r="D31" s="452"/>
      <c r="E31" s="112"/>
      <c r="G31" s="784" t="str">
        <f>CONCATENATE("Projected Carryover Into ",E1+1,"")</f>
        <v>Projected Carryover Into 2014</v>
      </c>
      <c r="H31" s="791"/>
      <c r="I31" s="791"/>
      <c r="J31" s="792"/>
    </row>
    <row r="32" spans="2:10">
      <c r="B32" s="309" t="s">
        <v>680</v>
      </c>
      <c r="C32" s="453" t="str">
        <f>IF(C33*0.1&lt;C31,"Exceed 10% Rule","")</f>
        <v/>
      </c>
      <c r="D32" s="453" t="str">
        <f>IF(D33*0.1&lt;D31,"Exceed 10% Rule","")</f>
        <v/>
      </c>
      <c r="E32" s="344" t="str">
        <f>IF(E33*0.1&lt;E31,"Exceed 10% Rule","")</f>
        <v/>
      </c>
      <c r="G32" s="650"/>
      <c r="H32" s="652"/>
      <c r="I32" s="652"/>
      <c r="J32" s="678"/>
    </row>
    <row r="33" spans="2:11">
      <c r="B33" s="311" t="s">
        <v>170</v>
      </c>
      <c r="C33" s="454">
        <f>SUM(C23:C31)</f>
        <v>79260</v>
      </c>
      <c r="D33" s="454">
        <f>SUM(D23:D31)</f>
        <v>71000</v>
      </c>
      <c r="E33" s="352">
        <f>SUM(E23:E31)</f>
        <v>71167</v>
      </c>
      <c r="G33" s="679">
        <f>D34</f>
        <v>3216</v>
      </c>
      <c r="H33" s="669" t="str">
        <f>CONCATENATE("",E1-1," Ending Cash Balance (est.)")</f>
        <v>2012 Ending Cash Balance (est.)</v>
      </c>
      <c r="I33" s="680"/>
      <c r="J33" s="678"/>
    </row>
    <row r="34" spans="2:11">
      <c r="B34" s="148" t="s">
        <v>281</v>
      </c>
      <c r="C34" s="457">
        <f>C21-C33</f>
        <v>0</v>
      </c>
      <c r="D34" s="457">
        <f>D21-D33</f>
        <v>3216</v>
      </c>
      <c r="E34" s="337" t="s">
        <v>146</v>
      </c>
      <c r="G34" s="679">
        <f>E20</f>
        <v>10583</v>
      </c>
      <c r="H34" s="652" t="str">
        <f>CONCATENATE("",E1," Non-AV Receipts (est.)")</f>
        <v>2013 Non-AV Receipts (est.)</v>
      </c>
      <c r="I34" s="680"/>
      <c r="J34" s="678"/>
    </row>
    <row r="35" spans="2:11">
      <c r="B35" s="287" t="str">
        <f>CONCATENATE("",E$1-2,"/",E$1-1," Budget Authority Amount:")</f>
        <v>2011/2012 Budget Authority Amount:</v>
      </c>
      <c r="C35" s="279">
        <f>inputOth!B47</f>
        <v>81313</v>
      </c>
      <c r="D35" s="279">
        <f>inputPrYr!D33</f>
        <v>71229</v>
      </c>
      <c r="E35" s="337" t="s">
        <v>146</v>
      </c>
      <c r="F35" s="320"/>
      <c r="G35" s="681">
        <f>IF(E39&gt;0,E38,E40)</f>
        <v>57368</v>
      </c>
      <c r="H35" s="652" t="str">
        <f>CONCATENATE("",E1," Ad Valorem Tax (est.)")</f>
        <v>2013 Ad Valorem Tax (est.)</v>
      </c>
      <c r="I35" s="680"/>
      <c r="J35" s="678"/>
      <c r="K35" s="666" t="str">
        <f>IF(G35=E40,"","Note: Does not include Delinquent Taxes")</f>
        <v>Note: Does not include Delinquent Taxes</v>
      </c>
    </row>
    <row r="36" spans="2:11">
      <c r="B36" s="287"/>
      <c r="C36" s="774" t="s">
        <v>684</v>
      </c>
      <c r="D36" s="775"/>
      <c r="E36" s="112"/>
      <c r="F36" s="502" t="str">
        <f>IF(E33/0.95-E33&lt;E36,"Exceeds 5%","")</f>
        <v/>
      </c>
      <c r="G36" s="679">
        <f>SUM(G33:G35)</f>
        <v>71167</v>
      </c>
      <c r="H36" s="652" t="str">
        <f>CONCATENATE("Total ",E1," Resources Available")</f>
        <v>Total 2013 Resources Available</v>
      </c>
      <c r="I36" s="680"/>
      <c r="J36" s="678"/>
    </row>
    <row r="37" spans="2:11">
      <c r="B37" s="506" t="str">
        <f>CONCATENATE(C91,"     ",D91)</f>
        <v xml:space="preserve">     </v>
      </c>
      <c r="C37" s="776" t="s">
        <v>685</v>
      </c>
      <c r="D37" s="777"/>
      <c r="E37" s="265">
        <f>E33+E36</f>
        <v>71167</v>
      </c>
      <c r="G37" s="682"/>
      <c r="H37" s="652"/>
      <c r="I37" s="652"/>
      <c r="J37" s="678"/>
    </row>
    <row r="38" spans="2:11">
      <c r="B38" s="506" t="str">
        <f>CONCATENATE(C92,"     ",D92)</f>
        <v xml:space="preserve">     </v>
      </c>
      <c r="C38" s="321"/>
      <c r="D38" s="240" t="s">
        <v>171</v>
      </c>
      <c r="E38" s="120">
        <f>IF(E37-E21&gt;0,E37-E21,0)</f>
        <v>57368</v>
      </c>
      <c r="G38" s="681">
        <f>ROUND(C33*0.05+C33,0)</f>
        <v>83223</v>
      </c>
      <c r="H38" s="652" t="str">
        <f>CONCATENATE("Less ",E1-2," Expenditures + 5%")</f>
        <v>Less 2011 Expenditures + 5%</v>
      </c>
      <c r="I38" s="680"/>
      <c r="J38" s="683"/>
    </row>
    <row r="39" spans="2:11">
      <c r="B39" s="240"/>
      <c r="C39" s="504" t="s">
        <v>686</v>
      </c>
      <c r="D39" s="649">
        <f>inputOth!$E$23</f>
        <v>0.05</v>
      </c>
      <c r="E39" s="265">
        <f>ROUND(IF(D39&gt;0,($E$38*D39),0),0)</f>
        <v>2868</v>
      </c>
      <c r="G39" s="684">
        <f>G36-G38</f>
        <v>-12056</v>
      </c>
      <c r="H39" s="685" t="str">
        <f>CONCATENATE("Projected ",E1+1," carryover (est.)")</f>
        <v>Projected 2014 carryover (est.)</v>
      </c>
      <c r="I39" s="686"/>
      <c r="J39" s="687"/>
    </row>
    <row r="40" spans="2:11">
      <c r="B40" s="85"/>
      <c r="C40" s="782" t="str">
        <f>CONCATENATE("Amount of  ",$E$1-1," Ad Valorem Tax")</f>
        <v>Amount of  2012 Ad Valorem Tax</v>
      </c>
      <c r="D40" s="783"/>
      <c r="E40" s="348">
        <f>E38+E39</f>
        <v>60236</v>
      </c>
      <c r="G40" s="1"/>
      <c r="H40" s="1"/>
      <c r="I40" s="1"/>
      <c r="J40" s="1"/>
    </row>
    <row r="41" spans="2:11">
      <c r="B41" s="84"/>
      <c r="C41" s="327"/>
      <c r="D41" s="327"/>
      <c r="E41" s="327"/>
      <c r="G41" s="787" t="s">
        <v>840</v>
      </c>
      <c r="H41" s="788"/>
      <c r="I41" s="788"/>
      <c r="J41" s="789"/>
    </row>
    <row r="42" spans="2:11">
      <c r="B42" s="84" t="s">
        <v>159</v>
      </c>
      <c r="C42" s="703" t="str">
        <f t="shared" ref="C42:E43" si="0">C4</f>
        <v xml:space="preserve">Prior Year </v>
      </c>
      <c r="D42" s="704" t="str">
        <f t="shared" si="0"/>
        <v xml:space="preserve">Current Year </v>
      </c>
      <c r="E42" s="215" t="str">
        <f t="shared" si="0"/>
        <v xml:space="preserve">Proposed Budget </v>
      </c>
      <c r="G42" s="668"/>
      <c r="H42" s="669"/>
      <c r="I42" s="670"/>
      <c r="J42" s="671"/>
    </row>
    <row r="43" spans="2:11">
      <c r="B43" s="483" t="str">
        <f>inputPrYr!B34</f>
        <v>Mental Health</v>
      </c>
      <c r="C43" s="455" t="str">
        <f t="shared" si="0"/>
        <v>Actual for 2011</v>
      </c>
      <c r="D43" s="455" t="str">
        <f t="shared" si="0"/>
        <v>Estimate for 2012</v>
      </c>
      <c r="E43" s="302" t="str">
        <f t="shared" si="0"/>
        <v>Year for 2013</v>
      </c>
      <c r="G43" s="672">
        <f>summ!H33</f>
        <v>0.28299999999999997</v>
      </c>
      <c r="H43" s="669" t="str">
        <f>CONCATENATE("",E1," Fund Mill Rate")</f>
        <v>2013 Fund Mill Rate</v>
      </c>
      <c r="I43" s="670"/>
      <c r="J43" s="671"/>
    </row>
    <row r="44" spans="2:11">
      <c r="B44" s="148" t="s">
        <v>280</v>
      </c>
      <c r="C44" s="452">
        <v>898</v>
      </c>
      <c r="D44" s="456">
        <f>C74</f>
        <v>0</v>
      </c>
      <c r="E44" s="265">
        <f>D74</f>
        <v>7157</v>
      </c>
      <c r="G44" s="673">
        <f>summ!E33</f>
        <v>0.30199999999999999</v>
      </c>
      <c r="H44" s="669" t="str">
        <f>CONCATENATE("",E1-1," Fund Mill Rate")</f>
        <v>2012 Fund Mill Rate</v>
      </c>
      <c r="I44" s="670"/>
      <c r="J44" s="671"/>
    </row>
    <row r="45" spans="2:11">
      <c r="B45" s="303" t="s">
        <v>282</v>
      </c>
      <c r="C45" s="305"/>
      <c r="D45" s="305"/>
      <c r="E45" s="127"/>
      <c r="G45" s="674">
        <f>summ!H61</f>
        <v>59.232000000000006</v>
      </c>
      <c r="H45" s="669" t="str">
        <f>CONCATENATE("Total ",E1," Mill Rate")</f>
        <v>Total 2013 Mill Rate</v>
      </c>
      <c r="I45" s="670"/>
      <c r="J45" s="671"/>
    </row>
    <row r="46" spans="2:11">
      <c r="B46" s="148" t="s">
        <v>160</v>
      </c>
      <c r="C46" s="452">
        <v>117122</v>
      </c>
      <c r="D46" s="456">
        <f>IF(inputPrYr!H34&gt;0,inputPrYr!H34,inputPrYr!E34)</f>
        <v>139607</v>
      </c>
      <c r="E46" s="337" t="s">
        <v>146</v>
      </c>
      <c r="G46" s="673">
        <f>summ!E61</f>
        <v>59.207000000000001</v>
      </c>
      <c r="H46" s="675" t="str">
        <f>CONCATENATE("Total ",E1-1," Mill Rate")</f>
        <v>Total 2012 Mill Rate</v>
      </c>
      <c r="I46" s="676"/>
      <c r="J46" s="677"/>
    </row>
    <row r="47" spans="2:11">
      <c r="B47" s="148" t="s">
        <v>161</v>
      </c>
      <c r="C47" s="452">
        <v>5808</v>
      </c>
      <c r="D47" s="452">
        <v>4300</v>
      </c>
      <c r="E47" s="112">
        <v>4000</v>
      </c>
      <c r="G47" s="1"/>
      <c r="H47" s="1"/>
      <c r="I47" s="1"/>
      <c r="J47" s="1"/>
    </row>
    <row r="48" spans="2:11">
      <c r="B48" s="148" t="s">
        <v>162</v>
      </c>
      <c r="C48" s="452">
        <v>15924</v>
      </c>
      <c r="D48" s="452">
        <v>14681</v>
      </c>
      <c r="E48" s="265">
        <f>mvalloc!E25</f>
        <v>16682</v>
      </c>
      <c r="G48" s="1"/>
      <c r="H48" s="1"/>
      <c r="I48" s="1"/>
      <c r="J48" s="1"/>
    </row>
    <row r="49" spans="2:10">
      <c r="B49" s="148" t="s">
        <v>163</v>
      </c>
      <c r="C49" s="452">
        <v>314</v>
      </c>
      <c r="D49" s="452">
        <v>317</v>
      </c>
      <c r="E49" s="265">
        <f>mvalloc!F25</f>
        <v>257</v>
      </c>
      <c r="G49" s="1"/>
      <c r="H49" s="1"/>
      <c r="I49" s="1"/>
      <c r="J49" s="1"/>
    </row>
    <row r="50" spans="2:10">
      <c r="B50" s="305" t="s">
        <v>229</v>
      </c>
      <c r="C50" s="452">
        <v>542</v>
      </c>
      <c r="D50" s="452">
        <v>502</v>
      </c>
      <c r="E50" s="265">
        <f>mvalloc!G25</f>
        <v>491</v>
      </c>
      <c r="G50" s="1"/>
      <c r="H50" s="1"/>
      <c r="I50" s="1"/>
      <c r="J50" s="1"/>
    </row>
    <row r="51" spans="2:10">
      <c r="B51" s="318"/>
      <c r="C51" s="452"/>
      <c r="D51" s="452"/>
      <c r="E51" s="112"/>
      <c r="G51" s="1"/>
      <c r="H51" s="1"/>
      <c r="I51" s="1"/>
      <c r="J51" s="1"/>
    </row>
    <row r="52" spans="2:10">
      <c r="B52" s="318"/>
      <c r="C52" s="452"/>
      <c r="D52" s="452"/>
      <c r="E52" s="112"/>
      <c r="G52" s="1"/>
      <c r="H52" s="1"/>
      <c r="I52" s="1"/>
      <c r="J52" s="1"/>
    </row>
    <row r="53" spans="2:10">
      <c r="B53" s="318"/>
      <c r="C53" s="452"/>
      <c r="D53" s="452"/>
      <c r="E53" s="112"/>
      <c r="G53" s="1"/>
      <c r="H53" s="1"/>
      <c r="I53" s="1"/>
      <c r="J53" s="1"/>
    </row>
    <row r="54" spans="2:10">
      <c r="B54" s="318"/>
      <c r="C54" s="452"/>
      <c r="D54" s="452"/>
      <c r="E54" s="112"/>
      <c r="G54" s="1"/>
      <c r="H54" s="1"/>
      <c r="I54" s="1"/>
      <c r="J54" s="1"/>
    </row>
    <row r="55" spans="2:10">
      <c r="B55" s="318"/>
      <c r="C55" s="452"/>
      <c r="D55" s="452"/>
      <c r="E55" s="112"/>
      <c r="G55" s="1"/>
      <c r="H55" s="1"/>
      <c r="I55" s="1"/>
      <c r="J55" s="1"/>
    </row>
    <row r="56" spans="2:10">
      <c r="B56" s="308"/>
      <c r="C56" s="452"/>
      <c r="D56" s="452"/>
      <c r="E56" s="112"/>
      <c r="G56" s="1"/>
      <c r="H56" s="1"/>
      <c r="I56" s="1"/>
      <c r="J56" s="1"/>
    </row>
    <row r="57" spans="2:10">
      <c r="B57" s="308"/>
      <c r="C57" s="452"/>
      <c r="D57" s="452"/>
      <c r="E57" s="477"/>
      <c r="G57" s="1"/>
      <c r="H57" s="1"/>
      <c r="I57" s="1"/>
      <c r="J57" s="1"/>
    </row>
    <row r="58" spans="2:10">
      <c r="B58" s="309" t="s">
        <v>73</v>
      </c>
      <c r="C58" s="452"/>
      <c r="D58" s="452"/>
      <c r="E58" s="112"/>
      <c r="G58" s="1"/>
      <c r="H58" s="1"/>
      <c r="I58" s="1"/>
      <c r="J58" s="1"/>
    </row>
    <row r="59" spans="2:10">
      <c r="B59" s="309" t="s">
        <v>681</v>
      </c>
      <c r="C59" s="453" t="str">
        <f>IF(C60*0.1&lt;C58,"Exceed 10% Rule","")</f>
        <v/>
      </c>
      <c r="D59" s="453" t="str">
        <f>IF(D60*0.1&lt;D58,"Exceed 10% Rule","")</f>
        <v/>
      </c>
      <c r="E59" s="344" t="str">
        <f>IF(E60*0.1+E80&lt;E58,"Exceed 10% Rule","")</f>
        <v/>
      </c>
      <c r="G59" s="1"/>
      <c r="H59" s="1"/>
      <c r="I59" s="1"/>
      <c r="J59" s="1"/>
    </row>
    <row r="60" spans="2:10">
      <c r="B60" s="311" t="s">
        <v>165</v>
      </c>
      <c r="C60" s="454">
        <f>SUM(C46:C58)</f>
        <v>139710</v>
      </c>
      <c r="D60" s="454">
        <f>SUM(D46:D58)</f>
        <v>159407</v>
      </c>
      <c r="E60" s="352">
        <f>SUM(E46:E58)</f>
        <v>21430</v>
      </c>
      <c r="G60" s="1"/>
      <c r="H60" s="1"/>
      <c r="I60" s="1"/>
      <c r="J60" s="1"/>
    </row>
    <row r="61" spans="2:10">
      <c r="B61" s="311" t="s">
        <v>166</v>
      </c>
      <c r="C61" s="454">
        <f>C44+C60</f>
        <v>140608</v>
      </c>
      <c r="D61" s="454">
        <f>D44+D60</f>
        <v>159407</v>
      </c>
      <c r="E61" s="352">
        <f>E44+E60</f>
        <v>28587</v>
      </c>
      <c r="G61" s="1"/>
      <c r="H61" s="1"/>
      <c r="I61" s="1"/>
      <c r="J61" s="1"/>
    </row>
    <row r="62" spans="2:10">
      <c r="B62" s="148" t="s">
        <v>169</v>
      </c>
      <c r="C62" s="309"/>
      <c r="D62" s="309"/>
      <c r="E62" s="108"/>
      <c r="G62" s="1"/>
      <c r="H62" s="1"/>
      <c r="I62" s="1"/>
      <c r="J62" s="1"/>
    </row>
    <row r="63" spans="2:10">
      <c r="B63" s="318" t="s">
        <v>175</v>
      </c>
      <c r="C63" s="452">
        <v>140608</v>
      </c>
      <c r="D63" s="452">
        <v>152250</v>
      </c>
      <c r="E63" s="112">
        <v>0</v>
      </c>
      <c r="G63" s="1"/>
      <c r="H63" s="1"/>
      <c r="I63" s="1"/>
      <c r="J63" s="1"/>
    </row>
    <row r="64" spans="2:10">
      <c r="B64" s="318" t="s">
        <v>1074</v>
      </c>
      <c r="C64" s="452">
        <v>0</v>
      </c>
      <c r="D64" s="452">
        <v>0</v>
      </c>
      <c r="E64" s="112">
        <v>28587</v>
      </c>
      <c r="G64" s="784" t="str">
        <f>CONCATENATE("Desired Carryover Into ",E1+1,"")</f>
        <v>Desired Carryover Into 2014</v>
      </c>
      <c r="H64" s="785"/>
      <c r="I64" s="785"/>
      <c r="J64" s="786"/>
    </row>
    <row r="65" spans="2:11">
      <c r="B65" s="318"/>
      <c r="C65" s="452"/>
      <c r="D65" s="452"/>
      <c r="E65" s="112"/>
      <c r="G65" s="650"/>
      <c r="H65" s="651"/>
      <c r="I65" s="652"/>
      <c r="J65" s="653"/>
    </row>
    <row r="66" spans="2:11">
      <c r="B66" s="318"/>
      <c r="C66" s="452"/>
      <c r="D66" s="452"/>
      <c r="E66" s="112"/>
      <c r="G66" s="654" t="s">
        <v>687</v>
      </c>
      <c r="H66" s="652"/>
      <c r="I66" s="652"/>
      <c r="J66" s="655">
        <v>0</v>
      </c>
    </row>
    <row r="67" spans="2:11">
      <c r="B67" s="318"/>
      <c r="C67" s="452"/>
      <c r="D67" s="452"/>
      <c r="E67" s="112"/>
      <c r="G67" s="650" t="s">
        <v>688</v>
      </c>
      <c r="H67" s="651"/>
      <c r="I67" s="651"/>
      <c r="J67" s="656" t="str">
        <f>IF(J66=0,"",ROUND((J66+E80-G79)/inputOth!E6*1000,3)-G84)</f>
        <v/>
      </c>
    </row>
    <row r="68" spans="2:11">
      <c r="B68" s="318"/>
      <c r="C68" s="452"/>
      <c r="D68" s="452"/>
      <c r="E68" s="112"/>
      <c r="G68" s="657" t="str">
        <f>CONCATENATE("",E1," Tot Exp/Non-Appr Must Be:")</f>
        <v>2013 Tot Exp/Non-Appr Must Be:</v>
      </c>
      <c r="H68" s="658"/>
      <c r="I68" s="659"/>
      <c r="J68" s="660">
        <f>IF(J66&gt;0,IF(E77&lt;E61,IF(J66=G79,E77,((J66-G79)*(1-D79))+E61),E77+(J66-G79)),0)</f>
        <v>0</v>
      </c>
    </row>
    <row r="69" spans="2:11">
      <c r="B69" s="318"/>
      <c r="C69" s="452"/>
      <c r="D69" s="452"/>
      <c r="E69" s="112"/>
      <c r="G69" s="661" t="s">
        <v>839</v>
      </c>
      <c r="H69" s="662"/>
      <c r="I69" s="662"/>
      <c r="J69" s="663">
        <f>IF(J66&gt;0,J68-E77,0)</f>
        <v>0</v>
      </c>
    </row>
    <row r="70" spans="2:11">
      <c r="B70" s="309" t="s">
        <v>75</v>
      </c>
      <c r="C70" s="452"/>
      <c r="D70" s="452"/>
      <c r="E70" s="120" t="str">
        <f>Nhood!E24</f>
        <v/>
      </c>
      <c r="G70" s="1"/>
      <c r="H70" s="1"/>
      <c r="I70" s="1"/>
      <c r="J70" s="1"/>
    </row>
    <row r="71" spans="2:11">
      <c r="B71" s="309" t="s">
        <v>73</v>
      </c>
      <c r="C71" s="452"/>
      <c r="D71" s="452"/>
      <c r="E71" s="112"/>
      <c r="G71" s="784" t="str">
        <f>CONCATENATE("Projected Carryover Into ",E1+1,"")</f>
        <v>Projected Carryover Into 2014</v>
      </c>
      <c r="H71" s="793"/>
      <c r="I71" s="793"/>
      <c r="J71" s="792"/>
    </row>
    <row r="72" spans="2:11">
      <c r="B72" s="309" t="s">
        <v>680</v>
      </c>
      <c r="C72" s="453" t="str">
        <f>IF(C73*0.1&lt;C71,"Exceed 10% Rule","")</f>
        <v/>
      </c>
      <c r="D72" s="453" t="str">
        <f>IF(D73*0.1&lt;D71,"Exceed 10% Rule","")</f>
        <v/>
      </c>
      <c r="E72" s="344" t="str">
        <f>IF(E73*0.1&lt;E71,"Exceed 10% Rule","")</f>
        <v/>
      </c>
      <c r="G72" s="688"/>
      <c r="H72" s="651"/>
      <c r="I72" s="651"/>
      <c r="J72" s="683"/>
    </row>
    <row r="73" spans="2:11">
      <c r="B73" s="311" t="s">
        <v>170</v>
      </c>
      <c r="C73" s="454">
        <f>SUM(C63:C71)</f>
        <v>140608</v>
      </c>
      <c r="D73" s="454">
        <f>SUM(D63:D71)</f>
        <v>152250</v>
      </c>
      <c r="E73" s="352">
        <f>SUM(E63:E71)</f>
        <v>28587</v>
      </c>
      <c r="G73" s="679">
        <f>D74</f>
        <v>7157</v>
      </c>
      <c r="H73" s="669" t="str">
        <f>CONCATENATE("",E1-1," Ending Cash Balance (est.)")</f>
        <v>2012 Ending Cash Balance (est.)</v>
      </c>
      <c r="I73" s="680"/>
      <c r="J73" s="683"/>
    </row>
    <row r="74" spans="2:11">
      <c r="B74" s="148" t="s">
        <v>281</v>
      </c>
      <c r="C74" s="457">
        <f>C61-C73</f>
        <v>0</v>
      </c>
      <c r="D74" s="457">
        <f>D61-D73</f>
        <v>7157</v>
      </c>
      <c r="E74" s="337" t="s">
        <v>146</v>
      </c>
      <c r="G74" s="679">
        <f>E60</f>
        <v>21430</v>
      </c>
      <c r="H74" s="652" t="str">
        <f>CONCATENATE("",E1," Non-AV Receipts (est.)")</f>
        <v>2013 Non-AV Receipts (est.)</v>
      </c>
      <c r="I74" s="680"/>
      <c r="J74" s="683"/>
    </row>
    <row r="75" spans="2:11">
      <c r="B75" s="287" t="str">
        <f>CONCATENATE("",E$1-2,"/",E$1-1," Budget Authority Amount:")</f>
        <v>2011/2012 Budget Authority Amount:</v>
      </c>
      <c r="C75" s="279">
        <f>inputOth!B48</f>
        <v>145555</v>
      </c>
      <c r="D75" s="279">
        <f>inputPrYr!D34</f>
        <v>152759</v>
      </c>
      <c r="E75" s="337" t="s">
        <v>146</v>
      </c>
      <c r="F75" s="320"/>
      <c r="G75" s="681">
        <f>IF(E79&gt;0,E78,E80)</f>
        <v>0</v>
      </c>
      <c r="H75" s="652" t="str">
        <f>CONCATENATE("",E1," Ad Valorem Tax (est.)")</f>
        <v>2013 Ad Valorem Tax (est.)</v>
      </c>
      <c r="I75" s="680"/>
      <c r="J75" s="683"/>
      <c r="K75" s="666" t="str">
        <f>IF(G75=E80,"","Note: Does not include Delinquent Taxes")</f>
        <v/>
      </c>
    </row>
    <row r="76" spans="2:11">
      <c r="B76" s="287"/>
      <c r="C76" s="774" t="s">
        <v>684</v>
      </c>
      <c r="D76" s="775"/>
      <c r="E76" s="112"/>
      <c r="F76" s="502" t="str">
        <f>IF(E73/0.95-E73&lt;E76,"Exceeds 5%","")</f>
        <v/>
      </c>
      <c r="G76" s="689">
        <f>SUM(G73:G75)</f>
        <v>28587</v>
      </c>
      <c r="H76" s="652" t="str">
        <f>CONCATENATE("Total ",E1," Resources Available")</f>
        <v>Total 2013 Resources Available</v>
      </c>
      <c r="I76" s="690"/>
      <c r="J76" s="683"/>
    </row>
    <row r="77" spans="2:11">
      <c r="B77" s="505" t="str">
        <f>CONCATENATE(C93,"     ",D93)</f>
        <v xml:space="preserve">     </v>
      </c>
      <c r="C77" s="776" t="s">
        <v>685</v>
      </c>
      <c r="D77" s="777"/>
      <c r="E77" s="265">
        <f>E73+E76</f>
        <v>28587</v>
      </c>
      <c r="G77" s="691"/>
      <c r="H77" s="692"/>
      <c r="I77" s="651"/>
      <c r="J77" s="683"/>
    </row>
    <row r="78" spans="2:11">
      <c r="B78" s="505" t="str">
        <f>CONCATENATE(C94,"     ",D94)</f>
        <v xml:space="preserve">     </v>
      </c>
      <c r="C78" s="321"/>
      <c r="D78" s="240" t="s">
        <v>171</v>
      </c>
      <c r="E78" s="120">
        <f>IF(E77-E61&gt;0,E77-E61,0)</f>
        <v>0</v>
      </c>
      <c r="G78" s="693">
        <f>ROUND(C73*0.05+C73,0)</f>
        <v>147638</v>
      </c>
      <c r="H78" s="652" t="str">
        <f>CONCATENATE("Less ",E1-2," Expenditures + 5%")</f>
        <v>Less 2011 Expenditures + 5%</v>
      </c>
      <c r="I78" s="690"/>
      <c r="J78" s="683"/>
    </row>
    <row r="79" spans="2:11">
      <c r="B79" s="240"/>
      <c r="C79" s="504" t="s">
        <v>686</v>
      </c>
      <c r="D79" s="649">
        <f>inputOth!$E$23</f>
        <v>0.05</v>
      </c>
      <c r="E79" s="265">
        <f>ROUND(IF(D79&gt;0,($E$78*D79),0),0)</f>
        <v>0</v>
      </c>
      <c r="G79" s="694">
        <f>G76-G78</f>
        <v>-119051</v>
      </c>
      <c r="H79" s="685" t="str">
        <f>CONCATENATE("Projected ",E1+1," carryover (est.)")</f>
        <v>Projected 2014 carryover (est.)</v>
      </c>
      <c r="I79" s="695"/>
      <c r="J79" s="696"/>
    </row>
    <row r="80" spans="2:11">
      <c r="B80" s="85"/>
      <c r="C80" s="782" t="str">
        <f>CONCATENATE("Amount of  ",$E$1-1," Ad Valorem Tax")</f>
        <v>Amount of  2012 Ad Valorem Tax</v>
      </c>
      <c r="D80" s="783"/>
      <c r="E80" s="348">
        <f>E78+E79</f>
        <v>0</v>
      </c>
      <c r="G80" s="1"/>
      <c r="H80" s="1"/>
      <c r="I80" s="1"/>
      <c r="J80" s="1"/>
    </row>
    <row r="81" spans="2:10">
      <c r="B81" s="287" t="s">
        <v>190</v>
      </c>
      <c r="C81" s="349"/>
      <c r="D81" s="85"/>
      <c r="E81" s="85"/>
      <c r="G81" s="787" t="s">
        <v>840</v>
      </c>
      <c r="H81" s="788"/>
      <c r="I81" s="788"/>
      <c r="J81" s="789"/>
    </row>
    <row r="82" spans="2:10">
      <c r="G82" s="668"/>
      <c r="H82" s="669"/>
      <c r="I82" s="670"/>
      <c r="J82" s="671"/>
    </row>
    <row r="83" spans="2:10">
      <c r="G83" s="672" t="str">
        <f>summ!H34</f>
        <v xml:space="preserve">  </v>
      </c>
      <c r="H83" s="669" t="str">
        <f>CONCATENATE("",E1," Fund Mill Rate")</f>
        <v>2013 Fund Mill Rate</v>
      </c>
      <c r="I83" s="670"/>
      <c r="J83" s="671"/>
    </row>
    <row r="84" spans="2:10">
      <c r="G84" s="673">
        <f>summ!E34</f>
        <v>0.67200000000000004</v>
      </c>
      <c r="H84" s="669" t="str">
        <f>CONCATENATE("",E1-1," Fund Mill Rate")</f>
        <v>2012 Fund Mill Rate</v>
      </c>
      <c r="I84" s="670"/>
      <c r="J84" s="671"/>
    </row>
    <row r="85" spans="2:10">
      <c r="G85" s="674">
        <f>summ!H61</f>
        <v>59.232000000000006</v>
      </c>
      <c r="H85" s="669" t="str">
        <f>CONCATENATE("Total ",E1," Mill Rate")</f>
        <v>Total 2013 Mill Rate</v>
      </c>
      <c r="I85" s="670"/>
      <c r="J85" s="671"/>
    </row>
    <row r="86" spans="2:10">
      <c r="G86" s="673">
        <f>summ!E61</f>
        <v>59.207000000000001</v>
      </c>
      <c r="H86" s="675" t="str">
        <f>CONCATENATE("Total ",E1-1," Mill Rate")</f>
        <v>Total 2012 Mill Rate</v>
      </c>
      <c r="I86" s="676"/>
      <c r="J86" s="677"/>
    </row>
    <row r="91" spans="2:10" hidden="1">
      <c r="C91" s="72" t="str">
        <f>IF(C33&gt;C35,"See Tab A","")</f>
        <v/>
      </c>
      <c r="D91" s="72" t="str">
        <f>IF(D33&gt;D35,"See Tab C","")</f>
        <v/>
      </c>
    </row>
    <row r="92" spans="2:10" hidden="1">
      <c r="C92" s="72" t="str">
        <f>IF(C34&lt;0,"See Tab B","")</f>
        <v/>
      </c>
      <c r="D92" s="72" t="str">
        <f>IF(D34&lt;0,"See Tab D","")</f>
        <v/>
      </c>
    </row>
    <row r="93" spans="2:10" hidden="1">
      <c r="C93" s="72" t="str">
        <f>IF(C73&gt;C75,"See Tab A","")</f>
        <v/>
      </c>
      <c r="D93" s="72" t="str">
        <f>IF(D73&gt;D75,"See Tab C","")</f>
        <v/>
      </c>
    </row>
    <row r="94" spans="2:10" hidden="1">
      <c r="C94" s="72" t="str">
        <f>IF(C74&lt;0,"See Tab B","")</f>
        <v/>
      </c>
      <c r="D94" s="72" t="str">
        <f>IF(D74&lt;0,"See Tab D","")</f>
        <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232" priority="3" stopIfTrue="1" operator="greaterThan">
      <formula>$E$73*0.1</formula>
    </cfRule>
  </conditionalFormatting>
  <conditionalFormatting sqref="E76">
    <cfRule type="cellIs" dxfId="231" priority="4" stopIfTrue="1" operator="greaterThan">
      <formula>$E$73/0.95-$E$73</formula>
    </cfRule>
  </conditionalFormatting>
  <conditionalFormatting sqref="E36">
    <cfRule type="cellIs" dxfId="230" priority="5" stopIfTrue="1" operator="greaterThan">
      <formula>$E$33/0.95-$E$33</formula>
    </cfRule>
  </conditionalFormatting>
  <conditionalFormatting sqref="E31">
    <cfRule type="cellIs" dxfId="229" priority="6" stopIfTrue="1" operator="greaterThan">
      <formula>$E$33*0.1</formula>
    </cfRule>
  </conditionalFormatting>
  <conditionalFormatting sqref="C74 C34">
    <cfRule type="cellIs" dxfId="228" priority="7" stopIfTrue="1" operator="lessThan">
      <formula>0</formula>
    </cfRule>
  </conditionalFormatting>
  <conditionalFormatting sqref="C73">
    <cfRule type="cellIs" dxfId="227" priority="8" stopIfTrue="1" operator="greaterThan">
      <formula>$C$75</formula>
    </cfRule>
  </conditionalFormatting>
  <conditionalFormatting sqref="D73">
    <cfRule type="cellIs" dxfId="226" priority="9" stopIfTrue="1" operator="greaterThan">
      <formula>$D$75</formula>
    </cfRule>
  </conditionalFormatting>
  <conditionalFormatting sqref="C71">
    <cfRule type="cellIs" dxfId="225" priority="10" stopIfTrue="1" operator="greaterThan">
      <formula>$C$73*0.1</formula>
    </cfRule>
  </conditionalFormatting>
  <conditionalFormatting sqref="D71">
    <cfRule type="cellIs" dxfId="224" priority="11" stopIfTrue="1" operator="greaterThan">
      <formula>$D$73*0.1</formula>
    </cfRule>
  </conditionalFormatting>
  <conditionalFormatting sqref="E58">
    <cfRule type="cellIs" dxfId="223" priority="12" stopIfTrue="1" operator="greaterThan">
      <formula>$E$60*0.1+E80</formula>
    </cfRule>
  </conditionalFormatting>
  <conditionalFormatting sqref="C58">
    <cfRule type="cellIs" dxfId="222" priority="13" stopIfTrue="1" operator="greaterThan">
      <formula>$C$60*0.1</formula>
    </cfRule>
  </conditionalFormatting>
  <conditionalFormatting sqref="D58">
    <cfRule type="cellIs" dxfId="221" priority="14" stopIfTrue="1" operator="greaterThan">
      <formula>$D$60*0.1</formula>
    </cfRule>
  </conditionalFormatting>
  <conditionalFormatting sqref="C33">
    <cfRule type="cellIs" dxfId="220" priority="15" stopIfTrue="1" operator="greaterThan">
      <formula>$C$35</formula>
    </cfRule>
  </conditionalFormatting>
  <conditionalFormatting sqref="D33">
    <cfRule type="cellIs" dxfId="219" priority="16" stopIfTrue="1" operator="greaterThan">
      <formula>$D$35</formula>
    </cfRule>
  </conditionalFormatting>
  <conditionalFormatting sqref="C31">
    <cfRule type="cellIs" dxfId="218" priority="17" stopIfTrue="1" operator="greaterThan">
      <formula>$C$33*0.1</formula>
    </cfRule>
  </conditionalFormatting>
  <conditionalFormatting sqref="D31">
    <cfRule type="cellIs" dxfId="217" priority="18" stopIfTrue="1" operator="greaterThan">
      <formula>$D$33*0.1</formula>
    </cfRule>
  </conditionalFormatting>
  <conditionalFormatting sqref="E18">
    <cfRule type="cellIs" dxfId="216" priority="19" stopIfTrue="1" operator="greaterThan">
      <formula>$E$20*0.1+E40</formula>
    </cfRule>
  </conditionalFormatting>
  <conditionalFormatting sqref="C18">
    <cfRule type="cellIs" dxfId="215" priority="20" stopIfTrue="1" operator="greaterThan">
      <formula>$C$20*0.1</formula>
    </cfRule>
  </conditionalFormatting>
  <conditionalFormatting sqref="D18">
    <cfRule type="cellIs" dxfId="214" priority="21" stopIfTrue="1" operator="greaterThan">
      <formula>$D$20*0.1</formula>
    </cfRule>
  </conditionalFormatting>
  <conditionalFormatting sqref="D34 D74">
    <cfRule type="cellIs" dxfId="213" priority="2" stopIfTrue="1" operator="lessThan">
      <formula>0</formula>
    </cfRule>
  </conditionalFormatting>
  <pageMargins left="1.1200000000000001" right="0.5" top="0.74" bottom="0.34" header="0.5" footer="0"/>
  <pageSetup scale="54" orientation="portrait" blackAndWhite="1" r:id="rId1"/>
  <headerFooter alignWithMargins="0">
    <oddHeader xml:space="preserve">&amp;RState of Kansas
County
</oddHeader>
  </headerFooter>
</worksheet>
</file>

<file path=xl/worksheets/sheet26.xml><?xml version="1.0" encoding="utf-8"?>
<worksheet xmlns="http://schemas.openxmlformats.org/spreadsheetml/2006/main" xmlns:r="http://schemas.openxmlformats.org/officeDocument/2006/relationships">
  <sheetPr codeName="Sheet21">
    <pageSetUpPr fitToPage="1"/>
  </sheetPr>
  <dimension ref="B1:K94"/>
  <sheetViews>
    <sheetView topLeftCell="A7" zoomScaleNormal="100" workbookViewId="0">
      <selection activeCell="B25" sqref="B25"/>
    </sheetView>
  </sheetViews>
  <sheetFormatPr defaultColWidth="8.88671875" defaultRowHeight="15.75"/>
  <cols>
    <col min="1" max="1" width="2.44140625" style="72" customWidth="1"/>
    <col min="2" max="2" width="31.109375" style="72" customWidth="1"/>
    <col min="3" max="4" width="15.77734375" style="72" customWidth="1"/>
    <col min="5" max="5" width="16.21875" style="72" customWidth="1"/>
    <col min="6" max="6" width="7.44140625" style="72" customWidth="1"/>
    <col min="7" max="7" width="10.21875" style="72" customWidth="1"/>
    <col min="8" max="8" width="8.88671875" style="72"/>
    <col min="9" max="9" width="5" style="72" customWidth="1"/>
    <col min="10" max="10" width="10" style="72" customWidth="1"/>
    <col min="11" max="16384" width="8.88671875" style="72"/>
  </cols>
  <sheetData>
    <row r="1" spans="2:5">
      <c r="B1" s="228" t="str">
        <f>inputPrYr!C2</f>
        <v>Franklin County</v>
      </c>
      <c r="C1" s="85"/>
      <c r="D1" s="85"/>
      <c r="E1" s="286">
        <f>inputPrYr!C4</f>
        <v>2013</v>
      </c>
    </row>
    <row r="2" spans="2:5">
      <c r="B2" s="85"/>
      <c r="C2" s="85"/>
      <c r="D2" s="85"/>
      <c r="E2" s="240"/>
    </row>
    <row r="3" spans="2:5">
      <c r="B3" s="152" t="s">
        <v>238</v>
      </c>
      <c r="C3" s="333"/>
      <c r="D3" s="333"/>
      <c r="E3" s="334"/>
    </row>
    <row r="4" spans="2:5">
      <c r="B4" s="84" t="s">
        <v>159</v>
      </c>
      <c r="C4" s="703" t="s">
        <v>841</v>
      </c>
      <c r="D4" s="704" t="s">
        <v>842</v>
      </c>
      <c r="E4" s="215" t="s">
        <v>843</v>
      </c>
    </row>
    <row r="5" spans="2:5">
      <c r="B5" s="484" t="str">
        <f>inputPrYr!B35</f>
        <v>Developmental Disabilities</v>
      </c>
      <c r="C5" s="455" t="str">
        <f>CONCATENATE("Actual for ",E1-2,"")</f>
        <v>Actual for 2011</v>
      </c>
      <c r="D5" s="455" t="str">
        <f>CONCATENATE("Estimate for ",E1-1,"")</f>
        <v>Estimate for 2012</v>
      </c>
      <c r="E5" s="302" t="str">
        <f>CONCATENATE("Year for ",E1,"")</f>
        <v>Year for 2013</v>
      </c>
    </row>
    <row r="6" spans="2:5">
      <c r="B6" s="148" t="s">
        <v>280</v>
      </c>
      <c r="C6" s="452">
        <v>278</v>
      </c>
      <c r="D6" s="456">
        <f>C34</f>
        <v>0</v>
      </c>
      <c r="E6" s="265">
        <f>D34</f>
        <v>4447</v>
      </c>
    </row>
    <row r="7" spans="2:5">
      <c r="B7" s="290" t="s">
        <v>282</v>
      </c>
      <c r="C7" s="305"/>
      <c r="D7" s="305"/>
      <c r="E7" s="127"/>
    </row>
    <row r="8" spans="2:5">
      <c r="B8" s="148" t="s">
        <v>160</v>
      </c>
      <c r="C8" s="452">
        <v>76366</v>
      </c>
      <c r="D8" s="456">
        <f>IF(inputPrYr!H35&gt;0,inputPrYr!H35,inputPrYr!E35)</f>
        <v>86750</v>
      </c>
      <c r="E8" s="337" t="s">
        <v>146</v>
      </c>
    </row>
    <row r="9" spans="2:5">
      <c r="B9" s="148" t="s">
        <v>161</v>
      </c>
      <c r="C9" s="452">
        <v>3792</v>
      </c>
      <c r="D9" s="452">
        <v>2600</v>
      </c>
      <c r="E9" s="112">
        <v>2600</v>
      </c>
    </row>
    <row r="10" spans="2:5">
      <c r="B10" s="148" t="s">
        <v>162</v>
      </c>
      <c r="C10" s="452">
        <v>10412</v>
      </c>
      <c r="D10" s="452">
        <v>9563</v>
      </c>
      <c r="E10" s="265">
        <f>mvalloc!E26</f>
        <v>10366</v>
      </c>
    </row>
    <row r="11" spans="2:5">
      <c r="B11" s="148" t="s">
        <v>163</v>
      </c>
      <c r="C11" s="452">
        <v>206</v>
      </c>
      <c r="D11" s="452">
        <v>207</v>
      </c>
      <c r="E11" s="265">
        <f>mvalloc!F26</f>
        <v>160</v>
      </c>
    </row>
    <row r="12" spans="2:5">
      <c r="B12" s="305" t="s">
        <v>229</v>
      </c>
      <c r="C12" s="452">
        <v>348</v>
      </c>
      <c r="D12" s="452">
        <v>327</v>
      </c>
      <c r="E12" s="265">
        <f>mvalloc!G26</f>
        <v>305</v>
      </c>
    </row>
    <row r="13" spans="2:5">
      <c r="B13" s="318"/>
      <c r="C13" s="452"/>
      <c r="D13" s="452"/>
      <c r="E13" s="112"/>
    </row>
    <row r="14" spans="2:5">
      <c r="B14" s="318"/>
      <c r="C14" s="452"/>
      <c r="D14" s="452"/>
      <c r="E14" s="112"/>
    </row>
    <row r="15" spans="2:5">
      <c r="B15" s="318"/>
      <c r="C15" s="452"/>
      <c r="D15" s="452"/>
      <c r="E15" s="112"/>
    </row>
    <row r="16" spans="2:5">
      <c r="B16" s="318"/>
      <c r="C16" s="452"/>
      <c r="D16" s="452"/>
      <c r="E16" s="112"/>
    </row>
    <row r="17" spans="2:10">
      <c r="B17" s="308"/>
      <c r="C17" s="452"/>
      <c r="D17" s="452"/>
      <c r="E17" s="112"/>
    </row>
    <row r="18" spans="2:10">
      <c r="B18" s="309" t="s">
        <v>73</v>
      </c>
      <c r="C18" s="452"/>
      <c r="D18" s="452"/>
      <c r="E18" s="112"/>
    </row>
    <row r="19" spans="2:10">
      <c r="B19" s="309" t="s">
        <v>681</v>
      </c>
      <c r="C19" s="453" t="str">
        <f>IF(C20*0.1&lt;C18,"Exceed 10% Rule","")</f>
        <v/>
      </c>
      <c r="D19" s="453" t="str">
        <f>IF(D20*0.1&lt;D18,"Exceed 10% Rule","")</f>
        <v/>
      </c>
      <c r="E19" s="344" t="str">
        <f>IF(E20*0.1+E40&lt;E18,"Exceed 10% Rule","")</f>
        <v/>
      </c>
    </row>
    <row r="20" spans="2:10">
      <c r="B20" s="311" t="s">
        <v>165</v>
      </c>
      <c r="C20" s="454">
        <f>SUM(C8:C18)</f>
        <v>91124</v>
      </c>
      <c r="D20" s="454">
        <f>SUM(D8:D18)</f>
        <v>99447</v>
      </c>
      <c r="E20" s="352">
        <f>SUM(E8:E18)</f>
        <v>13431</v>
      </c>
    </row>
    <row r="21" spans="2:10">
      <c r="B21" s="311" t="s">
        <v>166</v>
      </c>
      <c r="C21" s="454">
        <f>C6+C20</f>
        <v>91402</v>
      </c>
      <c r="D21" s="454">
        <f>D6+D20</f>
        <v>99447</v>
      </c>
      <c r="E21" s="352">
        <f>E6+E20</f>
        <v>17878</v>
      </c>
    </row>
    <row r="22" spans="2:10">
      <c r="B22" s="148" t="s">
        <v>169</v>
      </c>
      <c r="C22" s="309"/>
      <c r="D22" s="309"/>
      <c r="E22" s="108"/>
    </row>
    <row r="23" spans="2:10">
      <c r="B23" s="318" t="s">
        <v>175</v>
      </c>
      <c r="C23" s="452">
        <v>91402</v>
      </c>
      <c r="D23" s="452">
        <v>95000</v>
      </c>
      <c r="E23" s="112">
        <v>0</v>
      </c>
    </row>
    <row r="24" spans="2:10">
      <c r="B24" s="318" t="s">
        <v>1075</v>
      </c>
      <c r="C24" s="452">
        <v>0</v>
      </c>
      <c r="D24" s="452">
        <v>0</v>
      </c>
      <c r="E24" s="112">
        <v>17878</v>
      </c>
      <c r="G24" s="784" t="str">
        <f>CONCATENATE("Desired Carryover Into ",E1+1,"")</f>
        <v>Desired Carryover Into 2014</v>
      </c>
      <c r="H24" s="785"/>
      <c r="I24" s="785"/>
      <c r="J24" s="786"/>
    </row>
    <row r="25" spans="2:10">
      <c r="B25" s="318"/>
      <c r="C25" s="452"/>
      <c r="D25" s="452"/>
      <c r="E25" s="112"/>
      <c r="G25" s="650"/>
      <c r="H25" s="651"/>
      <c r="I25" s="652"/>
      <c r="J25" s="653"/>
    </row>
    <row r="26" spans="2:10">
      <c r="B26" s="318"/>
      <c r="C26" s="452"/>
      <c r="D26" s="452"/>
      <c r="E26" s="112"/>
      <c r="G26" s="654" t="s">
        <v>687</v>
      </c>
      <c r="H26" s="652"/>
      <c r="I26" s="652"/>
      <c r="J26" s="655">
        <v>0</v>
      </c>
    </row>
    <row r="27" spans="2:10">
      <c r="B27" s="318"/>
      <c r="C27" s="452"/>
      <c r="D27" s="452"/>
      <c r="E27" s="112"/>
      <c r="G27" s="650" t="s">
        <v>688</v>
      </c>
      <c r="H27" s="651"/>
      <c r="I27" s="651"/>
      <c r="J27" s="656" t="str">
        <f>IF(J26=0,"",ROUND((J26+E40-G39)/inputOth!E6*1000,3)-G44)</f>
        <v/>
      </c>
    </row>
    <row r="28" spans="2:10">
      <c r="B28" s="318"/>
      <c r="C28" s="452"/>
      <c r="D28" s="452"/>
      <c r="E28" s="112"/>
      <c r="G28" s="657" t="str">
        <f>CONCATENATE("",E1," Tot Exp/Non-Appr Must Be:")</f>
        <v>2013 Tot Exp/Non-Appr Must Be:</v>
      </c>
      <c r="H28" s="658"/>
      <c r="I28" s="659"/>
      <c r="J28" s="660">
        <f>IF(J26&gt;0,IF(E37&lt;E21,IF(J26=G39,E37,((J26-G39)*(1-D39))+E21),E37+(J26-G39)),0)</f>
        <v>0</v>
      </c>
    </row>
    <row r="29" spans="2:10">
      <c r="B29" s="318"/>
      <c r="C29" s="452"/>
      <c r="D29" s="452"/>
      <c r="E29" s="112"/>
      <c r="G29" s="661" t="s">
        <v>839</v>
      </c>
      <c r="H29" s="662"/>
      <c r="I29" s="662"/>
      <c r="J29" s="663">
        <f>IF(J26&gt;0,J28-E37,0)</f>
        <v>0</v>
      </c>
    </row>
    <row r="30" spans="2:10">
      <c r="B30" s="309" t="s">
        <v>75</v>
      </c>
      <c r="C30" s="452"/>
      <c r="D30" s="452"/>
      <c r="E30" s="120" t="str">
        <f>Nhood!E25</f>
        <v/>
      </c>
      <c r="G30" s="1"/>
      <c r="H30" s="1"/>
      <c r="I30" s="1"/>
      <c r="J30" s="1"/>
    </row>
    <row r="31" spans="2:10">
      <c r="B31" s="309" t="s">
        <v>73</v>
      </c>
      <c r="C31" s="452"/>
      <c r="D31" s="452"/>
      <c r="E31" s="112"/>
      <c r="G31" s="784" t="str">
        <f>CONCATENATE("Projected Carryover Into ",E1+1,"")</f>
        <v>Projected Carryover Into 2014</v>
      </c>
      <c r="H31" s="791"/>
      <c r="I31" s="791"/>
      <c r="J31" s="792"/>
    </row>
    <row r="32" spans="2:10">
      <c r="B32" s="309" t="s">
        <v>680</v>
      </c>
      <c r="C32" s="453" t="str">
        <f>IF(C33*0.1&lt;C31,"Exceed 10% Rule","")</f>
        <v/>
      </c>
      <c r="D32" s="453" t="str">
        <f>IF(D33*0.1&lt;D31,"Exceed 10% Rule","")</f>
        <v/>
      </c>
      <c r="E32" s="344" t="str">
        <f>IF(E33*0.1&lt;E31,"Exceed 10% Rule","")</f>
        <v/>
      </c>
      <c r="G32" s="650"/>
      <c r="H32" s="652"/>
      <c r="I32" s="652"/>
      <c r="J32" s="678"/>
    </row>
    <row r="33" spans="2:11">
      <c r="B33" s="311" t="s">
        <v>170</v>
      </c>
      <c r="C33" s="454">
        <f>SUM(C23:C31)</f>
        <v>91402</v>
      </c>
      <c r="D33" s="454">
        <f>SUM(D23:D31)</f>
        <v>95000</v>
      </c>
      <c r="E33" s="352">
        <f>SUM(E23:E31)</f>
        <v>17878</v>
      </c>
      <c r="G33" s="679">
        <f>D34</f>
        <v>4447</v>
      </c>
      <c r="H33" s="669" t="str">
        <f>CONCATENATE("",E1-1," Ending Cash Balance (est.)")</f>
        <v>2012 Ending Cash Balance (est.)</v>
      </c>
      <c r="I33" s="680"/>
      <c r="J33" s="678"/>
    </row>
    <row r="34" spans="2:11">
      <c r="B34" s="148" t="s">
        <v>281</v>
      </c>
      <c r="C34" s="457">
        <f>C21-C33</f>
        <v>0</v>
      </c>
      <c r="D34" s="457">
        <f>D21-D33</f>
        <v>4447</v>
      </c>
      <c r="E34" s="337" t="s">
        <v>146</v>
      </c>
      <c r="G34" s="679">
        <f>E20</f>
        <v>13431</v>
      </c>
      <c r="H34" s="652" t="str">
        <f>CONCATENATE("",E1," Non-AV Receipts (est.)")</f>
        <v>2013 Non-AV Receipts (est.)</v>
      </c>
      <c r="I34" s="680"/>
      <c r="J34" s="678"/>
    </row>
    <row r="35" spans="2:11">
      <c r="B35" s="287" t="str">
        <f>CONCATENATE("",E$1-2,"/",E$1-1," Budget Authority Amount:")</f>
        <v>2011/2012 Budget Authority Amount:</v>
      </c>
      <c r="C35" s="279">
        <f>inputOth!B49</f>
        <v>95362</v>
      </c>
      <c r="D35" s="279">
        <f>inputPrYr!D35</f>
        <v>95316</v>
      </c>
      <c r="E35" s="337" t="s">
        <v>146</v>
      </c>
      <c r="F35" s="320"/>
      <c r="G35" s="681">
        <f>IF(E39&gt;0,E38,E40)</f>
        <v>0</v>
      </c>
      <c r="H35" s="652" t="str">
        <f>CONCATENATE("",E1," Ad Valorem Tax (est.)")</f>
        <v>2013 Ad Valorem Tax (est.)</v>
      </c>
      <c r="I35" s="680"/>
      <c r="J35" s="678"/>
      <c r="K35" s="666" t="str">
        <f>IF(G35=E40,"","Note: Does not include Delinquent Taxes")</f>
        <v/>
      </c>
    </row>
    <row r="36" spans="2:11">
      <c r="B36" s="287"/>
      <c r="C36" s="774" t="s">
        <v>684</v>
      </c>
      <c r="D36" s="775"/>
      <c r="E36" s="112"/>
      <c r="F36" s="502" t="str">
        <f>IF(E33/0.95-E33&lt;E36,"Exceeds 5%","")</f>
        <v/>
      </c>
      <c r="G36" s="679">
        <f>SUM(G33:G35)</f>
        <v>17878</v>
      </c>
      <c r="H36" s="652" t="str">
        <f>CONCATENATE("Total ",E1," Resources Available")</f>
        <v>Total 2013 Resources Available</v>
      </c>
      <c r="I36" s="680"/>
      <c r="J36" s="678"/>
    </row>
    <row r="37" spans="2:11">
      <c r="B37" s="506" t="str">
        <f>CONCATENATE(C91,"     ",D91)</f>
        <v xml:space="preserve">     </v>
      </c>
      <c r="C37" s="776" t="s">
        <v>685</v>
      </c>
      <c r="D37" s="777"/>
      <c r="E37" s="265">
        <f>E33+E36</f>
        <v>17878</v>
      </c>
      <c r="G37" s="682"/>
      <c r="H37" s="652"/>
      <c r="I37" s="652"/>
      <c r="J37" s="678"/>
    </row>
    <row r="38" spans="2:11">
      <c r="B38" s="506" t="str">
        <f>CONCATENATE(C92,"     ",D92)</f>
        <v xml:space="preserve">     </v>
      </c>
      <c r="C38" s="321"/>
      <c r="D38" s="240" t="s">
        <v>171</v>
      </c>
      <c r="E38" s="120">
        <f>IF(E37-E21&gt;0,E37-E21,0)</f>
        <v>0</v>
      </c>
      <c r="G38" s="681">
        <f>ROUND(C33*0.05+C33,0)</f>
        <v>95972</v>
      </c>
      <c r="H38" s="652" t="str">
        <f>CONCATENATE("Less ",E1-2," Expenditures + 5%")</f>
        <v>Less 2011 Expenditures + 5%</v>
      </c>
      <c r="I38" s="680"/>
      <c r="J38" s="683"/>
    </row>
    <row r="39" spans="2:11">
      <c r="B39" s="240"/>
      <c r="C39" s="504" t="s">
        <v>686</v>
      </c>
      <c r="D39" s="649">
        <f>inputOth!$E$23</f>
        <v>0.05</v>
      </c>
      <c r="E39" s="265">
        <f>ROUND(IF(D39&gt;0,($E$38*D39),0),0)</f>
        <v>0</v>
      </c>
      <c r="G39" s="684">
        <f>G36-G38</f>
        <v>-78094</v>
      </c>
      <c r="H39" s="685" t="str">
        <f>CONCATENATE("Projected ",E1+1," carryover (est.)")</f>
        <v>Projected 2014 carryover (est.)</v>
      </c>
      <c r="I39" s="686"/>
      <c r="J39" s="687"/>
    </row>
    <row r="40" spans="2:11">
      <c r="B40" s="85"/>
      <c r="C40" s="782" t="str">
        <f>CONCATENATE("Amount of  ",$E$1-1," Ad Valorem Tax")</f>
        <v>Amount of  2012 Ad Valorem Tax</v>
      </c>
      <c r="D40" s="783"/>
      <c r="E40" s="348">
        <f>E38+E39</f>
        <v>0</v>
      </c>
      <c r="G40" s="1"/>
      <c r="H40" s="1"/>
      <c r="I40" s="1"/>
      <c r="J40" s="1"/>
    </row>
    <row r="41" spans="2:11">
      <c r="B41" s="85"/>
      <c r="C41" s="327"/>
      <c r="D41" s="327"/>
      <c r="E41" s="327"/>
      <c r="G41" s="787" t="s">
        <v>840</v>
      </c>
      <c r="H41" s="788"/>
      <c r="I41" s="788"/>
      <c r="J41" s="789"/>
    </row>
    <row r="42" spans="2:11">
      <c r="B42" s="84" t="s">
        <v>159</v>
      </c>
      <c r="C42" s="703" t="str">
        <f t="shared" ref="C42:E43" si="0">C4</f>
        <v xml:space="preserve">Prior Year </v>
      </c>
      <c r="D42" s="704" t="str">
        <f t="shared" si="0"/>
        <v xml:space="preserve">Current Year </v>
      </c>
      <c r="E42" s="215" t="str">
        <f t="shared" si="0"/>
        <v xml:space="preserve">Proposed Budget </v>
      </c>
      <c r="G42" s="668"/>
      <c r="H42" s="669"/>
      <c r="I42" s="670"/>
      <c r="J42" s="671"/>
    </row>
    <row r="43" spans="2:11">
      <c r="B43" s="483">
        <f>inputPrYr!B36</f>
        <v>0</v>
      </c>
      <c r="C43" s="455" t="str">
        <f t="shared" si="0"/>
        <v>Actual for 2011</v>
      </c>
      <c r="D43" s="455" t="str">
        <f t="shared" si="0"/>
        <v>Estimate for 2012</v>
      </c>
      <c r="E43" s="302" t="str">
        <f t="shared" si="0"/>
        <v>Year for 2013</v>
      </c>
      <c r="G43" s="672" t="str">
        <f>summ!H35</f>
        <v xml:space="preserve">  </v>
      </c>
      <c r="H43" s="669" t="str">
        <f>CONCATENATE("",E1," Fund Mill Rate")</f>
        <v>2013 Fund Mill Rate</v>
      </c>
      <c r="I43" s="670"/>
      <c r="J43" s="671"/>
    </row>
    <row r="44" spans="2:11">
      <c r="B44" s="148" t="s">
        <v>280</v>
      </c>
      <c r="C44" s="452"/>
      <c r="D44" s="456">
        <f>C74</f>
        <v>0</v>
      </c>
      <c r="E44" s="265">
        <f>D74</f>
        <v>0</v>
      </c>
      <c r="G44" s="673">
        <f>summ!E35</f>
        <v>0.41799999999999998</v>
      </c>
      <c r="H44" s="669" t="str">
        <f>CONCATENATE("",E1-1," Fund Mill Rate")</f>
        <v>2012 Fund Mill Rate</v>
      </c>
      <c r="I44" s="670"/>
      <c r="J44" s="671"/>
    </row>
    <row r="45" spans="2:11">
      <c r="B45" s="303" t="s">
        <v>282</v>
      </c>
      <c r="C45" s="305"/>
      <c r="D45" s="305"/>
      <c r="E45" s="127"/>
      <c r="G45" s="674">
        <f>summ!H61</f>
        <v>59.232000000000006</v>
      </c>
      <c r="H45" s="669" t="str">
        <f>CONCATENATE("Total ",E1," Mill Rate")</f>
        <v>Total 2013 Mill Rate</v>
      </c>
      <c r="I45" s="670"/>
      <c r="J45" s="671"/>
    </row>
    <row r="46" spans="2:11">
      <c r="B46" s="148" t="s">
        <v>160</v>
      </c>
      <c r="C46" s="452"/>
      <c r="D46" s="456">
        <f>IF(inputPrYr!H36&gt;0,inputPrYr!H36,inputPrYr!E36)</f>
        <v>0</v>
      </c>
      <c r="E46" s="337" t="s">
        <v>146</v>
      </c>
      <c r="G46" s="673">
        <f>summ!E61</f>
        <v>59.207000000000001</v>
      </c>
      <c r="H46" s="675" t="str">
        <f>CONCATENATE("Total ",E1-1," Mill Rate")</f>
        <v>Total 2012 Mill Rate</v>
      </c>
      <c r="I46" s="676"/>
      <c r="J46" s="677"/>
    </row>
    <row r="47" spans="2:11">
      <c r="B47" s="148" t="s">
        <v>161</v>
      </c>
      <c r="C47" s="452"/>
      <c r="D47" s="452"/>
      <c r="E47" s="112"/>
      <c r="G47" s="1"/>
      <c r="H47" s="1"/>
      <c r="I47" s="1"/>
      <c r="J47" s="1"/>
    </row>
    <row r="48" spans="2:11">
      <c r="B48" s="148" t="s">
        <v>162</v>
      </c>
      <c r="C48" s="452"/>
      <c r="D48" s="452"/>
      <c r="E48" s="265" t="str">
        <f>mvalloc!E27</f>
        <v xml:space="preserve">  </v>
      </c>
      <c r="G48" s="1"/>
      <c r="H48" s="1"/>
      <c r="I48" s="1"/>
      <c r="J48" s="1"/>
    </row>
    <row r="49" spans="2:10">
      <c r="B49" s="148" t="s">
        <v>163</v>
      </c>
      <c r="C49" s="452"/>
      <c r="D49" s="452"/>
      <c r="E49" s="265" t="str">
        <f>mvalloc!F27</f>
        <v xml:space="preserve">  </v>
      </c>
      <c r="G49" s="1"/>
      <c r="H49" s="1"/>
      <c r="I49" s="1"/>
      <c r="J49" s="1"/>
    </row>
    <row r="50" spans="2:10">
      <c r="B50" s="305" t="s">
        <v>229</v>
      </c>
      <c r="C50" s="452"/>
      <c r="D50" s="452"/>
      <c r="E50" s="265" t="str">
        <f>mvalloc!G27</f>
        <v xml:space="preserve">  </v>
      </c>
      <c r="G50" s="1"/>
      <c r="H50" s="1"/>
      <c r="I50" s="1"/>
      <c r="J50" s="1"/>
    </row>
    <row r="51" spans="2:10">
      <c r="B51" s="318"/>
      <c r="C51" s="452"/>
      <c r="D51" s="452"/>
      <c r="E51" s="112"/>
      <c r="G51" s="1"/>
      <c r="H51" s="1"/>
      <c r="I51" s="1"/>
      <c r="J51" s="1"/>
    </row>
    <row r="52" spans="2:10">
      <c r="B52" s="318"/>
      <c r="C52" s="452"/>
      <c r="D52" s="452"/>
      <c r="E52" s="112"/>
      <c r="G52" s="1"/>
      <c r="H52" s="1"/>
      <c r="I52" s="1"/>
      <c r="J52" s="1"/>
    </row>
    <row r="53" spans="2:10">
      <c r="B53" s="318"/>
      <c r="C53" s="452"/>
      <c r="D53" s="452"/>
      <c r="E53" s="112"/>
      <c r="G53" s="1"/>
      <c r="H53" s="1"/>
      <c r="I53" s="1"/>
      <c r="J53" s="1"/>
    </row>
    <row r="54" spans="2:10">
      <c r="B54" s="318"/>
      <c r="C54" s="452"/>
      <c r="D54" s="452"/>
      <c r="E54" s="112"/>
      <c r="G54" s="1"/>
      <c r="H54" s="1"/>
      <c r="I54" s="1"/>
      <c r="J54" s="1"/>
    </row>
    <row r="55" spans="2:10">
      <c r="B55" s="318"/>
      <c r="C55" s="452"/>
      <c r="D55" s="452"/>
      <c r="E55" s="112"/>
      <c r="G55" s="1"/>
      <c r="H55" s="1"/>
      <c r="I55" s="1"/>
      <c r="J55" s="1"/>
    </row>
    <row r="56" spans="2:10">
      <c r="B56" s="318"/>
      <c r="C56" s="452"/>
      <c r="D56" s="452"/>
      <c r="E56" s="112"/>
      <c r="G56" s="1"/>
      <c r="H56" s="1"/>
      <c r="I56" s="1"/>
      <c r="J56" s="1"/>
    </row>
    <row r="57" spans="2:10">
      <c r="B57" s="308"/>
      <c r="C57" s="452"/>
      <c r="D57" s="452"/>
      <c r="E57" s="112"/>
      <c r="G57" s="1"/>
      <c r="H57" s="1"/>
      <c r="I57" s="1"/>
      <c r="J57" s="1"/>
    </row>
    <row r="58" spans="2:10">
      <c r="B58" s="309" t="s">
        <v>73</v>
      </c>
      <c r="C58" s="452"/>
      <c r="D58" s="452"/>
      <c r="E58" s="112"/>
      <c r="G58" s="1"/>
      <c r="H58" s="1"/>
      <c r="I58" s="1"/>
      <c r="J58" s="1"/>
    </row>
    <row r="59" spans="2:10">
      <c r="B59" s="309" t="s">
        <v>681</v>
      </c>
      <c r="C59" s="453" t="str">
        <f>IF(C60*0.1&lt;C58,"Exceed 10% Rule","")</f>
        <v/>
      </c>
      <c r="D59" s="453" t="str">
        <f>IF(D60*0.1&lt;D58,"Exceed 10% Rule","")</f>
        <v/>
      </c>
      <c r="E59" s="344" t="str">
        <f>IF(E60*0.1+E80&lt;E58,"Exceed 10% Rule","")</f>
        <v/>
      </c>
      <c r="G59" s="1"/>
      <c r="H59" s="1"/>
      <c r="I59" s="1"/>
      <c r="J59" s="1"/>
    </row>
    <row r="60" spans="2:10">
      <c r="B60" s="311" t="s">
        <v>165</v>
      </c>
      <c r="C60" s="454">
        <f>SUM(C46:C58)</f>
        <v>0</v>
      </c>
      <c r="D60" s="454">
        <f>SUM(D46:D58)</f>
        <v>0</v>
      </c>
      <c r="E60" s="352">
        <f>SUM(E46:E58)</f>
        <v>0</v>
      </c>
      <c r="G60" s="1"/>
      <c r="H60" s="1"/>
      <c r="I60" s="1"/>
      <c r="J60" s="1"/>
    </row>
    <row r="61" spans="2:10">
      <c r="B61" s="311" t="s">
        <v>166</v>
      </c>
      <c r="C61" s="454">
        <f>C44+C60</f>
        <v>0</v>
      </c>
      <c r="D61" s="454">
        <f>D44+D60</f>
        <v>0</v>
      </c>
      <c r="E61" s="352">
        <f>E44+E60</f>
        <v>0</v>
      </c>
      <c r="G61" s="1"/>
      <c r="H61" s="1"/>
      <c r="I61" s="1"/>
      <c r="J61" s="1"/>
    </row>
    <row r="62" spans="2:10">
      <c r="B62" s="148" t="s">
        <v>169</v>
      </c>
      <c r="C62" s="309"/>
      <c r="D62" s="309"/>
      <c r="E62" s="108"/>
      <c r="G62" s="1"/>
      <c r="H62" s="1"/>
      <c r="I62" s="1"/>
      <c r="J62" s="1"/>
    </row>
    <row r="63" spans="2:10">
      <c r="B63" s="318"/>
      <c r="C63" s="452"/>
      <c r="D63" s="452"/>
      <c r="E63" s="112"/>
      <c r="G63" s="1"/>
      <c r="H63" s="1"/>
      <c r="I63" s="1"/>
      <c r="J63" s="1"/>
    </row>
    <row r="64" spans="2:10">
      <c r="B64" s="318"/>
      <c r="C64" s="452"/>
      <c r="D64" s="452"/>
      <c r="E64" s="112"/>
      <c r="G64" s="784" t="str">
        <f>CONCATENATE("Desired Carryover Into ",E1+1,"")</f>
        <v>Desired Carryover Into 2014</v>
      </c>
      <c r="H64" s="785"/>
      <c r="I64" s="785"/>
      <c r="J64" s="786"/>
    </row>
    <row r="65" spans="2:11">
      <c r="B65" s="318"/>
      <c r="C65" s="452"/>
      <c r="D65" s="452"/>
      <c r="E65" s="112"/>
      <c r="G65" s="650"/>
      <c r="H65" s="651"/>
      <c r="I65" s="652"/>
      <c r="J65" s="653"/>
    </row>
    <row r="66" spans="2:11">
      <c r="B66" s="318"/>
      <c r="C66" s="452"/>
      <c r="D66" s="452"/>
      <c r="E66" s="112"/>
      <c r="G66" s="654" t="s">
        <v>687</v>
      </c>
      <c r="H66" s="652"/>
      <c r="I66" s="652"/>
      <c r="J66" s="655">
        <v>0</v>
      </c>
    </row>
    <row r="67" spans="2:11">
      <c r="B67" s="318"/>
      <c r="C67" s="452"/>
      <c r="D67" s="452"/>
      <c r="E67" s="112"/>
      <c r="G67" s="650" t="s">
        <v>688</v>
      </c>
      <c r="H67" s="651"/>
      <c r="I67" s="651"/>
      <c r="J67" s="656" t="str">
        <f>IF(J66=0,"",ROUND((J66+E80-G79)/inputOth!E6*1000,3)-G84)</f>
        <v/>
      </c>
    </row>
    <row r="68" spans="2:11">
      <c r="B68" s="318"/>
      <c r="C68" s="452"/>
      <c r="D68" s="452"/>
      <c r="E68" s="112"/>
      <c r="G68" s="657" t="str">
        <f>CONCATENATE("",E1," Tot Exp/Non-Appr Must Be:")</f>
        <v>2013 Tot Exp/Non-Appr Must Be:</v>
      </c>
      <c r="H68" s="658"/>
      <c r="I68" s="659"/>
      <c r="J68" s="660">
        <f>IF(J66&gt;0,IF(E77&lt;E61,IF(J66=G79,E77,((J66-G79)*(1-D79))+E61),E77+(J66-G79)),0)</f>
        <v>0</v>
      </c>
    </row>
    <row r="69" spans="2:11">
      <c r="B69" s="318"/>
      <c r="C69" s="452"/>
      <c r="D69" s="452"/>
      <c r="E69" s="112"/>
      <c r="G69" s="661" t="s">
        <v>839</v>
      </c>
      <c r="H69" s="662"/>
      <c r="I69" s="662"/>
      <c r="J69" s="663">
        <f>IF(J66&gt;0,J68-E77,0)</f>
        <v>0</v>
      </c>
    </row>
    <row r="70" spans="2:11">
      <c r="B70" s="309" t="s">
        <v>75</v>
      </c>
      <c r="C70" s="452"/>
      <c r="D70" s="452"/>
      <c r="E70" s="120" t="str">
        <f>Nhood!E26</f>
        <v/>
      </c>
      <c r="G70" s="1"/>
      <c r="H70" s="1"/>
      <c r="I70" s="1"/>
      <c r="J70" s="1"/>
    </row>
    <row r="71" spans="2:11">
      <c r="B71" s="309" t="s">
        <v>73</v>
      </c>
      <c r="C71" s="452"/>
      <c r="D71" s="452"/>
      <c r="E71" s="112"/>
      <c r="G71" s="784" t="str">
        <f>CONCATENATE("Projected Carryover Into ",E1+1,"")</f>
        <v>Projected Carryover Into 2014</v>
      </c>
      <c r="H71" s="793"/>
      <c r="I71" s="793"/>
      <c r="J71" s="792"/>
    </row>
    <row r="72" spans="2:11">
      <c r="B72" s="309" t="s">
        <v>680</v>
      </c>
      <c r="C72" s="453" t="str">
        <f>IF(C73*0.1&lt;C71,"Exceed 10% Rule","")</f>
        <v/>
      </c>
      <c r="D72" s="453" t="str">
        <f>IF(D73*0.1&lt;D71,"Exceed 10% Rule","")</f>
        <v/>
      </c>
      <c r="E72" s="344" t="str">
        <f>IF(E73*0.1&lt;E71,"Exceed 10% Rule","")</f>
        <v/>
      </c>
      <c r="G72" s="688"/>
      <c r="H72" s="651"/>
      <c r="I72" s="651"/>
      <c r="J72" s="683"/>
    </row>
    <row r="73" spans="2:11">
      <c r="B73" s="311" t="s">
        <v>170</v>
      </c>
      <c r="C73" s="454">
        <f>SUM(C63:C71)</f>
        <v>0</v>
      </c>
      <c r="D73" s="454">
        <f>SUM(D63:D71)</f>
        <v>0</v>
      </c>
      <c r="E73" s="352">
        <f>SUM(E63:E71)</f>
        <v>0</v>
      </c>
      <c r="G73" s="679">
        <f>D74</f>
        <v>0</v>
      </c>
      <c r="H73" s="669" t="str">
        <f>CONCATENATE("",E1-1," Ending Cash Balance (est.)")</f>
        <v>2012 Ending Cash Balance (est.)</v>
      </c>
      <c r="I73" s="680"/>
      <c r="J73" s="683"/>
    </row>
    <row r="74" spans="2:11">
      <c r="B74" s="148" t="s">
        <v>281</v>
      </c>
      <c r="C74" s="457">
        <f>C61-C73</f>
        <v>0</v>
      </c>
      <c r="D74" s="457">
        <f>D61-D73</f>
        <v>0</v>
      </c>
      <c r="E74" s="337" t="s">
        <v>146</v>
      </c>
      <c r="G74" s="679">
        <f>E60</f>
        <v>0</v>
      </c>
      <c r="H74" s="652" t="str">
        <f>CONCATENATE("",E1," Non-AV Receipts (est.)")</f>
        <v>2013 Non-AV Receipts (est.)</v>
      </c>
      <c r="I74" s="680"/>
      <c r="J74" s="683"/>
    </row>
    <row r="75" spans="2:11">
      <c r="B75" s="287" t="str">
        <f>CONCATENATE("",E$1-2,"/",E$1-1," Budget Authority Amount:")</f>
        <v>2011/2012 Budget Authority Amount:</v>
      </c>
      <c r="C75" s="279">
        <f>inputOth!B50</f>
        <v>0</v>
      </c>
      <c r="D75" s="279">
        <f>inputPrYr!D36</f>
        <v>0</v>
      </c>
      <c r="E75" s="337" t="s">
        <v>146</v>
      </c>
      <c r="F75" s="320"/>
      <c r="G75" s="681">
        <f>IF(E79&gt;0,E78,E80)</f>
        <v>0</v>
      </c>
      <c r="H75" s="652" t="str">
        <f>CONCATENATE("",E1," Ad Valorem Tax (est.)")</f>
        <v>2013 Ad Valorem Tax (est.)</v>
      </c>
      <c r="I75" s="680"/>
      <c r="J75" s="683"/>
      <c r="K75" s="666" t="str">
        <f>IF(G75=E80,"","Note: Does not include Delinquent Taxes")</f>
        <v/>
      </c>
    </row>
    <row r="76" spans="2:11">
      <c r="B76" s="287"/>
      <c r="C76" s="774" t="s">
        <v>684</v>
      </c>
      <c r="D76" s="775"/>
      <c r="E76" s="112"/>
      <c r="F76" s="502" t="str">
        <f>IF(E73/0.95-E73&lt;E76,"Exceeds 5%","")</f>
        <v/>
      </c>
      <c r="G76" s="689">
        <f>SUM(G73:G75)</f>
        <v>0</v>
      </c>
      <c r="H76" s="652" t="str">
        <f>CONCATENATE("Total ",E1," Resources Available")</f>
        <v>Total 2013 Resources Available</v>
      </c>
      <c r="I76" s="690"/>
      <c r="J76" s="683"/>
    </row>
    <row r="77" spans="2:11">
      <c r="B77" s="505" t="str">
        <f>CONCATENATE(C93,"     ",D93)</f>
        <v xml:space="preserve">     </v>
      </c>
      <c r="C77" s="776" t="s">
        <v>685</v>
      </c>
      <c r="D77" s="777"/>
      <c r="E77" s="265">
        <f>E73+E76</f>
        <v>0</v>
      </c>
      <c r="G77" s="691"/>
      <c r="H77" s="692"/>
      <c r="I77" s="651"/>
      <c r="J77" s="683"/>
    </row>
    <row r="78" spans="2:11">
      <c r="B78" s="505" t="str">
        <f>CONCATENATE(C94,"     ",D94)</f>
        <v xml:space="preserve">     </v>
      </c>
      <c r="C78" s="321"/>
      <c r="D78" s="240" t="s">
        <v>171</v>
      </c>
      <c r="E78" s="120">
        <f>IF(E77-E61&gt;0,E77-E61,0)</f>
        <v>0</v>
      </c>
      <c r="G78" s="693">
        <f>ROUND(C73*0.05+C73,0)</f>
        <v>0</v>
      </c>
      <c r="H78" s="652" t="str">
        <f>CONCATENATE("Less ",E1-2," Expenditures + 5%")</f>
        <v>Less 2011 Expenditures + 5%</v>
      </c>
      <c r="I78" s="690"/>
      <c r="J78" s="683"/>
    </row>
    <row r="79" spans="2:11">
      <c r="B79" s="240"/>
      <c r="C79" s="504" t="s">
        <v>686</v>
      </c>
      <c r="D79" s="649">
        <f>inputOth!$E$23</f>
        <v>0.05</v>
      </c>
      <c r="E79" s="265">
        <f>ROUND(IF(D79&gt;0,($E$78*D79),0),0)</f>
        <v>0</v>
      </c>
      <c r="G79" s="694">
        <f>G76-G78</f>
        <v>0</v>
      </c>
      <c r="H79" s="685" t="str">
        <f>CONCATENATE("Projected ",E1+1," carryover (est.)")</f>
        <v>Projected 2014 carryover (est.)</v>
      </c>
      <c r="I79" s="695"/>
      <c r="J79" s="696"/>
    </row>
    <row r="80" spans="2:11">
      <c r="B80" s="85"/>
      <c r="C80" s="782" t="str">
        <f>CONCATENATE("Amount of  ",$E$1-1," Ad Valorem Tax")</f>
        <v>Amount of  2012 Ad Valorem Tax</v>
      </c>
      <c r="D80" s="783"/>
      <c r="E80" s="348">
        <f>E78+E79</f>
        <v>0</v>
      </c>
      <c r="G80" s="1"/>
      <c r="H80" s="1"/>
      <c r="I80" s="1"/>
      <c r="J80" s="1"/>
    </row>
    <row r="81" spans="2:10">
      <c r="B81" s="287" t="s">
        <v>190</v>
      </c>
      <c r="C81" s="349"/>
      <c r="D81" s="85"/>
      <c r="E81" s="85"/>
      <c r="G81" s="787" t="s">
        <v>840</v>
      </c>
      <c r="H81" s="788"/>
      <c r="I81" s="788"/>
      <c r="J81" s="789"/>
    </row>
    <row r="82" spans="2:10">
      <c r="G82" s="668"/>
      <c r="H82" s="669"/>
      <c r="I82" s="670"/>
      <c r="J82" s="671"/>
    </row>
    <row r="83" spans="2:10">
      <c r="G83" s="672" t="str">
        <f>summ!H36</f>
        <v xml:space="preserve">  </v>
      </c>
      <c r="H83" s="669" t="str">
        <f>CONCATENATE("",E1," Fund Mill Rate")</f>
        <v>2013 Fund Mill Rate</v>
      </c>
      <c r="I83" s="670"/>
      <c r="J83" s="671"/>
    </row>
    <row r="84" spans="2:10">
      <c r="G84" s="673" t="str">
        <f>summ!E36</f>
        <v xml:space="preserve">  </v>
      </c>
      <c r="H84" s="669" t="str">
        <f>CONCATENATE("",E1-1," Fund Mill Rate")</f>
        <v>2012 Fund Mill Rate</v>
      </c>
      <c r="I84" s="670"/>
      <c r="J84" s="671"/>
    </row>
    <row r="85" spans="2:10">
      <c r="G85" s="674">
        <f>summ!H61</f>
        <v>59.232000000000006</v>
      </c>
      <c r="H85" s="669" t="str">
        <f>CONCATENATE("Total ",E1," Mill Rate")</f>
        <v>Total 2013 Mill Rate</v>
      </c>
      <c r="I85" s="670"/>
      <c r="J85" s="671"/>
    </row>
    <row r="86" spans="2:10">
      <c r="G86" s="673">
        <f>summ!E61</f>
        <v>59.207000000000001</v>
      </c>
      <c r="H86" s="675" t="str">
        <f>CONCATENATE("Total ",E1-1," Mill Rate")</f>
        <v>Total 2012 Mill Rate</v>
      </c>
      <c r="I86" s="676"/>
      <c r="J86" s="677"/>
    </row>
    <row r="91" spans="2:10" hidden="1">
      <c r="C91" s="72" t="str">
        <f>IF(C33&gt;C35,"See Tab A","")</f>
        <v/>
      </c>
      <c r="D91" s="72" t="str">
        <f>IF(D33&gt;D35,"See Tab C","")</f>
        <v/>
      </c>
    </row>
    <row r="92" spans="2:10" hidden="1">
      <c r="C92" s="72" t="str">
        <f>IF(C34&lt;0,"See Tab B","")</f>
        <v/>
      </c>
      <c r="D92" s="72" t="str">
        <f>IF(D34&lt;0,"See Tab D","")</f>
        <v/>
      </c>
    </row>
    <row r="93" spans="2:10" hidden="1">
      <c r="C93" s="72" t="str">
        <f>IF(C73&gt;C75,"See Tab A","")</f>
        <v/>
      </c>
      <c r="D93" s="72" t="str">
        <f>IF(D73&gt;D75,"See Tab C","")</f>
        <v/>
      </c>
    </row>
    <row r="94" spans="2:10" hidden="1">
      <c r="C94" s="72" t="str">
        <f>IF(C74&lt;0,"See Tab B","")</f>
        <v/>
      </c>
      <c r="D94" s="72" t="str">
        <f>IF(D74&lt;0,"See Tab D","")</f>
        <v/>
      </c>
    </row>
  </sheetData>
  <sheetProtection sheet="1" objects="1" scenarios="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212" priority="3" stopIfTrue="1" operator="greaterThan">
      <formula>$E$73*0.1</formula>
    </cfRule>
  </conditionalFormatting>
  <conditionalFormatting sqref="E76">
    <cfRule type="cellIs" dxfId="211" priority="4" stopIfTrue="1" operator="greaterThan">
      <formula>$E$73/0.95-$E$73</formula>
    </cfRule>
  </conditionalFormatting>
  <conditionalFormatting sqref="E36">
    <cfRule type="cellIs" dxfId="210" priority="5" stopIfTrue="1" operator="greaterThan">
      <formula>$E$33/0.95-$E$33</formula>
    </cfRule>
  </conditionalFormatting>
  <conditionalFormatting sqref="E31">
    <cfRule type="cellIs" dxfId="209" priority="6" stopIfTrue="1" operator="greaterThan">
      <formula>$E$33*0.1</formula>
    </cfRule>
  </conditionalFormatting>
  <conditionalFormatting sqref="C74 C34">
    <cfRule type="cellIs" dxfId="208" priority="7" stopIfTrue="1" operator="lessThan">
      <formula>0</formula>
    </cfRule>
  </conditionalFormatting>
  <conditionalFormatting sqref="C73">
    <cfRule type="cellIs" dxfId="207" priority="8" stopIfTrue="1" operator="greaterThan">
      <formula>$C$75</formula>
    </cfRule>
  </conditionalFormatting>
  <conditionalFormatting sqref="D73">
    <cfRule type="cellIs" dxfId="206" priority="9" stopIfTrue="1" operator="greaterThan">
      <formula>$D$75</formula>
    </cfRule>
  </conditionalFormatting>
  <conditionalFormatting sqref="C71">
    <cfRule type="cellIs" dxfId="205" priority="10" stopIfTrue="1" operator="greaterThan">
      <formula>$C$73*0.1</formula>
    </cfRule>
  </conditionalFormatting>
  <conditionalFormatting sqref="D71">
    <cfRule type="cellIs" dxfId="204" priority="11" stopIfTrue="1" operator="greaterThan">
      <formula>$D$73*0.1</formula>
    </cfRule>
  </conditionalFormatting>
  <conditionalFormatting sqref="E58">
    <cfRule type="cellIs" dxfId="203" priority="12" stopIfTrue="1" operator="greaterThan">
      <formula>$E$60*0.1+E80</formula>
    </cfRule>
  </conditionalFormatting>
  <conditionalFormatting sqref="C58">
    <cfRule type="cellIs" dxfId="202" priority="13" stopIfTrue="1" operator="greaterThan">
      <formula>$C$60*0.1</formula>
    </cfRule>
  </conditionalFormatting>
  <conditionalFormatting sqref="D58">
    <cfRule type="cellIs" dxfId="201" priority="14" stopIfTrue="1" operator="greaterThan">
      <formula>$D$60*0.1</formula>
    </cfRule>
  </conditionalFormatting>
  <conditionalFormatting sqref="C33">
    <cfRule type="cellIs" dxfId="200" priority="15" stopIfTrue="1" operator="greaterThan">
      <formula>$C$35</formula>
    </cfRule>
  </conditionalFormatting>
  <conditionalFormatting sqref="D33">
    <cfRule type="cellIs" dxfId="199" priority="16" stopIfTrue="1" operator="greaterThan">
      <formula>$D$35</formula>
    </cfRule>
  </conditionalFormatting>
  <conditionalFormatting sqref="C31">
    <cfRule type="cellIs" dxfId="198" priority="17" stopIfTrue="1" operator="greaterThan">
      <formula>$C$33*0.1</formula>
    </cfRule>
  </conditionalFormatting>
  <conditionalFormatting sqref="D31">
    <cfRule type="cellIs" dxfId="197" priority="18" stopIfTrue="1" operator="greaterThan">
      <formula>$D$33*0.1</formula>
    </cfRule>
  </conditionalFormatting>
  <conditionalFormatting sqref="E18">
    <cfRule type="cellIs" dxfId="196" priority="19" stopIfTrue="1" operator="greaterThan">
      <formula>$E$20*0.1+E40</formula>
    </cfRule>
  </conditionalFormatting>
  <conditionalFormatting sqref="C18">
    <cfRule type="cellIs" dxfId="195" priority="20" stopIfTrue="1" operator="greaterThan">
      <formula>$C$20*0.1</formula>
    </cfRule>
  </conditionalFormatting>
  <conditionalFormatting sqref="D18">
    <cfRule type="cellIs" dxfId="194" priority="21" stopIfTrue="1" operator="greaterThan">
      <formula>$D$20*0.1</formula>
    </cfRule>
  </conditionalFormatting>
  <conditionalFormatting sqref="D34 D74">
    <cfRule type="cellIs" dxfId="193" priority="2" stopIfTrue="1" operator="lessThan">
      <formula>0</formula>
    </cfRule>
  </conditionalFormatting>
  <pageMargins left="1.1200000000000001" right="0.5" top="0.74" bottom="0.34" header="0.5" footer="0"/>
  <pageSetup scale="54" orientation="portrait" blackAndWhite="1" r:id="rId1"/>
  <headerFooter alignWithMargins="0">
    <oddHeader xml:space="preserve">&amp;RState of Kansas
County
</oddHeader>
  </headerFooter>
</worksheet>
</file>

<file path=xl/worksheets/sheet27.xml><?xml version="1.0" encoding="utf-8"?>
<worksheet xmlns="http://schemas.openxmlformats.org/spreadsheetml/2006/main" xmlns:r="http://schemas.openxmlformats.org/officeDocument/2006/relationships">
  <sheetPr codeName="Sheet22">
    <pageSetUpPr fitToPage="1"/>
  </sheetPr>
  <dimension ref="B1:K91"/>
  <sheetViews>
    <sheetView zoomScaleNormal="100" workbookViewId="0">
      <selection activeCell="B44" sqref="B44"/>
    </sheetView>
  </sheetViews>
  <sheetFormatPr defaultColWidth="8.88671875" defaultRowHeight="15.75"/>
  <cols>
    <col min="1" max="1" width="2.44140625" style="72" customWidth="1"/>
    <col min="2" max="2" width="31.109375" style="72" customWidth="1"/>
    <col min="3" max="4" width="15.77734375" style="72" customWidth="1"/>
    <col min="5" max="5" width="16.21875" style="72" customWidth="1"/>
    <col min="6" max="6" width="8.88671875" style="72"/>
    <col min="7" max="7" width="10.21875" style="72" customWidth="1"/>
    <col min="8" max="8" width="8.88671875" style="72"/>
    <col min="9" max="9" width="5" style="72" customWidth="1"/>
    <col min="10" max="10" width="10" style="72" customWidth="1"/>
    <col min="11" max="16384" width="8.88671875" style="72"/>
  </cols>
  <sheetData>
    <row r="1" spans="2:5">
      <c r="B1" s="228">
        <f>inputPrYr!C3</f>
        <v>0</v>
      </c>
      <c r="C1" s="85"/>
      <c r="D1" s="85"/>
      <c r="E1" s="286">
        <f>inputPrYr!C4</f>
        <v>2013</v>
      </c>
    </row>
    <row r="2" spans="2:5">
      <c r="B2" s="152"/>
      <c r="C2" s="333"/>
      <c r="D2" s="333"/>
      <c r="E2" s="334"/>
    </row>
    <row r="3" spans="2:5">
      <c r="B3" s="702" t="s">
        <v>238</v>
      </c>
      <c r="C3" s="327"/>
      <c r="D3" s="327"/>
      <c r="E3" s="327"/>
    </row>
    <row r="4" spans="2:5">
      <c r="B4" s="84" t="s">
        <v>159</v>
      </c>
      <c r="C4" s="703" t="s">
        <v>841</v>
      </c>
      <c r="D4" s="704" t="s">
        <v>842</v>
      </c>
      <c r="E4" s="215" t="s">
        <v>843</v>
      </c>
    </row>
    <row r="5" spans="2:5">
      <c r="B5" s="228">
        <f>inputPrYr!B37</f>
        <v>0</v>
      </c>
      <c r="C5" s="455" t="str">
        <f>CONCATENATE("Actual for ",E1-2,"")</f>
        <v>Actual for 2011</v>
      </c>
      <c r="D5" s="455" t="str">
        <f>CONCATENATE("Estimate for ",E1-1,"")</f>
        <v>Estimate for 2012</v>
      </c>
      <c r="E5" s="302" t="str">
        <f>CONCATENATE("Year for ",E1,"")</f>
        <v>Year for 2013</v>
      </c>
    </row>
    <row r="6" spans="2:5">
      <c r="B6" s="148" t="s">
        <v>280</v>
      </c>
      <c r="C6" s="452"/>
      <c r="D6" s="456">
        <f>C34</f>
        <v>0</v>
      </c>
      <c r="E6" s="265">
        <f>D34</f>
        <v>0</v>
      </c>
    </row>
    <row r="7" spans="2:5">
      <c r="B7" s="290" t="s">
        <v>282</v>
      </c>
      <c r="C7" s="305"/>
      <c r="D7" s="305"/>
      <c r="E7" s="127"/>
    </row>
    <row r="8" spans="2:5">
      <c r="B8" s="148" t="s">
        <v>160</v>
      </c>
      <c r="C8" s="452"/>
      <c r="D8" s="456">
        <f>IF(inputPrYr!H37&gt;0,inputPrYr!H37,inputPrYr!E37)</f>
        <v>0</v>
      </c>
      <c r="E8" s="337" t="s">
        <v>146</v>
      </c>
    </row>
    <row r="9" spans="2:5">
      <c r="B9" s="148" t="s">
        <v>161</v>
      </c>
      <c r="C9" s="452"/>
      <c r="D9" s="452"/>
      <c r="E9" s="112"/>
    </row>
    <row r="10" spans="2:5">
      <c r="B10" s="148" t="s">
        <v>162</v>
      </c>
      <c r="C10" s="452"/>
      <c r="D10" s="452"/>
      <c r="E10" s="265" t="str">
        <f>mvalloc!E28</f>
        <v xml:space="preserve">  </v>
      </c>
    </row>
    <row r="11" spans="2:5">
      <c r="B11" s="148" t="s">
        <v>163</v>
      </c>
      <c r="C11" s="452"/>
      <c r="D11" s="452"/>
      <c r="E11" s="265" t="str">
        <f>mvalloc!F28</f>
        <v xml:space="preserve">  </v>
      </c>
    </row>
    <row r="12" spans="2:5">
      <c r="B12" s="305" t="s">
        <v>229</v>
      </c>
      <c r="C12" s="452"/>
      <c r="D12" s="452"/>
      <c r="E12" s="265" t="str">
        <f>mvalloc!G28</f>
        <v xml:space="preserve">  </v>
      </c>
    </row>
    <row r="13" spans="2:5">
      <c r="B13" s="318"/>
      <c r="C13" s="452"/>
      <c r="D13" s="452"/>
      <c r="E13" s="112"/>
    </row>
    <row r="14" spans="2:5">
      <c r="B14" s="318"/>
      <c r="C14" s="452"/>
      <c r="D14" s="452"/>
      <c r="E14" s="112"/>
    </row>
    <row r="15" spans="2:5">
      <c r="B15" s="318"/>
      <c r="C15" s="452"/>
      <c r="D15" s="452"/>
      <c r="E15" s="112"/>
    </row>
    <row r="16" spans="2:5">
      <c r="B16" s="318"/>
      <c r="C16" s="452"/>
      <c r="D16" s="452"/>
      <c r="E16" s="112"/>
    </row>
    <row r="17" spans="2:10">
      <c r="B17" s="308" t="s">
        <v>164</v>
      </c>
      <c r="C17" s="452"/>
      <c r="D17" s="452"/>
      <c r="E17" s="112"/>
    </row>
    <row r="18" spans="2:10">
      <c r="B18" s="309" t="s">
        <v>73</v>
      </c>
      <c r="C18" s="452"/>
      <c r="D18" s="452"/>
      <c r="E18" s="112"/>
    </row>
    <row r="19" spans="2:10">
      <c r="B19" s="309" t="s">
        <v>74</v>
      </c>
      <c r="C19" s="453" t="str">
        <f>IF(C20*0.1&lt;C18,"Exceed 10% Rule","")</f>
        <v/>
      </c>
      <c r="D19" s="453" t="str">
        <f>IF(D20*0.1&lt;D18,"Exceed 10% Rule","")</f>
        <v/>
      </c>
      <c r="E19" s="344" t="str">
        <f>IF(E20*0.1+E40&lt;E18,"Exceed 10% Rule","")</f>
        <v/>
      </c>
    </row>
    <row r="20" spans="2:10">
      <c r="B20" s="311" t="s">
        <v>165</v>
      </c>
      <c r="C20" s="454">
        <f>SUM(C8:C18)</f>
        <v>0</v>
      </c>
      <c r="D20" s="454">
        <f>SUM(D8:D18)</f>
        <v>0</v>
      </c>
      <c r="E20" s="352">
        <f>SUM(E8:E18)</f>
        <v>0</v>
      </c>
    </row>
    <row r="21" spans="2:10">
      <c r="B21" s="311" t="s">
        <v>166</v>
      </c>
      <c r="C21" s="454">
        <f>C6+C20</f>
        <v>0</v>
      </c>
      <c r="D21" s="454">
        <f>D6+D20</f>
        <v>0</v>
      </c>
      <c r="E21" s="352">
        <f>E6+E20</f>
        <v>0</v>
      </c>
    </row>
    <row r="22" spans="2:10">
      <c r="B22" s="148" t="s">
        <v>169</v>
      </c>
      <c r="C22" s="309"/>
      <c r="D22" s="309"/>
      <c r="E22" s="108"/>
    </row>
    <row r="23" spans="2:10">
      <c r="B23" s="318"/>
      <c r="C23" s="452"/>
      <c r="D23" s="452"/>
      <c r="E23" s="112"/>
    </row>
    <row r="24" spans="2:10">
      <c r="B24" s="318"/>
      <c r="C24" s="452"/>
      <c r="D24" s="452"/>
      <c r="E24" s="112"/>
      <c r="G24" s="784" t="str">
        <f>CONCATENATE("Desired Carryover Into ",E1+1,"")</f>
        <v>Desired Carryover Into 2014</v>
      </c>
      <c r="H24" s="785"/>
      <c r="I24" s="785"/>
      <c r="J24" s="786"/>
    </row>
    <row r="25" spans="2:10">
      <c r="B25" s="318"/>
      <c r="C25" s="452"/>
      <c r="D25" s="452"/>
      <c r="E25" s="112"/>
      <c r="G25" s="650"/>
      <c r="H25" s="651"/>
      <c r="I25" s="652"/>
      <c r="J25" s="653"/>
    </row>
    <row r="26" spans="2:10">
      <c r="B26" s="318"/>
      <c r="C26" s="452"/>
      <c r="D26" s="452"/>
      <c r="E26" s="112"/>
      <c r="G26" s="654" t="s">
        <v>687</v>
      </c>
      <c r="H26" s="652"/>
      <c r="I26" s="652"/>
      <c r="J26" s="655">
        <v>0</v>
      </c>
    </row>
    <row r="27" spans="2:10">
      <c r="B27" s="318"/>
      <c r="C27" s="452"/>
      <c r="D27" s="452"/>
      <c r="E27" s="112"/>
      <c r="G27" s="650" t="s">
        <v>688</v>
      </c>
      <c r="H27" s="651"/>
      <c r="I27" s="651"/>
      <c r="J27" s="656" t="str">
        <f>IF(J26=0,"",ROUND((J26+E40-G39)/inputOth!E6*1000,3)-G44)</f>
        <v/>
      </c>
    </row>
    <row r="28" spans="2:10">
      <c r="B28" s="318"/>
      <c r="C28" s="452"/>
      <c r="D28" s="452"/>
      <c r="E28" s="112"/>
      <c r="G28" s="657" t="str">
        <f>CONCATENATE("",E1," Tot Exp/Non-Appr Must Be:")</f>
        <v>2013 Tot Exp/Non-Appr Must Be:</v>
      </c>
      <c r="H28" s="658"/>
      <c r="I28" s="659"/>
      <c r="J28" s="660">
        <f>IF(J26&gt;0,IF(E37&lt;E21,IF(J26=G39,E37,((J26-G39)*(1-D39))+E21),E37+(J26-G39)),0)</f>
        <v>0</v>
      </c>
    </row>
    <row r="29" spans="2:10">
      <c r="B29" s="318"/>
      <c r="C29" s="452"/>
      <c r="D29" s="452"/>
      <c r="E29" s="112"/>
      <c r="G29" s="661" t="s">
        <v>839</v>
      </c>
      <c r="H29" s="662"/>
      <c r="I29" s="662"/>
      <c r="J29" s="663">
        <f>IF(J26&gt;0,J28-E37,0)</f>
        <v>0</v>
      </c>
    </row>
    <row r="30" spans="2:10">
      <c r="B30" s="309" t="s">
        <v>75</v>
      </c>
      <c r="C30" s="452"/>
      <c r="D30" s="452"/>
      <c r="E30" s="120" t="str">
        <f>Nhood!E27</f>
        <v/>
      </c>
      <c r="G30" s="1"/>
      <c r="H30" s="1"/>
      <c r="I30" s="1"/>
      <c r="J30" s="1"/>
    </row>
    <row r="31" spans="2:10">
      <c r="B31" s="309" t="s">
        <v>73</v>
      </c>
      <c r="C31" s="452"/>
      <c r="D31" s="452"/>
      <c r="E31" s="112"/>
      <c r="G31" s="784" t="str">
        <f>CONCATENATE("Projected Carryover Into ",E1+1,"")</f>
        <v>Projected Carryover Into 2014</v>
      </c>
      <c r="H31" s="791"/>
      <c r="I31" s="791"/>
      <c r="J31" s="792"/>
    </row>
    <row r="32" spans="2:10">
      <c r="B32" s="309" t="s">
        <v>76</v>
      </c>
      <c r="C32" s="453" t="str">
        <f>IF(C33*0.1&lt;C31,"Exceed 10% Rule","")</f>
        <v/>
      </c>
      <c r="D32" s="453" t="str">
        <f>IF(D33*0.1&lt;D31,"Exceed 10% Rule","")</f>
        <v/>
      </c>
      <c r="E32" s="344" t="str">
        <f>IF(E33*0.1&lt;E31,"Exceed 10% Rule","")</f>
        <v/>
      </c>
      <c r="G32" s="650"/>
      <c r="H32" s="652"/>
      <c r="I32" s="652"/>
      <c r="J32" s="678"/>
    </row>
    <row r="33" spans="2:11">
      <c r="B33" s="311" t="s">
        <v>170</v>
      </c>
      <c r="C33" s="454">
        <f>SUM(C23:C31)</f>
        <v>0</v>
      </c>
      <c r="D33" s="454">
        <f>SUM(D23:D31)</f>
        <v>0</v>
      </c>
      <c r="E33" s="352">
        <f>SUM(E23:E31)</f>
        <v>0</v>
      </c>
      <c r="G33" s="679">
        <f>D34</f>
        <v>0</v>
      </c>
      <c r="H33" s="669" t="str">
        <f>CONCATENATE("",E1-1," Ending Cash Balance (est.)")</f>
        <v>2012 Ending Cash Balance (est.)</v>
      </c>
      <c r="I33" s="680"/>
      <c r="J33" s="678"/>
    </row>
    <row r="34" spans="2:11">
      <c r="B34" s="148" t="s">
        <v>281</v>
      </c>
      <c r="C34" s="457">
        <f>C21-C33</f>
        <v>0</v>
      </c>
      <c r="D34" s="457">
        <f>D21-D33</f>
        <v>0</v>
      </c>
      <c r="E34" s="337" t="s">
        <v>146</v>
      </c>
      <c r="G34" s="679">
        <f>E20</f>
        <v>0</v>
      </c>
      <c r="H34" s="652" t="str">
        <f>CONCATENATE("",E1," Non-AV Receipts (est.)")</f>
        <v>2013 Non-AV Receipts (est.)</v>
      </c>
      <c r="I34" s="680"/>
      <c r="J34" s="678"/>
    </row>
    <row r="35" spans="2:11">
      <c r="B35" s="287" t="str">
        <f>CONCATENATE("",$E$1-2,"/",$E$1-1," Budget Authority Amount:")</f>
        <v>2011/2012 Budget Authority Amount:</v>
      </c>
      <c r="C35" s="279">
        <f>inputOth!B51</f>
        <v>0</v>
      </c>
      <c r="D35" s="279">
        <f>inputPrYr!D37</f>
        <v>0</v>
      </c>
      <c r="E35" s="337" t="s">
        <v>146</v>
      </c>
      <c r="F35" s="320"/>
      <c r="G35" s="681">
        <f>IF(E39&gt;0,E38,E40)</f>
        <v>0</v>
      </c>
      <c r="H35" s="652" t="str">
        <f>CONCATENATE("",E1," Ad Valorem Tax (est.)")</f>
        <v>2013 Ad Valorem Tax (est.)</v>
      </c>
      <c r="I35" s="680"/>
      <c r="J35" s="678"/>
      <c r="K35" s="666" t="str">
        <f>IF(G35=E40,"","Note: Does not include Delinquent Taxes")</f>
        <v/>
      </c>
    </row>
    <row r="36" spans="2:11">
      <c r="B36" s="287"/>
      <c r="C36" s="774" t="s">
        <v>684</v>
      </c>
      <c r="D36" s="775"/>
      <c r="E36" s="112"/>
      <c r="F36" s="502" t="str">
        <f>IF(E33/0.95-E33&lt;E36,"Exceeds 5%","")</f>
        <v/>
      </c>
      <c r="G36" s="679">
        <f>SUM(G33:G35)</f>
        <v>0</v>
      </c>
      <c r="H36" s="652" t="str">
        <f>CONCATENATE("Total ",E1," Resources Available")</f>
        <v>Total 2013 Resources Available</v>
      </c>
      <c r="I36" s="680"/>
      <c r="J36" s="678"/>
    </row>
    <row r="37" spans="2:11">
      <c r="B37" s="705" t="str">
        <f>CONCATENATE(C88,"     ",D88)</f>
        <v xml:space="preserve">     </v>
      </c>
      <c r="C37" s="776" t="s">
        <v>685</v>
      </c>
      <c r="D37" s="777"/>
      <c r="E37" s="265">
        <f>E33+E36</f>
        <v>0</v>
      </c>
      <c r="G37" s="682"/>
      <c r="H37" s="652"/>
      <c r="I37" s="652"/>
      <c r="J37" s="678"/>
    </row>
    <row r="38" spans="2:11">
      <c r="B38" s="705" t="str">
        <f>CONCATENATE(C89,"      ",D89)</f>
        <v xml:space="preserve">      </v>
      </c>
      <c r="C38" s="321"/>
      <c r="D38" s="240" t="s">
        <v>171</v>
      </c>
      <c r="E38" s="120">
        <f>IF(E37-E21&gt;0,E37-E21,0)</f>
        <v>0</v>
      </c>
      <c r="G38" s="681">
        <f>ROUND(C33*0.05+C33,0)</f>
        <v>0</v>
      </c>
      <c r="H38" s="652" t="str">
        <f>CONCATENATE("Less ",E1-2," Expenditures + 5%")</f>
        <v>Less 2011 Expenditures + 5%</v>
      </c>
      <c r="I38" s="680"/>
      <c r="J38" s="683"/>
    </row>
    <row r="39" spans="2:11">
      <c r="B39" s="240"/>
      <c r="C39" s="504" t="s">
        <v>686</v>
      </c>
      <c r="D39" s="649">
        <f>inputOth!$E$23</f>
        <v>0.05</v>
      </c>
      <c r="E39" s="265">
        <f>ROUND(IF(D39&gt;0,(E38*D39),0),0)</f>
        <v>0</v>
      </c>
      <c r="G39" s="684">
        <f>G36-G38</f>
        <v>0</v>
      </c>
      <c r="H39" s="685" t="str">
        <f>CONCATENATE("Projected ",E1+1," carryover (est.)")</f>
        <v>Projected 2014 carryover (est.)</v>
      </c>
      <c r="I39" s="686"/>
      <c r="J39" s="687"/>
    </row>
    <row r="40" spans="2:11">
      <c r="B40" s="85"/>
      <c r="C40" s="782" t="str">
        <f>CONCATENATE("Amount of  ",$E$1-1," Ad Valorem Tax")</f>
        <v>Amount of  2012 Ad Valorem Tax</v>
      </c>
      <c r="D40" s="783"/>
      <c r="E40" s="348">
        <f>E38+E39</f>
        <v>0</v>
      </c>
      <c r="G40" s="1"/>
      <c r="H40" s="1"/>
      <c r="I40" s="1"/>
      <c r="J40" s="1"/>
    </row>
    <row r="41" spans="2:11">
      <c r="B41" s="85"/>
      <c r="C41" s="633"/>
      <c r="D41" s="85"/>
      <c r="E41" s="85"/>
      <c r="G41" s="787" t="s">
        <v>840</v>
      </c>
      <c r="H41" s="788"/>
      <c r="I41" s="788"/>
      <c r="J41" s="789"/>
    </row>
    <row r="42" spans="2:11">
      <c r="B42" s="85"/>
      <c r="C42" s="633"/>
      <c r="D42" s="85"/>
      <c r="E42" s="85"/>
      <c r="G42" s="668"/>
      <c r="H42" s="669"/>
      <c r="I42" s="670"/>
      <c r="J42" s="671"/>
    </row>
    <row r="43" spans="2:11">
      <c r="B43" s="85"/>
      <c r="C43" s="327"/>
      <c r="D43" s="327"/>
      <c r="E43" s="327"/>
      <c r="G43" s="672" t="str">
        <f>summ!H37</f>
        <v xml:space="preserve">  </v>
      </c>
      <c r="H43" s="669" t="str">
        <f>CONCATENATE("",E1," Fund Mill Rate")</f>
        <v>2013 Fund Mill Rate</v>
      </c>
      <c r="I43" s="670"/>
      <c r="J43" s="671"/>
    </row>
    <row r="44" spans="2:11">
      <c r="B44" s="84" t="s">
        <v>159</v>
      </c>
      <c r="C44" s="703" t="str">
        <f t="shared" ref="C44:E45" si="0">C4</f>
        <v xml:space="preserve">Prior Year </v>
      </c>
      <c r="D44" s="704" t="str">
        <f t="shared" si="0"/>
        <v xml:space="preserve">Current Year </v>
      </c>
      <c r="E44" s="215" t="str">
        <f t="shared" si="0"/>
        <v xml:space="preserve">Proposed Budget </v>
      </c>
      <c r="G44" s="673" t="str">
        <f>summ!E37</f>
        <v xml:space="preserve">  </v>
      </c>
      <c r="H44" s="669" t="str">
        <f>CONCATENATE("",E1-1," Fund Mill Rate")</f>
        <v>2012 Fund Mill Rate</v>
      </c>
      <c r="I44" s="670"/>
      <c r="J44" s="671"/>
    </row>
    <row r="45" spans="2:11">
      <c r="B45" s="706">
        <f>inputPrYr!$B$38</f>
        <v>0</v>
      </c>
      <c r="C45" s="455" t="str">
        <f t="shared" si="0"/>
        <v>Actual for 2011</v>
      </c>
      <c r="D45" s="455" t="str">
        <f t="shared" si="0"/>
        <v>Estimate for 2012</v>
      </c>
      <c r="E45" s="315" t="str">
        <f t="shared" si="0"/>
        <v>Year for 2013</v>
      </c>
      <c r="G45" s="674">
        <f>summ!H61</f>
        <v>59.232000000000006</v>
      </c>
      <c r="H45" s="669" t="str">
        <f>CONCATENATE("Total ",E1," Mill Rate")</f>
        <v>Total 2013 Mill Rate</v>
      </c>
      <c r="I45" s="670"/>
      <c r="J45" s="671"/>
    </row>
    <row r="46" spans="2:11">
      <c r="B46" s="148" t="s">
        <v>280</v>
      </c>
      <c r="C46" s="452"/>
      <c r="D46" s="456">
        <f>C74</f>
        <v>0</v>
      </c>
      <c r="E46" s="265">
        <f>D74</f>
        <v>0</v>
      </c>
      <c r="G46" s="673">
        <f>summ!E61</f>
        <v>59.207000000000001</v>
      </c>
      <c r="H46" s="675" t="str">
        <f>CONCATENATE("Total ",E1-1," Mill Rate")</f>
        <v>Total 2012 Mill Rate</v>
      </c>
      <c r="I46" s="676"/>
      <c r="J46" s="677"/>
    </row>
    <row r="47" spans="2:11">
      <c r="B47" s="303" t="s">
        <v>282</v>
      </c>
      <c r="C47" s="305"/>
      <c r="D47" s="305"/>
      <c r="E47" s="127"/>
      <c r="G47" s="1"/>
      <c r="H47" s="1"/>
      <c r="I47" s="1"/>
      <c r="J47" s="1"/>
    </row>
    <row r="48" spans="2:11">
      <c r="B48" s="148" t="s">
        <v>160</v>
      </c>
      <c r="C48" s="452"/>
      <c r="D48" s="456">
        <f>IF(inputPrYr!H38&gt;0,inputPrYr!H38,inputPrYr!E38)</f>
        <v>0</v>
      </c>
      <c r="E48" s="337" t="s">
        <v>146</v>
      </c>
      <c r="G48" s="1"/>
      <c r="H48" s="1"/>
      <c r="I48" s="1"/>
      <c r="J48" s="1"/>
    </row>
    <row r="49" spans="2:10">
      <c r="B49" s="148" t="s">
        <v>161</v>
      </c>
      <c r="C49" s="452"/>
      <c r="D49" s="452"/>
      <c r="E49" s="112"/>
      <c r="G49" s="1"/>
      <c r="H49" s="1"/>
      <c r="I49" s="1"/>
      <c r="J49" s="1"/>
    </row>
    <row r="50" spans="2:10">
      <c r="B50" s="148" t="s">
        <v>162</v>
      </c>
      <c r="C50" s="452"/>
      <c r="D50" s="452"/>
      <c r="E50" s="265" t="str">
        <f>mvalloc!E29</f>
        <v xml:space="preserve">  </v>
      </c>
      <c r="G50" s="1"/>
      <c r="H50" s="1"/>
      <c r="I50" s="1"/>
      <c r="J50" s="1"/>
    </row>
    <row r="51" spans="2:10">
      <c r="B51" s="148" t="s">
        <v>163</v>
      </c>
      <c r="C51" s="452"/>
      <c r="D51" s="452"/>
      <c r="E51" s="265" t="str">
        <f>mvalloc!F29</f>
        <v xml:space="preserve">  </v>
      </c>
      <c r="G51" s="1"/>
      <c r="H51" s="1"/>
      <c r="I51" s="1"/>
      <c r="J51" s="1"/>
    </row>
    <row r="52" spans="2:10">
      <c r="B52" s="305" t="s">
        <v>229</v>
      </c>
      <c r="C52" s="452"/>
      <c r="D52" s="452"/>
      <c r="E52" s="265" t="str">
        <f>mvalloc!G29</f>
        <v xml:space="preserve">  </v>
      </c>
      <c r="G52" s="1"/>
      <c r="H52" s="1"/>
      <c r="I52" s="1"/>
      <c r="J52" s="1"/>
    </row>
    <row r="53" spans="2:10">
      <c r="B53" s="318"/>
      <c r="C53" s="452"/>
      <c r="D53" s="452"/>
      <c r="E53" s="112"/>
      <c r="G53" s="1"/>
      <c r="H53" s="1"/>
      <c r="I53" s="1"/>
      <c r="J53" s="1"/>
    </row>
    <row r="54" spans="2:10">
      <c r="B54" s="318"/>
      <c r="C54" s="452"/>
      <c r="D54" s="452"/>
      <c r="E54" s="112"/>
      <c r="G54" s="1"/>
      <c r="H54" s="1"/>
      <c r="I54" s="1"/>
      <c r="J54" s="1"/>
    </row>
    <row r="55" spans="2:10">
      <c r="B55" s="318"/>
      <c r="C55" s="452"/>
      <c r="D55" s="452"/>
      <c r="E55" s="112"/>
      <c r="G55" s="1"/>
      <c r="H55" s="1"/>
      <c r="I55" s="1"/>
      <c r="J55" s="1"/>
    </row>
    <row r="56" spans="2:10">
      <c r="B56" s="318"/>
      <c r="C56" s="452"/>
      <c r="D56" s="452"/>
      <c r="E56" s="112"/>
      <c r="G56" s="1"/>
      <c r="H56" s="1"/>
      <c r="I56" s="1"/>
      <c r="J56" s="1"/>
    </row>
    <row r="57" spans="2:10">
      <c r="B57" s="308" t="s">
        <v>164</v>
      </c>
      <c r="C57" s="452"/>
      <c r="D57" s="452"/>
      <c r="E57" s="112"/>
      <c r="G57" s="1"/>
      <c r="H57" s="1"/>
      <c r="I57" s="1"/>
      <c r="J57" s="1"/>
    </row>
    <row r="58" spans="2:10">
      <c r="B58" s="309" t="s">
        <v>73</v>
      </c>
      <c r="C58" s="452"/>
      <c r="D58" s="452"/>
      <c r="E58" s="112"/>
      <c r="G58" s="1"/>
      <c r="H58" s="1"/>
      <c r="I58" s="1"/>
      <c r="J58" s="1"/>
    </row>
    <row r="59" spans="2:10">
      <c r="B59" s="309" t="s">
        <v>74</v>
      </c>
      <c r="C59" s="453" t="str">
        <f>IF(C60*0.1&lt;C58,"Exceed 10% Rule","")</f>
        <v/>
      </c>
      <c r="D59" s="453" t="str">
        <f>IF(D60*0.1&lt;D58,"Exceed 10% Rule","")</f>
        <v/>
      </c>
      <c r="E59" s="344" t="str">
        <f>IF(E60*0.1+E80&lt;E58,"Exceed 10% Rule","")</f>
        <v/>
      </c>
      <c r="G59" s="1"/>
      <c r="H59" s="1"/>
      <c r="I59" s="1"/>
      <c r="J59" s="1"/>
    </row>
    <row r="60" spans="2:10">
      <c r="B60" s="311" t="s">
        <v>165</v>
      </c>
      <c r="C60" s="454">
        <f>SUM(C48:C58)</f>
        <v>0</v>
      </c>
      <c r="D60" s="454">
        <f>SUM(D48:D58)</f>
        <v>0</v>
      </c>
      <c r="E60" s="352">
        <f>SUM(E48:E58)</f>
        <v>0</v>
      </c>
      <c r="G60" s="1"/>
      <c r="H60" s="1"/>
      <c r="I60" s="1"/>
      <c r="J60" s="1"/>
    </row>
    <row r="61" spans="2:10">
      <c r="B61" s="311" t="s">
        <v>166</v>
      </c>
      <c r="C61" s="454">
        <f>C46+C60</f>
        <v>0</v>
      </c>
      <c r="D61" s="454">
        <f>D46+D60</f>
        <v>0</v>
      </c>
      <c r="E61" s="352">
        <f>E46+E60</f>
        <v>0</v>
      </c>
      <c r="G61" s="1"/>
      <c r="H61" s="1"/>
      <c r="I61" s="1"/>
      <c r="J61" s="1"/>
    </row>
    <row r="62" spans="2:10">
      <c r="B62" s="148" t="s">
        <v>169</v>
      </c>
      <c r="C62" s="309"/>
      <c r="D62" s="309"/>
      <c r="E62" s="108"/>
      <c r="G62" s="1"/>
      <c r="H62" s="1"/>
      <c r="I62" s="1"/>
      <c r="J62" s="1"/>
    </row>
    <row r="63" spans="2:10">
      <c r="B63" s="318"/>
      <c r="C63" s="452"/>
      <c r="D63" s="452"/>
      <c r="E63" s="112"/>
      <c r="G63" s="1"/>
      <c r="H63" s="1"/>
      <c r="I63" s="1"/>
      <c r="J63" s="1"/>
    </row>
    <row r="64" spans="2:10">
      <c r="B64" s="318"/>
      <c r="C64" s="452"/>
      <c r="D64" s="452"/>
      <c r="E64" s="112"/>
      <c r="G64" s="784" t="str">
        <f>CONCATENATE("Desired Carryover Into ",E1+1,"")</f>
        <v>Desired Carryover Into 2014</v>
      </c>
      <c r="H64" s="785"/>
      <c r="I64" s="785"/>
      <c r="J64" s="786"/>
    </row>
    <row r="65" spans="2:11">
      <c r="B65" s="318"/>
      <c r="C65" s="452"/>
      <c r="D65" s="452"/>
      <c r="E65" s="112"/>
      <c r="G65" s="650"/>
      <c r="H65" s="651"/>
      <c r="I65" s="652"/>
      <c r="J65" s="653"/>
    </row>
    <row r="66" spans="2:11">
      <c r="B66" s="318"/>
      <c r="C66" s="452"/>
      <c r="D66" s="452"/>
      <c r="E66" s="112"/>
      <c r="G66" s="654" t="s">
        <v>687</v>
      </c>
      <c r="H66" s="652"/>
      <c r="I66" s="652"/>
      <c r="J66" s="655">
        <v>0</v>
      </c>
    </row>
    <row r="67" spans="2:11">
      <c r="B67" s="318"/>
      <c r="C67" s="452"/>
      <c r="D67" s="452"/>
      <c r="E67" s="112"/>
      <c r="G67" s="650" t="s">
        <v>688</v>
      </c>
      <c r="H67" s="651"/>
      <c r="I67" s="651"/>
      <c r="J67" s="656" t="str">
        <f>IF(J66=0,"",ROUND((J66+E80-G79)/inputOth!E6*1000,3)-G84)</f>
        <v/>
      </c>
    </row>
    <row r="68" spans="2:11">
      <c r="B68" s="318"/>
      <c r="C68" s="452"/>
      <c r="D68" s="452"/>
      <c r="E68" s="112"/>
      <c r="G68" s="657" t="str">
        <f>CONCATENATE("",E1," Tot Exp/Non-Appr Must Be:")</f>
        <v>2013 Tot Exp/Non-Appr Must Be:</v>
      </c>
      <c r="H68" s="658"/>
      <c r="I68" s="659"/>
      <c r="J68" s="660">
        <f>IF(J66&gt;0,IF(E77&lt;E61,IF(J66=G79,E77,((J66-G79)*(1-D79))+E61),E77+(J66-G79)),0)</f>
        <v>0</v>
      </c>
    </row>
    <row r="69" spans="2:11">
      <c r="B69" s="318"/>
      <c r="C69" s="452"/>
      <c r="D69" s="452"/>
      <c r="E69" s="112"/>
      <c r="G69" s="661" t="s">
        <v>839</v>
      </c>
      <c r="H69" s="662"/>
      <c r="I69" s="662"/>
      <c r="J69" s="663">
        <f>IF(J66&gt;0,J68-E77,0)</f>
        <v>0</v>
      </c>
    </row>
    <row r="70" spans="2:11">
      <c r="B70" s="309" t="s">
        <v>75</v>
      </c>
      <c r="C70" s="452"/>
      <c r="D70" s="452"/>
      <c r="E70" s="120" t="str">
        <f>Nhood!E28</f>
        <v/>
      </c>
      <c r="G70" s="1"/>
      <c r="H70" s="1"/>
      <c r="I70" s="1"/>
      <c r="J70" s="1"/>
    </row>
    <row r="71" spans="2:11">
      <c r="B71" s="309" t="s">
        <v>73</v>
      </c>
      <c r="C71" s="452"/>
      <c r="D71" s="452"/>
      <c r="E71" s="112"/>
      <c r="G71" s="784" t="str">
        <f>CONCATENATE("Projected Carryover Into ",E1+1,"")</f>
        <v>Projected Carryover Into 2014</v>
      </c>
      <c r="H71" s="793"/>
      <c r="I71" s="793"/>
      <c r="J71" s="792"/>
    </row>
    <row r="72" spans="2:11">
      <c r="B72" s="309" t="s">
        <v>76</v>
      </c>
      <c r="C72" s="453" t="str">
        <f>IF(C73*0.1&lt;C71,"Exceed 10% Rule","")</f>
        <v/>
      </c>
      <c r="D72" s="453" t="str">
        <f>IF(D73*0.1&lt;D71,"Exceed 10% Rule","")</f>
        <v/>
      </c>
      <c r="E72" s="344" t="str">
        <f>IF(E73*0.1&lt;E71,"Exceed 10% Rule","")</f>
        <v/>
      </c>
      <c r="G72" s="688"/>
      <c r="H72" s="651"/>
      <c r="I72" s="651"/>
      <c r="J72" s="683"/>
    </row>
    <row r="73" spans="2:11">
      <c r="B73" s="311" t="s">
        <v>170</v>
      </c>
      <c r="C73" s="454">
        <f>SUM(C63:C71)</f>
        <v>0</v>
      </c>
      <c r="D73" s="454">
        <f>SUM(D63:D71)</f>
        <v>0</v>
      </c>
      <c r="E73" s="352">
        <f>SUM(E63:E71)</f>
        <v>0</v>
      </c>
      <c r="G73" s="679">
        <f>D74</f>
        <v>0</v>
      </c>
      <c r="H73" s="669" t="str">
        <f>CONCATENATE("",E1-1," Ending Cash Balance (est.)")</f>
        <v>2012 Ending Cash Balance (est.)</v>
      </c>
      <c r="I73" s="680"/>
      <c r="J73" s="683"/>
    </row>
    <row r="74" spans="2:11">
      <c r="B74" s="148" t="s">
        <v>281</v>
      </c>
      <c r="C74" s="457">
        <f>C61-C73</f>
        <v>0</v>
      </c>
      <c r="D74" s="457">
        <f>D61-D73</f>
        <v>0</v>
      </c>
      <c r="E74" s="337" t="s">
        <v>146</v>
      </c>
      <c r="G74" s="679">
        <f>E60</f>
        <v>0</v>
      </c>
      <c r="H74" s="652" t="str">
        <f>CONCATENATE("",E1," Non-AV Receipts (est.)")</f>
        <v>2013 Non-AV Receipts (est.)</v>
      </c>
      <c r="I74" s="680"/>
      <c r="J74" s="683"/>
    </row>
    <row r="75" spans="2:11">
      <c r="B75" s="287" t="str">
        <f>CONCATENATE("",$E$1-2,"/",$E$1-1," Budget Authority Amount:")</f>
        <v>2011/2012 Budget Authority Amount:</v>
      </c>
      <c r="C75" s="279">
        <f>inputOth!B52</f>
        <v>0</v>
      </c>
      <c r="D75" s="279">
        <f>inputPrYr!D38</f>
        <v>0</v>
      </c>
      <c r="E75" s="337" t="s">
        <v>146</v>
      </c>
      <c r="F75" s="320"/>
      <c r="G75" s="681">
        <f>IF(E79&gt;0,E78,E80)</f>
        <v>0</v>
      </c>
      <c r="H75" s="652" t="str">
        <f>CONCATENATE("",E1," Ad Valorem Tax (est.)")</f>
        <v>2013 Ad Valorem Tax (est.)</v>
      </c>
      <c r="I75" s="680"/>
      <c r="J75" s="683"/>
      <c r="K75" s="666" t="str">
        <f>IF(G75=E80,"","Note: Does not include Delinquent Taxes")</f>
        <v/>
      </c>
    </row>
    <row r="76" spans="2:11">
      <c r="B76" s="287"/>
      <c r="C76" s="774" t="s">
        <v>684</v>
      </c>
      <c r="D76" s="775"/>
      <c r="E76" s="112"/>
      <c r="F76" s="502" t="str">
        <f>IF(E73/0.95-E73&lt;E76,"Exceeds 5%","")</f>
        <v/>
      </c>
      <c r="G76" s="689">
        <f>SUM(G73:G75)</f>
        <v>0</v>
      </c>
      <c r="H76" s="652" t="str">
        <f>CONCATENATE("Total ",E1," Resources Available")</f>
        <v>Total 2013 Resources Available</v>
      </c>
      <c r="I76" s="690"/>
      <c r="J76" s="683"/>
    </row>
    <row r="77" spans="2:11">
      <c r="B77" s="705" t="str">
        <f>CONCATENATE(C90,"      ",D90)</f>
        <v xml:space="preserve">      </v>
      </c>
      <c r="C77" s="776" t="s">
        <v>685</v>
      </c>
      <c r="D77" s="777"/>
      <c r="E77" s="265">
        <f>E73+E76</f>
        <v>0</v>
      </c>
      <c r="G77" s="691"/>
      <c r="H77" s="692"/>
      <c r="I77" s="651"/>
      <c r="J77" s="683"/>
    </row>
    <row r="78" spans="2:11">
      <c r="B78" s="705" t="str">
        <f>CONCATENATE(C91,"      ",D91)</f>
        <v xml:space="preserve">      </v>
      </c>
      <c r="C78" s="321"/>
      <c r="D78" s="240" t="s">
        <v>171</v>
      </c>
      <c r="E78" s="120">
        <f>IF(E77-E61&gt;0,E77-E61,0)</f>
        <v>0</v>
      </c>
      <c r="G78" s="693">
        <f>ROUND(C73*0.05+C73,0)</f>
        <v>0</v>
      </c>
      <c r="H78" s="652" t="str">
        <f>CONCATENATE("Less ",E1-2," Expenditures + 5%")</f>
        <v>Less 2011 Expenditures + 5%</v>
      </c>
      <c r="I78" s="690"/>
      <c r="J78" s="683"/>
    </row>
    <row r="79" spans="2:11">
      <c r="B79" s="240"/>
      <c r="C79" s="504" t="s">
        <v>686</v>
      </c>
      <c r="D79" s="649">
        <f>inputOth!$E$23</f>
        <v>0.05</v>
      </c>
      <c r="E79" s="265">
        <f>ROUND(IF(D79&gt;0,(E78*D79),0),0)</f>
        <v>0</v>
      </c>
      <c r="G79" s="694">
        <f>G76-G78</f>
        <v>0</v>
      </c>
      <c r="H79" s="685" t="str">
        <f>CONCATENATE("Projected ",E1+1," carryover (est.)")</f>
        <v>Projected 2014 carryover (est.)</v>
      </c>
      <c r="I79" s="695"/>
      <c r="J79" s="696"/>
    </row>
    <row r="80" spans="2:11">
      <c r="B80" s="85"/>
      <c r="C80" s="782" t="str">
        <f>CONCATENATE("Amount of  ",$E$1-1," Ad Valorem Tax")</f>
        <v>Amount of  2012 Ad Valorem Tax</v>
      </c>
      <c r="D80" s="783"/>
      <c r="E80" s="348">
        <f>E78+E79</f>
        <v>0</v>
      </c>
      <c r="G80" s="1"/>
      <c r="H80" s="1"/>
      <c r="I80" s="1"/>
      <c r="J80" s="1"/>
    </row>
    <row r="81" spans="2:10">
      <c r="B81" s="322" t="s">
        <v>190</v>
      </c>
      <c r="C81" s="349"/>
      <c r="D81" s="85"/>
      <c r="E81" s="85"/>
      <c r="G81" s="787" t="s">
        <v>840</v>
      </c>
      <c r="H81" s="788"/>
      <c r="I81" s="788"/>
      <c r="J81" s="789"/>
    </row>
    <row r="82" spans="2:10">
      <c r="G82" s="668"/>
      <c r="H82" s="669"/>
      <c r="I82" s="670"/>
      <c r="J82" s="671"/>
    </row>
    <row r="83" spans="2:10">
      <c r="G83" s="672" t="str">
        <f>summ!H38</f>
        <v xml:space="preserve">  </v>
      </c>
      <c r="H83" s="669" t="str">
        <f>CONCATENATE("",E1," Fund Mill Rate")</f>
        <v>2013 Fund Mill Rate</v>
      </c>
      <c r="I83" s="670"/>
      <c r="J83" s="671"/>
    </row>
    <row r="84" spans="2:10">
      <c r="G84" s="673" t="str">
        <f>summ!E38</f>
        <v xml:space="preserve">  </v>
      </c>
      <c r="H84" s="669" t="str">
        <f>CONCATENATE("",E1-1," Fund Mill Rate")</f>
        <v>2012 Fund Mill Rate</v>
      </c>
      <c r="I84" s="670"/>
      <c r="J84" s="671"/>
    </row>
    <row r="85" spans="2:10">
      <c r="G85" s="674">
        <f>summ!H61</f>
        <v>59.232000000000006</v>
      </c>
      <c r="H85" s="669" t="str">
        <f>CONCATENATE("Total ",E1," Mill Rate")</f>
        <v>Total 2013 Mill Rate</v>
      </c>
      <c r="I85" s="670"/>
      <c r="J85" s="671"/>
    </row>
    <row r="86" spans="2:10">
      <c r="G86" s="673">
        <f>summ!E61</f>
        <v>59.207000000000001</v>
      </c>
      <c r="H86" s="675" t="str">
        <f>CONCATENATE("Total ",E1-1," Mill Rate")</f>
        <v>Total 2012 Mill Rate</v>
      </c>
      <c r="I86" s="676"/>
      <c r="J86" s="677"/>
    </row>
    <row r="88" spans="2:10" hidden="1">
      <c r="C88" s="72" t="str">
        <f>IF(C33&gt;C35,"See Tab A","")</f>
        <v/>
      </c>
      <c r="D88" s="72" t="str">
        <f>IF(D33&gt;D35,"See Tab C","")</f>
        <v/>
      </c>
    </row>
    <row r="89" spans="2:10" hidden="1">
      <c r="C89" s="72" t="str">
        <f>IF(C34&lt;0,"See Tab B","")</f>
        <v/>
      </c>
      <c r="D89" s="72" t="str">
        <f>IF(D34&lt;0,"See Tab D","")</f>
        <v/>
      </c>
    </row>
    <row r="90" spans="2:10" hidden="1">
      <c r="C90" s="72" t="str">
        <f>IF(C73&gt;C75,"See Tab A","")</f>
        <v/>
      </c>
      <c r="D90" s="72" t="str">
        <f>IF(D73&gt;D75,"See Tab C","")</f>
        <v/>
      </c>
    </row>
    <row r="91" spans="2:10" hidden="1">
      <c r="C91" s="72" t="str">
        <f>IF(C74&lt;0,"See Tab B","")</f>
        <v/>
      </c>
      <c r="D91" s="72" t="str">
        <f>IF(D74&lt;0,"See Tab D","")</f>
        <v/>
      </c>
    </row>
  </sheetData>
  <sheetProtection sheet="1"/>
  <mergeCells count="12">
    <mergeCell ref="G64:J64"/>
    <mergeCell ref="C37:D37"/>
    <mergeCell ref="G24:J24"/>
    <mergeCell ref="G31:J31"/>
    <mergeCell ref="C36:D36"/>
    <mergeCell ref="C40:D40"/>
    <mergeCell ref="G41:J41"/>
    <mergeCell ref="C77:D77"/>
    <mergeCell ref="G71:J71"/>
    <mergeCell ref="C76:D76"/>
    <mergeCell ref="C80:D80"/>
    <mergeCell ref="G81:J81"/>
  </mergeCells>
  <phoneticPr fontId="0" type="noConversion"/>
  <conditionalFormatting sqref="E36">
    <cfRule type="cellIs" dxfId="192" priority="20" stopIfTrue="1" operator="greaterThan">
      <formula>$E$33/0.95-$E$33</formula>
    </cfRule>
  </conditionalFormatting>
  <conditionalFormatting sqref="E76">
    <cfRule type="cellIs" dxfId="191" priority="19" stopIfTrue="1" operator="greaterThan">
      <formula>$E$73/0.95-$E$73</formula>
    </cfRule>
  </conditionalFormatting>
  <conditionalFormatting sqref="E71">
    <cfRule type="cellIs" dxfId="190" priority="18" stopIfTrue="1" operator="greaterThan">
      <formula>$E$73*0.1</formula>
    </cfRule>
  </conditionalFormatting>
  <conditionalFormatting sqref="C18">
    <cfRule type="cellIs" dxfId="189" priority="17" stopIfTrue="1" operator="greaterThan">
      <formula>$C$20*0.1</formula>
    </cfRule>
  </conditionalFormatting>
  <conditionalFormatting sqref="D18">
    <cfRule type="cellIs" dxfId="188" priority="16" stopIfTrue="1" operator="greaterThan">
      <formula>$D$20*0.1</formula>
    </cfRule>
  </conditionalFormatting>
  <conditionalFormatting sqref="E31">
    <cfRule type="cellIs" dxfId="187" priority="15" stopIfTrue="1" operator="greaterThan">
      <formula>$E$33*0.1</formula>
    </cfRule>
  </conditionalFormatting>
  <conditionalFormatting sqref="E18">
    <cfRule type="cellIs" dxfId="186" priority="14" stopIfTrue="1" operator="greaterThan">
      <formula>$E$20*0.1+E40</formula>
    </cfRule>
  </conditionalFormatting>
  <conditionalFormatting sqref="E58">
    <cfRule type="cellIs" dxfId="185" priority="13" stopIfTrue="1" operator="greaterThan">
      <formula>$E$60*0.1+E80</formula>
    </cfRule>
  </conditionalFormatting>
  <conditionalFormatting sqref="C71">
    <cfRule type="cellIs" dxfId="184" priority="12" stopIfTrue="1" operator="greaterThan">
      <formula>$C$73*0.1</formula>
    </cfRule>
  </conditionalFormatting>
  <conditionalFormatting sqref="D71">
    <cfRule type="cellIs" dxfId="183" priority="11" stopIfTrue="1" operator="greaterThan">
      <formula>$D$73*0.1</formula>
    </cfRule>
  </conditionalFormatting>
  <conditionalFormatting sqref="D58">
    <cfRule type="cellIs" dxfId="182" priority="10" stopIfTrue="1" operator="greaterThan">
      <formula>$D$60*0.1</formula>
    </cfRule>
  </conditionalFormatting>
  <conditionalFormatting sqref="C58">
    <cfRule type="cellIs" dxfId="181" priority="9" stopIfTrue="1" operator="greaterThan">
      <formula>$C$60*0.1</formula>
    </cfRule>
  </conditionalFormatting>
  <conditionalFormatting sqref="C31">
    <cfRule type="cellIs" dxfId="180" priority="8" stopIfTrue="1" operator="greaterThan">
      <formula>$C$33*0.1</formula>
    </cfRule>
  </conditionalFormatting>
  <conditionalFormatting sqref="D31">
    <cfRule type="cellIs" dxfId="179" priority="7" stopIfTrue="1" operator="greaterThan">
      <formula>$D$33*0.1</formula>
    </cfRule>
  </conditionalFormatting>
  <conditionalFormatting sqref="C33">
    <cfRule type="cellIs" dxfId="178" priority="6" stopIfTrue="1" operator="greaterThan">
      <formula>$C$35</formula>
    </cfRule>
  </conditionalFormatting>
  <conditionalFormatting sqref="D33">
    <cfRule type="cellIs" dxfId="177" priority="5" stopIfTrue="1" operator="greaterThan">
      <formula>$D$35</formula>
    </cfRule>
  </conditionalFormatting>
  <conditionalFormatting sqref="C74 C34">
    <cfRule type="cellIs" dxfId="176" priority="4" stopIfTrue="1" operator="lessThan">
      <formula>0</formula>
    </cfRule>
  </conditionalFormatting>
  <conditionalFormatting sqref="C73">
    <cfRule type="cellIs" dxfId="175" priority="3" stopIfTrue="1" operator="greaterThan">
      <formula>$C$75</formula>
    </cfRule>
  </conditionalFormatting>
  <conditionalFormatting sqref="D73">
    <cfRule type="cellIs" dxfId="174" priority="2" stopIfTrue="1" operator="greaterThan">
      <formula>$D$75</formula>
    </cfRule>
  </conditionalFormatting>
  <conditionalFormatting sqref="D74 D34">
    <cfRule type="cellIs" dxfId="173" priority="1" stopIfTrue="1" operator="lessThan">
      <formula>0</formula>
    </cfRule>
  </conditionalFormatting>
  <pageMargins left="1.1200000000000001" right="0.5" top="0.74" bottom="0.34" header="0.5" footer="0"/>
  <pageSetup scale="57" orientation="portrait" blackAndWhite="1" horizontalDpi="300" verticalDpi="300" r:id="rId1"/>
  <headerFooter alignWithMargins="0">
    <oddHeader xml:space="preserve">&amp;RState of Kansas
County
</oddHeader>
  </headerFooter>
</worksheet>
</file>

<file path=xl/worksheets/sheet28.xml><?xml version="1.0" encoding="utf-8"?>
<worksheet xmlns="http://schemas.openxmlformats.org/spreadsheetml/2006/main" xmlns:r="http://schemas.openxmlformats.org/officeDocument/2006/relationships">
  <sheetPr codeName="Sheet23">
    <pageSetUpPr fitToPage="1"/>
  </sheetPr>
  <dimension ref="B1:K94"/>
  <sheetViews>
    <sheetView zoomScaleNormal="100" workbookViewId="0">
      <selection activeCell="E20" sqref="E20"/>
    </sheetView>
  </sheetViews>
  <sheetFormatPr defaultColWidth="8.88671875" defaultRowHeight="15.75"/>
  <cols>
    <col min="1" max="1" width="2.44140625" style="72" customWidth="1"/>
    <col min="2" max="2" width="31.109375" style="72" customWidth="1"/>
    <col min="3" max="4" width="15.77734375" style="72" customWidth="1"/>
    <col min="5" max="5" width="16.33203125" style="72" customWidth="1"/>
    <col min="6" max="6" width="7.44140625" style="72" customWidth="1"/>
    <col min="7" max="7" width="10.21875" style="72" customWidth="1"/>
    <col min="8" max="8" width="8.88671875" style="72"/>
    <col min="9" max="9" width="5" style="72" customWidth="1"/>
    <col min="10" max="10" width="10" style="72" customWidth="1"/>
    <col min="11" max="16384" width="8.88671875" style="72"/>
  </cols>
  <sheetData>
    <row r="1" spans="2:5">
      <c r="B1" s="228" t="str">
        <f>inputPrYr!C2</f>
        <v>Franklin County</v>
      </c>
      <c r="C1" s="85"/>
      <c r="D1" s="85"/>
      <c r="E1" s="286">
        <f>inputPrYr!C4</f>
        <v>2013</v>
      </c>
    </row>
    <row r="2" spans="2:5">
      <c r="B2" s="85"/>
      <c r="C2" s="85"/>
      <c r="D2" s="85"/>
      <c r="E2" s="240"/>
    </row>
    <row r="3" spans="2:5">
      <c r="B3" s="152" t="s">
        <v>238</v>
      </c>
      <c r="C3" s="333"/>
      <c r="D3" s="333"/>
      <c r="E3" s="334"/>
    </row>
    <row r="4" spans="2:5">
      <c r="B4" s="84" t="s">
        <v>159</v>
      </c>
      <c r="C4" s="703" t="s">
        <v>841</v>
      </c>
      <c r="D4" s="704" t="s">
        <v>842</v>
      </c>
      <c r="E4" s="215" t="s">
        <v>843</v>
      </c>
    </row>
    <row r="5" spans="2:5">
      <c r="B5" s="484">
        <f>inputPrYr!B39</f>
        <v>0</v>
      </c>
      <c r="C5" s="455" t="str">
        <f>CONCATENATE("Actual for ",E1-2,"")</f>
        <v>Actual for 2011</v>
      </c>
      <c r="D5" s="455" t="str">
        <f>CONCATENATE("Estimate for ",E1-1,"")</f>
        <v>Estimate for 2012</v>
      </c>
      <c r="E5" s="302" t="str">
        <f>CONCATENATE("Year for ",E1,"")</f>
        <v>Year for 2013</v>
      </c>
    </row>
    <row r="6" spans="2:5">
      <c r="B6" s="148" t="s">
        <v>280</v>
      </c>
      <c r="C6" s="452"/>
      <c r="D6" s="456">
        <f>C34</f>
        <v>0</v>
      </c>
      <c r="E6" s="265">
        <f>D34</f>
        <v>0</v>
      </c>
    </row>
    <row r="7" spans="2:5">
      <c r="B7" s="290" t="s">
        <v>282</v>
      </c>
      <c r="C7" s="305"/>
      <c r="D7" s="305"/>
      <c r="E7" s="127"/>
    </row>
    <row r="8" spans="2:5">
      <c r="B8" s="148" t="s">
        <v>160</v>
      </c>
      <c r="C8" s="452"/>
      <c r="D8" s="456">
        <f>IF(inputPrYr!H39&gt;0,inputPrYr!H39,inputPrYr!E39)</f>
        <v>0</v>
      </c>
      <c r="E8" s="337" t="s">
        <v>146</v>
      </c>
    </row>
    <row r="9" spans="2:5">
      <c r="B9" s="148" t="s">
        <v>161</v>
      </c>
      <c r="C9" s="452"/>
      <c r="D9" s="452"/>
      <c r="E9" s="112"/>
    </row>
    <row r="10" spans="2:5">
      <c r="B10" s="148" t="s">
        <v>162</v>
      </c>
      <c r="C10" s="452"/>
      <c r="D10" s="452"/>
      <c r="E10" s="265" t="str">
        <f>mvalloc!E30</f>
        <v xml:space="preserve">  </v>
      </c>
    </row>
    <row r="11" spans="2:5">
      <c r="B11" s="148" t="s">
        <v>163</v>
      </c>
      <c r="C11" s="452"/>
      <c r="D11" s="452"/>
      <c r="E11" s="265" t="str">
        <f>mvalloc!F30</f>
        <v xml:space="preserve">  </v>
      </c>
    </row>
    <row r="12" spans="2:5">
      <c r="B12" s="305" t="s">
        <v>229</v>
      </c>
      <c r="C12" s="452"/>
      <c r="D12" s="452"/>
      <c r="E12" s="265" t="str">
        <f>mvalloc!G30</f>
        <v xml:space="preserve">  </v>
      </c>
    </row>
    <row r="13" spans="2:5">
      <c r="B13" s="318"/>
      <c r="C13" s="452"/>
      <c r="D13" s="452"/>
      <c r="E13" s="112"/>
    </row>
    <row r="14" spans="2:5">
      <c r="B14" s="318"/>
      <c r="C14" s="452"/>
      <c r="D14" s="452"/>
      <c r="E14" s="112"/>
    </row>
    <row r="15" spans="2:5">
      <c r="B15" s="318"/>
      <c r="C15" s="452"/>
      <c r="D15" s="452"/>
      <c r="E15" s="112"/>
    </row>
    <row r="16" spans="2:5">
      <c r="B16" s="318"/>
      <c r="C16" s="452"/>
      <c r="D16" s="452"/>
      <c r="E16" s="112"/>
    </row>
    <row r="17" spans="2:10">
      <c r="B17" s="308" t="s">
        <v>164</v>
      </c>
      <c r="C17" s="452"/>
      <c r="D17" s="452"/>
      <c r="E17" s="112"/>
    </row>
    <row r="18" spans="2:10">
      <c r="B18" s="309" t="s">
        <v>73</v>
      </c>
      <c r="C18" s="452"/>
      <c r="D18" s="452"/>
      <c r="E18" s="112"/>
    </row>
    <row r="19" spans="2:10">
      <c r="B19" s="309" t="s">
        <v>681</v>
      </c>
      <c r="C19" s="453" t="str">
        <f>IF(C20*0.1&lt;C18,"Exceed 10% Rule","")</f>
        <v/>
      </c>
      <c r="D19" s="453" t="str">
        <f>IF(D20*0.1&lt;D18,"Exceed 10% Rule","")</f>
        <v/>
      </c>
      <c r="E19" s="344" t="str">
        <f>IF(E20*0.1+E40&lt;E18,"Exceed 10% Rule","")</f>
        <v/>
      </c>
    </row>
    <row r="20" spans="2:10">
      <c r="B20" s="311" t="s">
        <v>165</v>
      </c>
      <c r="C20" s="454">
        <f>SUM(C8:C18)</f>
        <v>0</v>
      </c>
      <c r="D20" s="454">
        <f>SUM(D8:D18)</f>
        <v>0</v>
      </c>
      <c r="E20" s="352">
        <f>SUM(E8:E18)</f>
        <v>0</v>
      </c>
    </row>
    <row r="21" spans="2:10">
      <c r="B21" s="311" t="s">
        <v>166</v>
      </c>
      <c r="C21" s="454">
        <f>C6+C20</f>
        <v>0</v>
      </c>
      <c r="D21" s="454">
        <f>D6+D20</f>
        <v>0</v>
      </c>
      <c r="E21" s="352">
        <f>E6+E20</f>
        <v>0</v>
      </c>
    </row>
    <row r="22" spans="2:10">
      <c r="B22" s="148" t="s">
        <v>169</v>
      </c>
      <c r="C22" s="309"/>
      <c r="D22" s="309"/>
      <c r="E22" s="108"/>
    </row>
    <row r="23" spans="2:10">
      <c r="B23" s="318"/>
      <c r="C23" s="452"/>
      <c r="D23" s="452"/>
      <c r="E23" s="112"/>
    </row>
    <row r="24" spans="2:10">
      <c r="B24" s="318"/>
      <c r="C24" s="452"/>
      <c r="D24" s="452"/>
      <c r="E24" s="112"/>
      <c r="G24" s="784" t="str">
        <f>CONCATENATE("Desired Carryover Into ",E1+1,"")</f>
        <v>Desired Carryover Into 2014</v>
      </c>
      <c r="H24" s="785"/>
      <c r="I24" s="785"/>
      <c r="J24" s="786"/>
    </row>
    <row r="25" spans="2:10">
      <c r="B25" s="318"/>
      <c r="C25" s="452"/>
      <c r="D25" s="452"/>
      <c r="E25" s="112"/>
      <c r="G25" s="650"/>
      <c r="H25" s="651"/>
      <c r="I25" s="652"/>
      <c r="J25" s="653"/>
    </row>
    <row r="26" spans="2:10">
      <c r="B26" s="318"/>
      <c r="C26" s="452"/>
      <c r="D26" s="452"/>
      <c r="E26" s="112"/>
      <c r="G26" s="654" t="s">
        <v>687</v>
      </c>
      <c r="H26" s="652"/>
      <c r="I26" s="652"/>
      <c r="J26" s="655">
        <v>0</v>
      </c>
    </row>
    <row r="27" spans="2:10">
      <c r="B27" s="318"/>
      <c r="C27" s="452"/>
      <c r="D27" s="452"/>
      <c r="E27" s="112"/>
      <c r="G27" s="650" t="s">
        <v>688</v>
      </c>
      <c r="H27" s="651"/>
      <c r="I27" s="651"/>
      <c r="J27" s="656" t="str">
        <f>IF(J26=0,"",ROUND((J26+E40-G39)/inputOth!E6*1000,3)-G44)</f>
        <v/>
      </c>
    </row>
    <row r="28" spans="2:10">
      <c r="B28" s="318"/>
      <c r="C28" s="452"/>
      <c r="D28" s="452"/>
      <c r="E28" s="112"/>
      <c r="G28" s="657" t="str">
        <f>CONCATENATE("",E1," Tot Exp/Non-Appr Must Be:")</f>
        <v>2013 Tot Exp/Non-Appr Must Be:</v>
      </c>
      <c r="H28" s="658"/>
      <c r="I28" s="659"/>
      <c r="J28" s="660">
        <f>IF(J26&gt;0,IF(E37&lt;E21,IF(J26=G39,E37,((J26-G39)*(1-D39))+E21),E37+(J26-G39)),0)</f>
        <v>0</v>
      </c>
    </row>
    <row r="29" spans="2:10">
      <c r="B29" s="318"/>
      <c r="C29" s="452"/>
      <c r="D29" s="452"/>
      <c r="E29" s="112"/>
      <c r="G29" s="661" t="s">
        <v>839</v>
      </c>
      <c r="H29" s="662"/>
      <c r="I29" s="662"/>
      <c r="J29" s="663">
        <f>IF(J26&gt;0,J28-E37,0)</f>
        <v>0</v>
      </c>
    </row>
    <row r="30" spans="2:10">
      <c r="B30" s="309" t="s">
        <v>75</v>
      </c>
      <c r="C30" s="452"/>
      <c r="D30" s="452"/>
      <c r="E30" s="120" t="str">
        <f>Nhood!E29</f>
        <v/>
      </c>
      <c r="G30" s="1"/>
      <c r="H30" s="1"/>
      <c r="I30" s="1"/>
      <c r="J30" s="1"/>
    </row>
    <row r="31" spans="2:10">
      <c r="B31" s="309" t="s">
        <v>73</v>
      </c>
      <c r="C31" s="452"/>
      <c r="D31" s="452"/>
      <c r="E31" s="112"/>
      <c r="G31" s="784" t="str">
        <f>CONCATENATE("Projected Carryover Into ",E1+1,"")</f>
        <v>Projected Carryover Into 2014</v>
      </c>
      <c r="H31" s="791"/>
      <c r="I31" s="791"/>
      <c r="J31" s="792"/>
    </row>
    <row r="32" spans="2:10">
      <c r="B32" s="309" t="s">
        <v>680</v>
      </c>
      <c r="C32" s="453" t="str">
        <f>IF(C33*0.1&lt;C31,"Exceed 10% Rule","")</f>
        <v/>
      </c>
      <c r="D32" s="453" t="str">
        <f>IF(D33*0.1&lt;D31,"Exceed 10% Rule","")</f>
        <v/>
      </c>
      <c r="E32" s="344" t="str">
        <f>IF(E33*0.1&lt;E31,"Exceed 10% Rule","")</f>
        <v/>
      </c>
      <c r="G32" s="650"/>
      <c r="H32" s="652"/>
      <c r="I32" s="652"/>
      <c r="J32" s="678"/>
    </row>
    <row r="33" spans="2:11">
      <c r="B33" s="311" t="s">
        <v>170</v>
      </c>
      <c r="C33" s="454">
        <f>SUM(C23:C31)</f>
        <v>0</v>
      </c>
      <c r="D33" s="454">
        <f>SUM(D23:D31)</f>
        <v>0</v>
      </c>
      <c r="E33" s="352">
        <f>SUM(E23:E31)</f>
        <v>0</v>
      </c>
      <c r="G33" s="679">
        <f>D34</f>
        <v>0</v>
      </c>
      <c r="H33" s="669" t="str">
        <f>CONCATENATE("",E1-1," Ending Cash Balance (est.)")</f>
        <v>2012 Ending Cash Balance (est.)</v>
      </c>
      <c r="I33" s="680"/>
      <c r="J33" s="678"/>
    </row>
    <row r="34" spans="2:11">
      <c r="B34" s="148" t="s">
        <v>281</v>
      </c>
      <c r="C34" s="457">
        <f>C21-C33</f>
        <v>0</v>
      </c>
      <c r="D34" s="457">
        <f>D21-D33</f>
        <v>0</v>
      </c>
      <c r="E34" s="337" t="s">
        <v>146</v>
      </c>
      <c r="G34" s="679">
        <f>E20</f>
        <v>0</v>
      </c>
      <c r="H34" s="652" t="str">
        <f>CONCATENATE("",E1," Non-AV Receipts (est.)")</f>
        <v>2013 Non-AV Receipts (est.)</v>
      </c>
      <c r="I34" s="680"/>
      <c r="J34" s="678"/>
    </row>
    <row r="35" spans="2:11">
      <c r="B35" s="287" t="str">
        <f>CONCATENATE("",E$1-2,"/",E$1-1," Budget Authority Amount:")</f>
        <v>2011/2012 Budget Authority Amount:</v>
      </c>
      <c r="C35" s="279">
        <f>inputOth!B53</f>
        <v>0</v>
      </c>
      <c r="D35" s="279">
        <f>inputPrYr!D39</f>
        <v>0</v>
      </c>
      <c r="E35" s="337" t="s">
        <v>146</v>
      </c>
      <c r="F35" s="320"/>
      <c r="G35" s="681">
        <f>IF(E39&gt;0,E38,E40)</f>
        <v>0</v>
      </c>
      <c r="H35" s="652" t="str">
        <f>CONCATENATE("",E1," Ad Valorem Tax (est.)")</f>
        <v>2013 Ad Valorem Tax (est.)</v>
      </c>
      <c r="I35" s="680"/>
      <c r="J35" s="678"/>
      <c r="K35" s="666" t="str">
        <f>IF(G35=E40,"","Note: Does not include Delinquent Taxes")</f>
        <v/>
      </c>
    </row>
    <row r="36" spans="2:11">
      <c r="B36" s="287"/>
      <c r="C36" s="774" t="s">
        <v>684</v>
      </c>
      <c r="D36" s="775"/>
      <c r="E36" s="112"/>
      <c r="F36" s="502" t="str">
        <f>IF(E33/0.95-E33&lt;E36,"Exceeds 5%","")</f>
        <v/>
      </c>
      <c r="G36" s="679">
        <f>SUM(G33:G35)</f>
        <v>0</v>
      </c>
      <c r="H36" s="652" t="str">
        <f>CONCATENATE("Total ",E1," Resources Available")</f>
        <v>Total 2013 Resources Available</v>
      </c>
      <c r="I36" s="680"/>
      <c r="J36" s="678"/>
    </row>
    <row r="37" spans="2:11">
      <c r="B37" s="506" t="str">
        <f>CONCATENATE(C91,"     ",D91)</f>
        <v xml:space="preserve">     </v>
      </c>
      <c r="C37" s="776" t="s">
        <v>685</v>
      </c>
      <c r="D37" s="777"/>
      <c r="E37" s="265">
        <f>E33+E36</f>
        <v>0</v>
      </c>
      <c r="G37" s="682"/>
      <c r="H37" s="652"/>
      <c r="I37" s="652"/>
      <c r="J37" s="678"/>
    </row>
    <row r="38" spans="2:11">
      <c r="B38" s="506" t="str">
        <f>CONCATENATE(C92,"     ",D92)</f>
        <v xml:space="preserve">     </v>
      </c>
      <c r="C38" s="321"/>
      <c r="D38" s="240" t="s">
        <v>171</v>
      </c>
      <c r="E38" s="120">
        <f>IF(E37-E21&gt;0,E37-E21,0)</f>
        <v>0</v>
      </c>
      <c r="G38" s="681">
        <f>ROUND(C33*0.05+C33,0)</f>
        <v>0</v>
      </c>
      <c r="H38" s="652" t="str">
        <f>CONCATENATE("Less ",E1-2," Expenditures + 5%")</f>
        <v>Less 2011 Expenditures + 5%</v>
      </c>
      <c r="I38" s="680"/>
      <c r="J38" s="683"/>
    </row>
    <row r="39" spans="2:11">
      <c r="B39" s="240"/>
      <c r="C39" s="504" t="s">
        <v>686</v>
      </c>
      <c r="D39" s="649">
        <f>inputOth!$E$23</f>
        <v>0.05</v>
      </c>
      <c r="E39" s="265">
        <f>ROUND(IF(D39&gt;0,($E$38*D39),0),0)</f>
        <v>0</v>
      </c>
      <c r="G39" s="684">
        <f>G36-G38</f>
        <v>0</v>
      </c>
      <c r="H39" s="685" t="str">
        <f>CONCATENATE("Projected ",E1+1," carryover (est.)")</f>
        <v>Projected 2014 carryover (est.)</v>
      </c>
      <c r="I39" s="686"/>
      <c r="J39" s="687"/>
    </row>
    <row r="40" spans="2:11">
      <c r="B40" s="85"/>
      <c r="C40" s="782" t="str">
        <f>CONCATENATE("Amount of  ",$E$1-1," Ad Valorem Tax")</f>
        <v>Amount of  2012 Ad Valorem Tax</v>
      </c>
      <c r="D40" s="783"/>
      <c r="E40" s="348">
        <f>E38+E39</f>
        <v>0</v>
      </c>
      <c r="G40" s="1"/>
      <c r="H40" s="1"/>
      <c r="I40" s="1"/>
      <c r="J40" s="1"/>
    </row>
    <row r="41" spans="2:11">
      <c r="B41" s="85"/>
      <c r="C41" s="327"/>
      <c r="D41" s="327"/>
      <c r="E41" s="327"/>
      <c r="G41" s="787" t="s">
        <v>840</v>
      </c>
      <c r="H41" s="788"/>
      <c r="I41" s="788"/>
      <c r="J41" s="789"/>
    </row>
    <row r="42" spans="2:11">
      <c r="B42" s="84" t="s">
        <v>159</v>
      </c>
      <c r="C42" s="703" t="str">
        <f t="shared" ref="C42:E43" si="0">C4</f>
        <v xml:space="preserve">Prior Year </v>
      </c>
      <c r="D42" s="704" t="str">
        <f t="shared" si="0"/>
        <v xml:space="preserve">Current Year </v>
      </c>
      <c r="E42" s="215" t="str">
        <f t="shared" si="0"/>
        <v xml:space="preserve">Proposed Budget </v>
      </c>
      <c r="G42" s="668"/>
      <c r="H42" s="669"/>
      <c r="I42" s="670"/>
      <c r="J42" s="671"/>
    </row>
    <row r="43" spans="2:11">
      <c r="B43" s="483">
        <f>inputPrYr!B40</f>
        <v>0</v>
      </c>
      <c r="C43" s="455" t="str">
        <f t="shared" si="0"/>
        <v>Actual for 2011</v>
      </c>
      <c r="D43" s="455" t="str">
        <f t="shared" si="0"/>
        <v>Estimate for 2012</v>
      </c>
      <c r="E43" s="302" t="str">
        <f t="shared" si="0"/>
        <v>Year for 2013</v>
      </c>
      <c r="G43" s="672" t="str">
        <f>summ!H39</f>
        <v xml:space="preserve">  </v>
      </c>
      <c r="H43" s="669" t="str">
        <f>CONCATENATE("",E1," Fund Mill Rate")</f>
        <v>2013 Fund Mill Rate</v>
      </c>
      <c r="I43" s="670"/>
      <c r="J43" s="671"/>
    </row>
    <row r="44" spans="2:11">
      <c r="B44" s="148" t="s">
        <v>280</v>
      </c>
      <c r="C44" s="452"/>
      <c r="D44" s="456">
        <f>C74</f>
        <v>0</v>
      </c>
      <c r="E44" s="265">
        <f>D74</f>
        <v>0</v>
      </c>
      <c r="G44" s="673" t="str">
        <f>summ!E39</f>
        <v xml:space="preserve">  </v>
      </c>
      <c r="H44" s="669" t="str">
        <f>CONCATENATE("",E1-1," Fund Mill Rate")</f>
        <v>2012 Fund Mill Rate</v>
      </c>
      <c r="I44" s="670"/>
      <c r="J44" s="671"/>
    </row>
    <row r="45" spans="2:11">
      <c r="B45" s="303" t="s">
        <v>282</v>
      </c>
      <c r="C45" s="305"/>
      <c r="D45" s="305"/>
      <c r="E45" s="127"/>
      <c r="G45" s="674">
        <f>summ!H61</f>
        <v>59.232000000000006</v>
      </c>
      <c r="H45" s="669" t="str">
        <f>CONCATENATE("Total ",E1," Mill Rate")</f>
        <v>Total 2013 Mill Rate</v>
      </c>
      <c r="I45" s="670"/>
      <c r="J45" s="671"/>
    </row>
    <row r="46" spans="2:11">
      <c r="B46" s="148" t="s">
        <v>160</v>
      </c>
      <c r="C46" s="452"/>
      <c r="D46" s="456">
        <f>IF(inputPrYr!H40&gt;0,inputPrYr!H40,inputPrYr!E40)</f>
        <v>0</v>
      </c>
      <c r="E46" s="337" t="s">
        <v>146</v>
      </c>
      <c r="G46" s="673">
        <f>summ!E61</f>
        <v>59.207000000000001</v>
      </c>
      <c r="H46" s="675" t="str">
        <f>CONCATENATE("Total ",E1-1," Mill Rate")</f>
        <v>Total 2012 Mill Rate</v>
      </c>
      <c r="I46" s="676"/>
      <c r="J46" s="677"/>
    </row>
    <row r="47" spans="2:11">
      <c r="B47" s="148" t="s">
        <v>161</v>
      </c>
      <c r="C47" s="452"/>
      <c r="D47" s="452"/>
      <c r="E47" s="112"/>
      <c r="G47" s="1"/>
      <c r="H47" s="1"/>
      <c r="I47" s="1"/>
      <c r="J47" s="1"/>
    </row>
    <row r="48" spans="2:11">
      <c r="B48" s="148" t="s">
        <v>162</v>
      </c>
      <c r="C48" s="452"/>
      <c r="D48" s="452"/>
      <c r="E48" s="265" t="str">
        <f>mvalloc!E31</f>
        <v xml:space="preserve">  </v>
      </c>
      <c r="G48" s="1"/>
      <c r="H48" s="1"/>
      <c r="I48" s="1"/>
      <c r="J48" s="1"/>
    </row>
    <row r="49" spans="2:10">
      <c r="B49" s="148" t="s">
        <v>163</v>
      </c>
      <c r="C49" s="452"/>
      <c r="D49" s="452"/>
      <c r="E49" s="265" t="str">
        <f>mvalloc!F31</f>
        <v xml:space="preserve">  </v>
      </c>
      <c r="G49" s="1"/>
      <c r="H49" s="1"/>
      <c r="I49" s="1"/>
      <c r="J49" s="1"/>
    </row>
    <row r="50" spans="2:10">
      <c r="B50" s="305" t="s">
        <v>229</v>
      </c>
      <c r="C50" s="452"/>
      <c r="D50" s="452"/>
      <c r="E50" s="265" t="str">
        <f>mvalloc!G31</f>
        <v xml:space="preserve">  </v>
      </c>
      <c r="G50" s="1"/>
      <c r="H50" s="1"/>
      <c r="I50" s="1"/>
      <c r="J50" s="1"/>
    </row>
    <row r="51" spans="2:10">
      <c r="B51" s="318"/>
      <c r="C51" s="452"/>
      <c r="D51" s="452"/>
      <c r="E51" s="112"/>
      <c r="G51" s="1"/>
      <c r="H51" s="1"/>
      <c r="I51" s="1"/>
      <c r="J51" s="1"/>
    </row>
    <row r="52" spans="2:10">
      <c r="B52" s="318"/>
      <c r="C52" s="452"/>
      <c r="D52" s="452"/>
      <c r="E52" s="112"/>
      <c r="G52" s="1"/>
      <c r="H52" s="1"/>
      <c r="I52" s="1"/>
      <c r="J52" s="1"/>
    </row>
    <row r="53" spans="2:10">
      <c r="B53" s="318"/>
      <c r="C53" s="452"/>
      <c r="D53" s="452"/>
      <c r="E53" s="112"/>
      <c r="G53" s="1"/>
      <c r="H53" s="1"/>
      <c r="I53" s="1"/>
      <c r="J53" s="1"/>
    </row>
    <row r="54" spans="2:10">
      <c r="B54" s="318"/>
      <c r="C54" s="452"/>
      <c r="D54" s="452"/>
      <c r="E54" s="112"/>
      <c r="G54" s="1"/>
      <c r="H54" s="1"/>
      <c r="I54" s="1"/>
      <c r="J54" s="1"/>
    </row>
    <row r="55" spans="2:10">
      <c r="B55" s="318"/>
      <c r="C55" s="452"/>
      <c r="D55" s="452"/>
      <c r="E55" s="112"/>
      <c r="G55" s="1"/>
      <c r="H55" s="1"/>
      <c r="I55" s="1"/>
      <c r="J55" s="1"/>
    </row>
    <row r="56" spans="2:10">
      <c r="B56" s="318"/>
      <c r="C56" s="452"/>
      <c r="D56" s="452"/>
      <c r="E56" s="112"/>
      <c r="G56" s="1"/>
      <c r="H56" s="1"/>
      <c r="I56" s="1"/>
      <c r="J56" s="1"/>
    </row>
    <row r="57" spans="2:10">
      <c r="B57" s="308" t="s">
        <v>164</v>
      </c>
      <c r="C57" s="452"/>
      <c r="D57" s="452"/>
      <c r="E57" s="112"/>
      <c r="G57" s="1"/>
      <c r="H57" s="1"/>
      <c r="I57" s="1"/>
      <c r="J57" s="1"/>
    </row>
    <row r="58" spans="2:10">
      <c r="B58" s="309" t="s">
        <v>73</v>
      </c>
      <c r="C58" s="452"/>
      <c r="D58" s="452"/>
      <c r="E58" s="112"/>
      <c r="G58" s="1"/>
      <c r="H58" s="1"/>
      <c r="I58" s="1"/>
      <c r="J58" s="1"/>
    </row>
    <row r="59" spans="2:10">
      <c r="B59" s="309" t="s">
        <v>681</v>
      </c>
      <c r="C59" s="453" t="str">
        <f>IF(C60*0.1&lt;C58,"Exceed 10% Rule","")</f>
        <v/>
      </c>
      <c r="D59" s="453" t="str">
        <f>IF(D60*0.1&lt;D58,"Exceed 10% Rule","")</f>
        <v/>
      </c>
      <c r="E59" s="344" t="str">
        <f>IF(E60*0.1+E80&lt;E58,"Exceed 10% Rule","")</f>
        <v/>
      </c>
      <c r="G59" s="1"/>
      <c r="H59" s="1"/>
      <c r="I59" s="1"/>
      <c r="J59" s="1"/>
    </row>
    <row r="60" spans="2:10">
      <c r="B60" s="311" t="s">
        <v>165</v>
      </c>
      <c r="C60" s="454">
        <f>SUM(C46:C58)</f>
        <v>0</v>
      </c>
      <c r="D60" s="454">
        <f>SUM(D46:D58)</f>
        <v>0</v>
      </c>
      <c r="E60" s="352">
        <f>SUM(E46:E58)</f>
        <v>0</v>
      </c>
      <c r="G60" s="1"/>
      <c r="H60" s="1"/>
      <c r="I60" s="1"/>
      <c r="J60" s="1"/>
    </row>
    <row r="61" spans="2:10">
      <c r="B61" s="311" t="s">
        <v>166</v>
      </c>
      <c r="C61" s="454">
        <f>C44+C60</f>
        <v>0</v>
      </c>
      <c r="D61" s="454">
        <f>D44+D60</f>
        <v>0</v>
      </c>
      <c r="E61" s="352">
        <f>E44+E60</f>
        <v>0</v>
      </c>
      <c r="G61" s="1"/>
      <c r="H61" s="1"/>
      <c r="I61" s="1"/>
      <c r="J61" s="1"/>
    </row>
    <row r="62" spans="2:10">
      <c r="B62" s="148" t="s">
        <v>169</v>
      </c>
      <c r="C62" s="309"/>
      <c r="D62" s="309"/>
      <c r="E62" s="108"/>
      <c r="G62" s="1"/>
      <c r="H62" s="1"/>
      <c r="I62" s="1"/>
      <c r="J62" s="1"/>
    </row>
    <row r="63" spans="2:10">
      <c r="B63" s="318"/>
      <c r="C63" s="452"/>
      <c r="D63" s="452"/>
      <c r="E63" s="112"/>
      <c r="G63" s="1"/>
      <c r="H63" s="1"/>
      <c r="I63" s="1"/>
      <c r="J63" s="1"/>
    </row>
    <row r="64" spans="2:10">
      <c r="B64" s="318"/>
      <c r="C64" s="452"/>
      <c r="D64" s="452"/>
      <c r="E64" s="112"/>
      <c r="G64" s="784" t="str">
        <f>CONCATENATE("Desired Carryover Into ",E1+1,"")</f>
        <v>Desired Carryover Into 2014</v>
      </c>
      <c r="H64" s="785"/>
      <c r="I64" s="785"/>
      <c r="J64" s="786"/>
    </row>
    <row r="65" spans="2:11">
      <c r="B65" s="318"/>
      <c r="C65" s="452"/>
      <c r="D65" s="452"/>
      <c r="E65" s="112"/>
      <c r="G65" s="650"/>
      <c r="H65" s="651"/>
      <c r="I65" s="652"/>
      <c r="J65" s="653"/>
    </row>
    <row r="66" spans="2:11">
      <c r="B66" s="318"/>
      <c r="C66" s="452"/>
      <c r="D66" s="452"/>
      <c r="E66" s="112"/>
      <c r="G66" s="654" t="s">
        <v>687</v>
      </c>
      <c r="H66" s="652"/>
      <c r="I66" s="652"/>
      <c r="J66" s="655">
        <v>0</v>
      </c>
    </row>
    <row r="67" spans="2:11">
      <c r="B67" s="318"/>
      <c r="C67" s="452"/>
      <c r="D67" s="452"/>
      <c r="E67" s="112"/>
      <c r="G67" s="650" t="s">
        <v>688</v>
      </c>
      <c r="H67" s="651"/>
      <c r="I67" s="651"/>
      <c r="J67" s="656" t="str">
        <f>IF(J66=0,"",ROUND((J66+E80-G79)/inputOth!E6*1000,3)-G84)</f>
        <v/>
      </c>
    </row>
    <row r="68" spans="2:11">
      <c r="B68" s="318"/>
      <c r="C68" s="452"/>
      <c r="D68" s="452"/>
      <c r="E68" s="112"/>
      <c r="G68" s="657" t="str">
        <f>CONCATENATE("",E1," Tot Exp/Non-Appr Must Be:")</f>
        <v>2013 Tot Exp/Non-Appr Must Be:</v>
      </c>
      <c r="H68" s="658"/>
      <c r="I68" s="659"/>
      <c r="J68" s="660">
        <f>IF(J66&gt;0,IF(E77&lt;E61,IF(J66=G79,E77,((J66-G79)*(1-D79))+E61),E77+(J66-G79)),0)</f>
        <v>0</v>
      </c>
    </row>
    <row r="69" spans="2:11">
      <c r="B69" s="318"/>
      <c r="C69" s="452"/>
      <c r="D69" s="452"/>
      <c r="E69" s="112"/>
      <c r="G69" s="661" t="s">
        <v>839</v>
      </c>
      <c r="H69" s="662"/>
      <c r="I69" s="662"/>
      <c r="J69" s="663">
        <f>IF(J66&gt;0,J68-E77,0)</f>
        <v>0</v>
      </c>
    </row>
    <row r="70" spans="2:11">
      <c r="B70" s="309" t="s">
        <v>75</v>
      </c>
      <c r="C70" s="452"/>
      <c r="D70" s="452"/>
      <c r="E70" s="120" t="str">
        <f>Nhood!E30</f>
        <v/>
      </c>
      <c r="G70" s="1"/>
      <c r="H70" s="1"/>
      <c r="I70" s="1"/>
      <c r="J70" s="1"/>
    </row>
    <row r="71" spans="2:11">
      <c r="B71" s="309" t="s">
        <v>73</v>
      </c>
      <c r="C71" s="452"/>
      <c r="D71" s="452"/>
      <c r="E71" s="112"/>
      <c r="G71" s="784" t="str">
        <f>CONCATENATE("Projected Carryover Into ",E1+1,"")</f>
        <v>Projected Carryover Into 2014</v>
      </c>
      <c r="H71" s="793"/>
      <c r="I71" s="793"/>
      <c r="J71" s="792"/>
    </row>
    <row r="72" spans="2:11">
      <c r="B72" s="309" t="s">
        <v>680</v>
      </c>
      <c r="C72" s="453" t="str">
        <f>IF(C73*0.1&lt;C71,"Exceed 10% Rule","")</f>
        <v/>
      </c>
      <c r="D72" s="453" t="str">
        <f>IF(D73*0.1&lt;D71,"Exceed 10% Rule","")</f>
        <v/>
      </c>
      <c r="E72" s="344" t="str">
        <f>IF(E73*0.1&lt;E71,"Exceed 10% Rule","")</f>
        <v/>
      </c>
      <c r="G72" s="688"/>
      <c r="H72" s="651"/>
      <c r="I72" s="651"/>
      <c r="J72" s="683"/>
    </row>
    <row r="73" spans="2:11">
      <c r="B73" s="311" t="s">
        <v>170</v>
      </c>
      <c r="C73" s="454">
        <f>SUM(C63:C71)</f>
        <v>0</v>
      </c>
      <c r="D73" s="454">
        <f>SUM(D63:D71)</f>
        <v>0</v>
      </c>
      <c r="E73" s="352">
        <f>SUM(E63:E71)</f>
        <v>0</v>
      </c>
      <c r="G73" s="679">
        <f>D74</f>
        <v>0</v>
      </c>
      <c r="H73" s="669" t="str">
        <f>CONCATENATE("",E1-1," Ending Cash Balance (est.)")</f>
        <v>2012 Ending Cash Balance (est.)</v>
      </c>
      <c r="I73" s="680"/>
      <c r="J73" s="683"/>
    </row>
    <row r="74" spans="2:11">
      <c r="B74" s="148" t="s">
        <v>281</v>
      </c>
      <c r="C74" s="457">
        <f>C61-C73</f>
        <v>0</v>
      </c>
      <c r="D74" s="457">
        <f>D61-D73</f>
        <v>0</v>
      </c>
      <c r="E74" s="337" t="s">
        <v>146</v>
      </c>
      <c r="G74" s="679">
        <f>E60</f>
        <v>0</v>
      </c>
      <c r="H74" s="652" t="str">
        <f>CONCATENATE("",E1," Non-AV Receipts (est.)")</f>
        <v>2013 Non-AV Receipts (est.)</v>
      </c>
      <c r="I74" s="680"/>
      <c r="J74" s="683"/>
    </row>
    <row r="75" spans="2:11">
      <c r="B75" s="287" t="str">
        <f>CONCATENATE("",E$1-2,"/",E$1-1," Budget Authority Amount:")</f>
        <v>2011/2012 Budget Authority Amount:</v>
      </c>
      <c r="C75" s="279">
        <f>inputOth!B54</f>
        <v>0</v>
      </c>
      <c r="D75" s="279">
        <f>inputPrYr!D40</f>
        <v>0</v>
      </c>
      <c r="E75" s="337" t="s">
        <v>146</v>
      </c>
      <c r="F75" s="320"/>
      <c r="G75" s="681">
        <f>IF(E79&gt;0,E78,E80)</f>
        <v>0</v>
      </c>
      <c r="H75" s="652" t="str">
        <f>CONCATENATE("",E1," Ad Valorem Tax (est.)")</f>
        <v>2013 Ad Valorem Tax (est.)</v>
      </c>
      <c r="I75" s="680"/>
      <c r="J75" s="683"/>
      <c r="K75" s="666" t="str">
        <f>IF(G75=E80,"","Note: Does not include Delinquent Taxes")</f>
        <v/>
      </c>
    </row>
    <row r="76" spans="2:11">
      <c r="B76" s="287"/>
      <c r="C76" s="774" t="s">
        <v>684</v>
      </c>
      <c r="D76" s="775"/>
      <c r="E76" s="112"/>
      <c r="F76" s="502" t="str">
        <f>IF(E73/0.95-E73&lt;E76,"Exceeds 5%","")</f>
        <v/>
      </c>
      <c r="G76" s="689">
        <f>SUM(G73:G75)</f>
        <v>0</v>
      </c>
      <c r="H76" s="652" t="str">
        <f>CONCATENATE("Total ",E1," Resources Available")</f>
        <v>Total 2013 Resources Available</v>
      </c>
      <c r="I76" s="690"/>
      <c r="J76" s="683"/>
    </row>
    <row r="77" spans="2:11">
      <c r="B77" s="505" t="str">
        <f>CONCATENATE(C93,"     ",D93)</f>
        <v xml:space="preserve">     </v>
      </c>
      <c r="C77" s="776" t="s">
        <v>685</v>
      </c>
      <c r="D77" s="777"/>
      <c r="E77" s="265">
        <f>E73+E76</f>
        <v>0</v>
      </c>
      <c r="G77" s="691"/>
      <c r="H77" s="692"/>
      <c r="I77" s="651"/>
      <c r="J77" s="683"/>
    </row>
    <row r="78" spans="2:11">
      <c r="B78" s="505" t="str">
        <f>CONCATENATE(C94,"     ",D94)</f>
        <v xml:space="preserve">     </v>
      </c>
      <c r="C78" s="321"/>
      <c r="D78" s="240" t="s">
        <v>171</v>
      </c>
      <c r="E78" s="120">
        <f>IF(E77-E61&gt;0,E77-E61,0)</f>
        <v>0</v>
      </c>
      <c r="G78" s="693">
        <f>ROUND(C73*0.05+C73,0)</f>
        <v>0</v>
      </c>
      <c r="H78" s="652" t="str">
        <f>CONCATENATE("Less ",E1-2," Expenditures + 5%")</f>
        <v>Less 2011 Expenditures + 5%</v>
      </c>
      <c r="I78" s="690"/>
      <c r="J78" s="683"/>
    </row>
    <row r="79" spans="2:11">
      <c r="B79" s="240"/>
      <c r="C79" s="504" t="s">
        <v>686</v>
      </c>
      <c r="D79" s="649">
        <f>inputOth!$E$23</f>
        <v>0.05</v>
      </c>
      <c r="E79" s="265">
        <f>ROUND(IF(D79&gt;0,($E$78*D79),0),0)</f>
        <v>0</v>
      </c>
      <c r="G79" s="694">
        <f>G76-G78</f>
        <v>0</v>
      </c>
      <c r="H79" s="685" t="str">
        <f>CONCATENATE("Projected ",E1+1," carryover (est.)")</f>
        <v>Projected 2014 carryover (est.)</v>
      </c>
      <c r="I79" s="695"/>
      <c r="J79" s="696"/>
    </row>
    <row r="80" spans="2:11">
      <c r="B80" s="85"/>
      <c r="C80" s="782" t="str">
        <f>CONCATENATE("Amount of  ",$E$1-1," Ad Valorem Tax")</f>
        <v>Amount of  2012 Ad Valorem Tax</v>
      </c>
      <c r="D80" s="783"/>
      <c r="E80" s="348">
        <f>E78+E79</f>
        <v>0</v>
      </c>
      <c r="G80" s="1"/>
      <c r="H80" s="1"/>
      <c r="I80" s="1"/>
      <c r="J80" s="1"/>
    </row>
    <row r="81" spans="2:10">
      <c r="B81" s="287" t="s">
        <v>190</v>
      </c>
      <c r="C81" s="349"/>
      <c r="D81" s="85"/>
      <c r="E81" s="85"/>
      <c r="G81" s="787" t="s">
        <v>840</v>
      </c>
      <c r="H81" s="788"/>
      <c r="I81" s="788"/>
      <c r="J81" s="789"/>
    </row>
    <row r="82" spans="2:10">
      <c r="G82" s="668"/>
      <c r="H82" s="669"/>
      <c r="I82" s="670"/>
      <c r="J82" s="671"/>
    </row>
    <row r="83" spans="2:10">
      <c r="G83" s="672" t="str">
        <f>summ!H40</f>
        <v xml:space="preserve">  </v>
      </c>
      <c r="H83" s="669" t="str">
        <f>CONCATENATE("",E1," Fund Mill Rate")</f>
        <v>2013 Fund Mill Rate</v>
      </c>
      <c r="I83" s="670"/>
      <c r="J83" s="671"/>
    </row>
    <row r="84" spans="2:10">
      <c r="G84" s="673" t="str">
        <f>summ!E40</f>
        <v xml:space="preserve">  </v>
      </c>
      <c r="H84" s="669" t="str">
        <f>CONCATENATE("",E1-1," Fund Mill Rate")</f>
        <v>2012 Fund Mill Rate</v>
      </c>
      <c r="I84" s="670"/>
      <c r="J84" s="671"/>
    </row>
    <row r="85" spans="2:10">
      <c r="G85" s="674">
        <f>summ!H61</f>
        <v>59.232000000000006</v>
      </c>
      <c r="H85" s="669" t="str">
        <f>CONCATENATE("Total ",E1," Mill Rate")</f>
        <v>Total 2013 Mill Rate</v>
      </c>
      <c r="I85" s="670"/>
      <c r="J85" s="671"/>
    </row>
    <row r="86" spans="2:10">
      <c r="G86" s="673">
        <f>summ!E61</f>
        <v>59.207000000000001</v>
      </c>
      <c r="H86" s="675" t="str">
        <f>CONCATENATE("Total ",E1-1," Mill Rate")</f>
        <v>Total 2012 Mill Rate</v>
      </c>
      <c r="I86" s="676"/>
      <c r="J86" s="677"/>
    </row>
    <row r="91" spans="2:10" hidden="1">
      <c r="C91" s="72" t="str">
        <f>IF(C33&gt;C35,"See Tab A","")</f>
        <v/>
      </c>
      <c r="D91" s="72" t="str">
        <f>IF(D33&gt;D35,"See Tab C","")</f>
        <v/>
      </c>
    </row>
    <row r="92" spans="2:10" hidden="1">
      <c r="C92" s="72" t="str">
        <f>IF(C34&lt;0,"See Tab B","")</f>
        <v/>
      </c>
      <c r="D92" s="72" t="str">
        <f>IF(D34&lt;0,"See Tab D","")</f>
        <v/>
      </c>
    </row>
    <row r="93" spans="2:10" hidden="1">
      <c r="C93" s="72" t="str">
        <f>IF(C73&gt;C75,"See Tab A","")</f>
        <v/>
      </c>
      <c r="D93" s="72" t="str">
        <f>IF(D73&gt;D75,"See Tab C","")</f>
        <v/>
      </c>
    </row>
    <row r="94" spans="2:10" hidden="1">
      <c r="C94" s="72" t="str">
        <f>IF(C74&lt;0,"See Tab B","")</f>
        <v/>
      </c>
      <c r="D94" s="72" t="str">
        <f>IF(D74&lt;0,"See Tab D","")</f>
        <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172" priority="3" stopIfTrue="1" operator="greaterThan">
      <formula>$E$73*0.1</formula>
    </cfRule>
  </conditionalFormatting>
  <conditionalFormatting sqref="E76">
    <cfRule type="cellIs" dxfId="171" priority="4" stopIfTrue="1" operator="greaterThan">
      <formula>$E$73/0.95-$E$73</formula>
    </cfRule>
  </conditionalFormatting>
  <conditionalFormatting sqref="E36">
    <cfRule type="cellIs" dxfId="170" priority="5" stopIfTrue="1" operator="greaterThan">
      <formula>$E$33/0.95-$E$33</formula>
    </cfRule>
  </conditionalFormatting>
  <conditionalFormatting sqref="E31">
    <cfRule type="cellIs" dxfId="169" priority="6" stopIfTrue="1" operator="greaterThan">
      <formula>$E$33*0.1</formula>
    </cfRule>
  </conditionalFormatting>
  <conditionalFormatting sqref="C74 C34">
    <cfRule type="cellIs" dxfId="168" priority="7" stopIfTrue="1" operator="lessThan">
      <formula>0</formula>
    </cfRule>
  </conditionalFormatting>
  <conditionalFormatting sqref="C73">
    <cfRule type="cellIs" dxfId="167" priority="8" stopIfTrue="1" operator="greaterThan">
      <formula>$C$75</formula>
    </cfRule>
  </conditionalFormatting>
  <conditionalFormatting sqref="D73">
    <cfRule type="cellIs" dxfId="166" priority="9" stopIfTrue="1" operator="greaterThan">
      <formula>$D$75</formula>
    </cfRule>
  </conditionalFormatting>
  <conditionalFormatting sqref="C71">
    <cfRule type="cellIs" dxfId="165" priority="10" stopIfTrue="1" operator="greaterThan">
      <formula>$C$73*0.1</formula>
    </cfRule>
  </conditionalFormatting>
  <conditionalFormatting sqref="D71">
    <cfRule type="cellIs" dxfId="164" priority="11" stopIfTrue="1" operator="greaterThan">
      <formula>$D$73*0.1</formula>
    </cfRule>
  </conditionalFormatting>
  <conditionalFormatting sqref="E58">
    <cfRule type="cellIs" dxfId="163" priority="12" stopIfTrue="1" operator="greaterThan">
      <formula>$E$60*0.1+E80</formula>
    </cfRule>
  </conditionalFormatting>
  <conditionalFormatting sqref="C58">
    <cfRule type="cellIs" dxfId="162" priority="13" stopIfTrue="1" operator="greaterThan">
      <formula>$C$60*0.1</formula>
    </cfRule>
  </conditionalFormatting>
  <conditionalFormatting sqref="D58">
    <cfRule type="cellIs" dxfId="161" priority="14" stopIfTrue="1" operator="greaterThan">
      <formula>$D$60*0.1</formula>
    </cfRule>
  </conditionalFormatting>
  <conditionalFormatting sqref="C33">
    <cfRule type="cellIs" dxfId="160" priority="15" stopIfTrue="1" operator="greaterThan">
      <formula>$C$35</formula>
    </cfRule>
  </conditionalFormatting>
  <conditionalFormatting sqref="D33">
    <cfRule type="cellIs" dxfId="159" priority="16" stopIfTrue="1" operator="greaterThan">
      <formula>$D$35</formula>
    </cfRule>
  </conditionalFormatting>
  <conditionalFormatting sqref="C31">
    <cfRule type="cellIs" dxfId="158" priority="17" stopIfTrue="1" operator="greaterThan">
      <formula>$C$33*0.1</formula>
    </cfRule>
  </conditionalFormatting>
  <conditionalFormatting sqref="D31">
    <cfRule type="cellIs" dxfId="157" priority="18" stopIfTrue="1" operator="greaterThan">
      <formula>$D$33*0.1</formula>
    </cfRule>
  </conditionalFormatting>
  <conditionalFormatting sqref="E18">
    <cfRule type="cellIs" dxfId="156" priority="19" stopIfTrue="1" operator="greaterThan">
      <formula>$E$20*0.1+E40</formula>
    </cfRule>
  </conditionalFormatting>
  <conditionalFormatting sqref="C18">
    <cfRule type="cellIs" dxfId="155" priority="20" stopIfTrue="1" operator="greaterThan">
      <formula>$C$20*0.1</formula>
    </cfRule>
  </conditionalFormatting>
  <conditionalFormatting sqref="D18">
    <cfRule type="cellIs" dxfId="154" priority="21" stopIfTrue="1" operator="greaterThan">
      <formula>$D$20*0.1</formula>
    </cfRule>
  </conditionalFormatting>
  <conditionalFormatting sqref="D34 D74">
    <cfRule type="cellIs" dxfId="153" priority="2" stopIfTrue="1" operator="lessThan">
      <formula>0</formula>
    </cfRule>
  </conditionalFormatting>
  <pageMargins left="1.1200000000000001" right="0.5" top="0.74" bottom="0.34" header="0.5" footer="0"/>
  <pageSetup scale="57" orientation="portrait" blackAndWhite="1" horizontalDpi="300" verticalDpi="300" r:id="rId1"/>
  <headerFooter alignWithMargins="0">
    <oddHeader xml:space="preserve">&amp;RState of Kansas
County
</oddHeader>
  </headerFooter>
</worksheet>
</file>

<file path=xl/worksheets/sheet29.xml><?xml version="1.0" encoding="utf-8"?>
<worksheet xmlns="http://schemas.openxmlformats.org/spreadsheetml/2006/main" xmlns:r="http://schemas.openxmlformats.org/officeDocument/2006/relationships">
  <sheetPr codeName="Sheet24">
    <pageSetUpPr fitToPage="1"/>
  </sheetPr>
  <dimension ref="B1:E66"/>
  <sheetViews>
    <sheetView workbookViewId="0">
      <selection activeCell="I56" sqref="I56"/>
    </sheetView>
  </sheetViews>
  <sheetFormatPr defaultColWidth="8.88671875" defaultRowHeight="15.75"/>
  <cols>
    <col min="1" max="1" width="2.44140625" style="72" customWidth="1"/>
    <col min="2" max="2" width="31.109375" style="72" customWidth="1"/>
    <col min="3" max="4" width="15.77734375" style="72" customWidth="1"/>
    <col min="5" max="5" width="16.109375" style="72" customWidth="1"/>
    <col min="6" max="16384" width="8.88671875" style="72"/>
  </cols>
  <sheetData>
    <row r="1" spans="2:5">
      <c r="B1" s="228" t="str">
        <f>(inputPrYr!C2)</f>
        <v>Franklin County</v>
      </c>
      <c r="C1" s="85"/>
      <c r="D1" s="85"/>
      <c r="E1" s="286">
        <f>inputPrYr!C4</f>
        <v>2013</v>
      </c>
    </row>
    <row r="2" spans="2:5">
      <c r="B2" s="85"/>
      <c r="C2" s="85"/>
      <c r="D2" s="85"/>
      <c r="E2" s="240"/>
    </row>
    <row r="3" spans="2:5">
      <c r="B3" s="152" t="s">
        <v>239</v>
      </c>
      <c r="C3" s="333"/>
      <c r="D3" s="333"/>
      <c r="E3" s="334"/>
    </row>
    <row r="4" spans="2:5">
      <c r="B4" s="85"/>
      <c r="C4" s="327"/>
      <c r="D4" s="327"/>
      <c r="E4" s="327"/>
    </row>
    <row r="5" spans="2:5">
      <c r="B5" s="84" t="s">
        <v>159</v>
      </c>
      <c r="C5" s="323" t="str">
        <f>general!C4</f>
        <v xml:space="preserve">Prior Year </v>
      </c>
      <c r="D5" s="215" t="str">
        <f>general!D4</f>
        <v xml:space="preserve">Current Year </v>
      </c>
      <c r="E5" s="215" t="str">
        <f>general!E4</f>
        <v xml:space="preserve">Proposed Budget </v>
      </c>
    </row>
    <row r="6" spans="2:5">
      <c r="B6" s="484" t="str">
        <f>inputPrYr!B43</f>
        <v>Solid Waste Fund</v>
      </c>
      <c r="C6" s="315" t="str">
        <f>general!C5</f>
        <v>Actual for 2011</v>
      </c>
      <c r="D6" s="315" t="str">
        <f>general!D5</f>
        <v>Estimate for 2012</v>
      </c>
      <c r="E6" s="302" t="str">
        <f>general!E5</f>
        <v>Year for 2013</v>
      </c>
    </row>
    <row r="7" spans="2:5">
      <c r="B7" s="148" t="s">
        <v>280</v>
      </c>
      <c r="C7" s="112">
        <v>585233</v>
      </c>
      <c r="D7" s="265">
        <f>C30</f>
        <v>527602</v>
      </c>
      <c r="E7" s="265">
        <f>D30</f>
        <v>403669</v>
      </c>
    </row>
    <row r="8" spans="2:5">
      <c r="B8" s="336" t="s">
        <v>282</v>
      </c>
      <c r="C8" s="108"/>
      <c r="D8" s="108"/>
      <c r="E8" s="108"/>
    </row>
    <row r="9" spans="2:5">
      <c r="B9" s="318" t="s">
        <v>1011</v>
      </c>
      <c r="C9" s="112">
        <v>862125</v>
      </c>
      <c r="D9" s="112">
        <v>860000</v>
      </c>
      <c r="E9" s="112">
        <v>860000</v>
      </c>
    </row>
    <row r="10" spans="2:5">
      <c r="B10" s="318" t="s">
        <v>1008</v>
      </c>
      <c r="C10" s="112">
        <v>124550</v>
      </c>
      <c r="D10" s="112">
        <v>125000</v>
      </c>
      <c r="E10" s="112">
        <v>125000</v>
      </c>
    </row>
    <row r="11" spans="2:5">
      <c r="B11" s="318"/>
      <c r="C11" s="112"/>
      <c r="D11" s="112"/>
      <c r="E11" s="112"/>
    </row>
    <row r="12" spans="2:5">
      <c r="B12" s="308"/>
      <c r="C12" s="112"/>
      <c r="D12" s="112"/>
      <c r="E12" s="112"/>
    </row>
    <row r="13" spans="2:5">
      <c r="B13" s="309" t="s">
        <v>73</v>
      </c>
      <c r="C13" s="112"/>
      <c r="D13" s="304"/>
      <c r="E13" s="304"/>
    </row>
    <row r="14" spans="2:5">
      <c r="B14" s="309" t="s">
        <v>681</v>
      </c>
      <c r="C14" s="480" t="str">
        <f>IF(C15*0.1&lt;C13,"Exceed 10% Rule","")</f>
        <v/>
      </c>
      <c r="D14" s="310" t="str">
        <f>IF(D15*0.1&lt;D13,"Exceed 10% Rule","")</f>
        <v/>
      </c>
      <c r="E14" s="310" t="str">
        <f>IF(E15*0.1&lt;E13,"Exceed 10% Rule","")</f>
        <v/>
      </c>
    </row>
    <row r="15" spans="2:5">
      <c r="B15" s="311" t="s">
        <v>165</v>
      </c>
      <c r="C15" s="352">
        <f>SUM(C9:C13)</f>
        <v>986675</v>
      </c>
      <c r="D15" s="352">
        <f>SUM(D9:D13)</f>
        <v>985000</v>
      </c>
      <c r="E15" s="352">
        <f>SUM(E9:E13)</f>
        <v>985000</v>
      </c>
    </row>
    <row r="16" spans="2:5">
      <c r="B16" s="311" t="s">
        <v>166</v>
      </c>
      <c r="C16" s="352">
        <f>C15+C7</f>
        <v>1571908</v>
      </c>
      <c r="D16" s="352">
        <f>D15+D7</f>
        <v>1512602</v>
      </c>
      <c r="E16" s="352">
        <f>E15+E7</f>
        <v>1388669</v>
      </c>
    </row>
    <row r="17" spans="2:5">
      <c r="B17" s="148" t="s">
        <v>169</v>
      </c>
      <c r="C17" s="265"/>
      <c r="D17" s="265"/>
      <c r="E17" s="265"/>
    </row>
    <row r="18" spans="2:5">
      <c r="B18" s="318" t="s">
        <v>174</v>
      </c>
      <c r="C18" s="112">
        <v>320125</v>
      </c>
      <c r="D18" s="112">
        <v>349083</v>
      </c>
      <c r="E18" s="112">
        <v>364923</v>
      </c>
    </row>
    <row r="19" spans="2:5">
      <c r="B19" s="318" t="s">
        <v>175</v>
      </c>
      <c r="C19" s="112">
        <v>553144</v>
      </c>
      <c r="D19" s="112">
        <v>570650</v>
      </c>
      <c r="E19" s="112">
        <v>611675</v>
      </c>
    </row>
    <row r="20" spans="2:5">
      <c r="B20" s="318" t="s">
        <v>176</v>
      </c>
      <c r="C20" s="112">
        <v>76729</v>
      </c>
      <c r="D20" s="112">
        <v>93200</v>
      </c>
      <c r="E20" s="112">
        <v>109850</v>
      </c>
    </row>
    <row r="21" spans="2:5">
      <c r="B21" s="318" t="s">
        <v>1018</v>
      </c>
      <c r="C21" s="112">
        <v>96000</v>
      </c>
      <c r="D21" s="112">
        <v>96000</v>
      </c>
      <c r="E21" s="112">
        <v>96000</v>
      </c>
    </row>
    <row r="22" spans="2:5">
      <c r="B22" s="318" t="s">
        <v>958</v>
      </c>
      <c r="C22" s="112">
        <v>-1692</v>
      </c>
      <c r="D22" s="112">
        <v>0</v>
      </c>
      <c r="E22" s="112">
        <v>0</v>
      </c>
    </row>
    <row r="23" spans="2:5">
      <c r="B23" s="318"/>
      <c r="C23" s="112"/>
      <c r="D23" s="112"/>
      <c r="E23" s="112"/>
    </row>
    <row r="24" spans="2:5">
      <c r="B24" s="318"/>
      <c r="C24" s="112"/>
      <c r="D24" s="112"/>
      <c r="E24" s="112"/>
    </row>
    <row r="25" spans="2:5">
      <c r="B25" s="318"/>
      <c r="C25" s="112"/>
      <c r="D25" s="112"/>
      <c r="E25" s="112"/>
    </row>
    <row r="26" spans="2:5">
      <c r="B26" s="318"/>
      <c r="C26" s="112"/>
      <c r="D26" s="112"/>
      <c r="E26" s="112"/>
    </row>
    <row r="27" spans="2:5">
      <c r="B27" s="309" t="s">
        <v>73</v>
      </c>
      <c r="C27" s="112"/>
      <c r="D27" s="304"/>
      <c r="E27" s="304"/>
    </row>
    <row r="28" spans="2:5">
      <c r="B28" s="309" t="s">
        <v>680</v>
      </c>
      <c r="C28" s="480" t="str">
        <f>IF(C29*0.1&lt;C27,"Exceed 10% Rule","")</f>
        <v/>
      </c>
      <c r="D28" s="310" t="str">
        <f>IF(D29*0.1&lt;D27,"Exceed 10% Rule","")</f>
        <v/>
      </c>
      <c r="E28" s="310" t="str">
        <f>IF(E29*0.1&lt;E27,"Exceed 10% Rule","")</f>
        <v/>
      </c>
    </row>
    <row r="29" spans="2:5">
      <c r="B29" s="311" t="s">
        <v>170</v>
      </c>
      <c r="C29" s="352">
        <f>SUM(C18:C27)</f>
        <v>1044306</v>
      </c>
      <c r="D29" s="352">
        <f>SUM(D18:D27)</f>
        <v>1108933</v>
      </c>
      <c r="E29" s="352">
        <f>SUM(E18:E27)</f>
        <v>1182448</v>
      </c>
    </row>
    <row r="30" spans="2:5">
      <c r="B30" s="148" t="s">
        <v>281</v>
      </c>
      <c r="C30" s="120">
        <f>C16-C29</f>
        <v>527602</v>
      </c>
      <c r="D30" s="120">
        <f>D16-D29</f>
        <v>403669</v>
      </c>
      <c r="E30" s="120">
        <f>E16-E29</f>
        <v>206221</v>
      </c>
    </row>
    <row r="31" spans="2:5">
      <c r="B31" s="287" t="str">
        <f>CONCATENATE("",E$1-2,"/",E$1-1," Budget Authority Amount:")</f>
        <v>2011/2012 Budget Authority Amount:</v>
      </c>
      <c r="C31" s="279">
        <f>inputOth!B55</f>
        <v>1171441</v>
      </c>
      <c r="D31" s="279">
        <f>inputPrYr!D43</f>
        <v>1162368</v>
      </c>
      <c r="E31" s="479" t="str">
        <f>IF(E30&lt;0,"See Tab E","")</f>
        <v/>
      </c>
    </row>
    <row r="32" spans="2:5">
      <c r="B32" s="287"/>
      <c r="C32" s="321" t="str">
        <f>IF(C29&gt;C31,"See Tab A","")</f>
        <v/>
      </c>
      <c r="D32" s="321" t="str">
        <f>IF(D29&gt;D31,"See Tab C","")</f>
        <v/>
      </c>
      <c r="E32" s="145"/>
    </row>
    <row r="33" spans="2:5">
      <c r="B33" s="287"/>
      <c r="C33" s="321" t="str">
        <f>IF(C30&lt;0,"See Tab B","")</f>
        <v/>
      </c>
      <c r="D33" s="321" t="str">
        <f>IF(D30&lt;0,"See Tab D","")</f>
        <v/>
      </c>
      <c r="E33" s="145"/>
    </row>
    <row r="34" spans="2:5">
      <c r="B34" s="85"/>
      <c r="C34" s="145"/>
      <c r="D34" s="145"/>
      <c r="E34" s="145"/>
    </row>
    <row r="35" spans="2:5">
      <c r="B35" s="84" t="s">
        <v>159</v>
      </c>
      <c r="C35" s="327"/>
      <c r="D35" s="327"/>
      <c r="E35" s="327"/>
    </row>
    <row r="36" spans="2:5">
      <c r="B36" s="85"/>
      <c r="C36" s="323" t="str">
        <f t="shared" ref="C36:E37" si="0">C5</f>
        <v xml:space="preserve">Prior Year </v>
      </c>
      <c r="D36" s="215" t="str">
        <f t="shared" si="0"/>
        <v xml:space="preserve">Current Year </v>
      </c>
      <c r="E36" s="215" t="str">
        <f t="shared" si="0"/>
        <v xml:space="preserve">Proposed Budget </v>
      </c>
    </row>
    <row r="37" spans="2:5">
      <c r="B37" s="483" t="str">
        <f>inputPrYr!B44</f>
        <v>Office Annex Fund</v>
      </c>
      <c r="C37" s="315" t="str">
        <f t="shared" si="0"/>
        <v>Actual for 2011</v>
      </c>
      <c r="D37" s="315" t="str">
        <f t="shared" si="0"/>
        <v>Estimate for 2012</v>
      </c>
      <c r="E37" s="302" t="str">
        <f t="shared" si="0"/>
        <v>Year for 2013</v>
      </c>
    </row>
    <row r="38" spans="2:5">
      <c r="B38" s="148" t="s">
        <v>280</v>
      </c>
      <c r="C38" s="112">
        <v>212195</v>
      </c>
      <c r="D38" s="265">
        <f>C61</f>
        <v>246360</v>
      </c>
      <c r="E38" s="265">
        <f>D61</f>
        <v>80060</v>
      </c>
    </row>
    <row r="39" spans="2:5">
      <c r="B39" s="148" t="s">
        <v>282</v>
      </c>
      <c r="C39" s="108"/>
      <c r="D39" s="108"/>
      <c r="E39" s="108"/>
    </row>
    <row r="40" spans="2:5">
      <c r="B40" s="318" t="s">
        <v>1019</v>
      </c>
      <c r="C40" s="112">
        <v>480464</v>
      </c>
      <c r="D40" s="112">
        <v>480000</v>
      </c>
      <c r="E40" s="112">
        <v>480000</v>
      </c>
    </row>
    <row r="41" spans="2:5">
      <c r="B41" s="318"/>
      <c r="C41" s="112"/>
      <c r="D41" s="112"/>
      <c r="E41" s="112"/>
    </row>
    <row r="42" spans="2:5">
      <c r="B42" s="318"/>
      <c r="C42" s="112"/>
      <c r="D42" s="112"/>
      <c r="E42" s="112"/>
    </row>
    <row r="43" spans="2:5">
      <c r="B43" s="308"/>
      <c r="C43" s="112"/>
      <c r="D43" s="112"/>
      <c r="E43" s="112"/>
    </row>
    <row r="44" spans="2:5">
      <c r="B44" s="309" t="s">
        <v>73</v>
      </c>
      <c r="C44" s="112"/>
      <c r="D44" s="304"/>
      <c r="E44" s="304"/>
    </row>
    <row r="45" spans="2:5">
      <c r="B45" s="309" t="s">
        <v>681</v>
      </c>
      <c r="C45" s="480" t="str">
        <f>IF(C46*0.1&lt;C44,"Exceed 10% Rule","")</f>
        <v/>
      </c>
      <c r="D45" s="310" t="str">
        <f>IF(D46*0.1&lt;D44,"Exceed 10% Rule","")</f>
        <v/>
      </c>
      <c r="E45" s="310" t="str">
        <f>IF(E46*0.1&lt;E44,"Exceed 10% Rule","")</f>
        <v/>
      </c>
    </row>
    <row r="46" spans="2:5">
      <c r="B46" s="311" t="s">
        <v>165</v>
      </c>
      <c r="C46" s="352">
        <f>SUM(C40:C44)</f>
        <v>480464</v>
      </c>
      <c r="D46" s="352">
        <f>SUM(D40:D44)</f>
        <v>480000</v>
      </c>
      <c r="E46" s="352">
        <f>SUM(E40:E44)</f>
        <v>480000</v>
      </c>
    </row>
    <row r="47" spans="2:5">
      <c r="B47" s="311" t="s">
        <v>166</v>
      </c>
      <c r="C47" s="352">
        <f>C38+C46</f>
        <v>692659</v>
      </c>
      <c r="D47" s="352">
        <f>D38+D46</f>
        <v>726360</v>
      </c>
      <c r="E47" s="352">
        <f>E38+E46</f>
        <v>560060</v>
      </c>
    </row>
    <row r="48" spans="2:5">
      <c r="B48" s="148" t="s">
        <v>169</v>
      </c>
      <c r="C48" s="265"/>
      <c r="D48" s="265"/>
      <c r="E48" s="265"/>
    </row>
    <row r="49" spans="2:5">
      <c r="B49" s="318" t="s">
        <v>174</v>
      </c>
      <c r="C49" s="112">
        <v>39230</v>
      </c>
      <c r="D49" s="112">
        <v>41523</v>
      </c>
      <c r="E49" s="112">
        <v>41911</v>
      </c>
    </row>
    <row r="50" spans="2:5">
      <c r="B50" s="318" t="s">
        <v>175</v>
      </c>
      <c r="C50" s="112">
        <v>365278</v>
      </c>
      <c r="D50" s="112">
        <v>373347</v>
      </c>
      <c r="E50" s="112">
        <v>289459</v>
      </c>
    </row>
    <row r="51" spans="2:5">
      <c r="B51" s="318" t="s">
        <v>176</v>
      </c>
      <c r="C51" s="112">
        <v>10232</v>
      </c>
      <c r="D51" s="112">
        <v>13500</v>
      </c>
      <c r="E51" s="112">
        <v>13750</v>
      </c>
    </row>
    <row r="52" spans="2:5">
      <c r="B52" s="318" t="s">
        <v>1006</v>
      </c>
      <c r="C52" s="112">
        <v>0</v>
      </c>
      <c r="D52" s="112">
        <v>167930</v>
      </c>
      <c r="E52" s="112">
        <v>130000</v>
      </c>
    </row>
    <row r="53" spans="2:5">
      <c r="B53" s="318" t="s">
        <v>177</v>
      </c>
      <c r="C53" s="112">
        <v>31967</v>
      </c>
      <c r="D53" s="112">
        <v>50000</v>
      </c>
      <c r="E53" s="112">
        <v>84940</v>
      </c>
    </row>
    <row r="54" spans="2:5">
      <c r="B54" s="318" t="s">
        <v>958</v>
      </c>
      <c r="C54" s="112">
        <v>-408</v>
      </c>
      <c r="D54" s="112">
        <v>0</v>
      </c>
      <c r="E54" s="112">
        <v>0</v>
      </c>
    </row>
    <row r="55" spans="2:5">
      <c r="B55" s="318"/>
      <c r="C55" s="112"/>
      <c r="D55" s="112"/>
      <c r="E55" s="112"/>
    </row>
    <row r="56" spans="2:5">
      <c r="B56" s="318"/>
      <c r="C56" s="112"/>
      <c r="D56" s="112"/>
      <c r="E56" s="112"/>
    </row>
    <row r="57" spans="2:5">
      <c r="B57" s="318"/>
      <c r="C57" s="112"/>
      <c r="D57" s="112"/>
      <c r="E57" s="112"/>
    </row>
    <row r="58" spans="2:5">
      <c r="B58" s="309" t="s">
        <v>73</v>
      </c>
      <c r="C58" s="112"/>
      <c r="D58" s="304"/>
      <c r="E58" s="304"/>
    </row>
    <row r="59" spans="2:5">
      <c r="B59" s="309" t="s">
        <v>680</v>
      </c>
      <c r="C59" s="480" t="str">
        <f>IF(C60*0.1&lt;C58,"Exceed 10% Rule","")</f>
        <v/>
      </c>
      <c r="D59" s="310" t="str">
        <f>IF(D60*0.1&lt;D58,"Exceed 10% Rule","")</f>
        <v/>
      </c>
      <c r="E59" s="310" t="str">
        <f>IF(E60*0.1&lt;E58,"Exceed 10% Rule","")</f>
        <v/>
      </c>
    </row>
    <row r="60" spans="2:5">
      <c r="B60" s="311" t="s">
        <v>170</v>
      </c>
      <c r="C60" s="352">
        <f>SUM(C49:C58)</f>
        <v>446299</v>
      </c>
      <c r="D60" s="352">
        <f>SUM(D49:D58)</f>
        <v>646300</v>
      </c>
      <c r="E60" s="352">
        <f>SUM(E49:E58)</f>
        <v>560060</v>
      </c>
    </row>
    <row r="61" spans="2:5">
      <c r="B61" s="148" t="s">
        <v>281</v>
      </c>
      <c r="C61" s="120">
        <f>C47-C60</f>
        <v>246360</v>
      </c>
      <c r="D61" s="120">
        <f>D47-D60</f>
        <v>80060</v>
      </c>
      <c r="E61" s="120">
        <f>E47-E60</f>
        <v>0</v>
      </c>
    </row>
    <row r="62" spans="2:5">
      <c r="B62" s="287" t="str">
        <f>CONCATENATE("",E$1-2,"/",E$1-1," Budget Authority Amount:")</f>
        <v>2011/2012 Budget Authority Amount:</v>
      </c>
      <c r="C62" s="279">
        <f>inputOth!B56</f>
        <v>705133</v>
      </c>
      <c r="D62" s="279">
        <f>inputPrYr!D44</f>
        <v>737074</v>
      </c>
      <c r="E62" s="478" t="str">
        <f>IF(E61&lt;0,"See Tab E","")</f>
        <v/>
      </c>
    </row>
    <row r="63" spans="2:5">
      <c r="B63" s="287"/>
      <c r="C63" s="321" t="str">
        <f>IF(C60&gt;C62,"See Tab A","")</f>
        <v/>
      </c>
      <c r="D63" s="321" t="str">
        <f>IF(D60&gt;D62,"See Tab C","")</f>
        <v/>
      </c>
      <c r="E63" s="85"/>
    </row>
    <row r="64" spans="2:5">
      <c r="B64" s="287"/>
      <c r="C64" s="321" t="str">
        <f>IF(C61&lt;0,"See Tab B","")</f>
        <v/>
      </c>
      <c r="D64" s="321" t="str">
        <f>IF(D61&lt;0,"See Tab D","")</f>
        <v/>
      </c>
      <c r="E64" s="85"/>
    </row>
    <row r="65" spans="2:5">
      <c r="B65" s="85"/>
      <c r="C65" s="85"/>
      <c r="D65" s="85"/>
      <c r="E65" s="85"/>
    </row>
    <row r="66" spans="2:5">
      <c r="B66" s="287" t="s">
        <v>190</v>
      </c>
      <c r="C66" s="349"/>
      <c r="D66" s="85"/>
      <c r="E66" s="85"/>
    </row>
  </sheetData>
  <sheetProtection sheet="1"/>
  <phoneticPr fontId="0" type="noConversion"/>
  <conditionalFormatting sqref="C27">
    <cfRule type="cellIs" dxfId="152" priority="7" stopIfTrue="1" operator="greaterThan">
      <formula>$C$29*0.1</formula>
    </cfRule>
  </conditionalFormatting>
  <conditionalFormatting sqref="D27">
    <cfRule type="cellIs" dxfId="151" priority="8" stopIfTrue="1" operator="greaterThan">
      <formula>$D$29*0.1</formula>
    </cfRule>
  </conditionalFormatting>
  <conditionalFormatting sqref="E27">
    <cfRule type="cellIs" dxfId="150" priority="9" stopIfTrue="1" operator="greaterThan">
      <formula>$E$29*0.1</formula>
    </cfRule>
  </conditionalFormatting>
  <conditionalFormatting sqref="C13">
    <cfRule type="cellIs" dxfId="149" priority="10" stopIfTrue="1" operator="greaterThan">
      <formula>$C$15*0.1</formula>
    </cfRule>
  </conditionalFormatting>
  <conditionalFormatting sqref="D13">
    <cfRule type="cellIs" dxfId="148" priority="11" stopIfTrue="1" operator="greaterThan">
      <formula>$D$15*0.1</formula>
    </cfRule>
  </conditionalFormatting>
  <conditionalFormatting sqref="E13">
    <cfRule type="cellIs" dxfId="147" priority="12" stopIfTrue="1" operator="greaterThan">
      <formula>$E$15*0.1</formula>
    </cfRule>
  </conditionalFormatting>
  <conditionalFormatting sqref="C44">
    <cfRule type="cellIs" dxfId="146" priority="13" stopIfTrue="1" operator="greaterThan">
      <formula>$C$46*0.1</formula>
    </cfRule>
  </conditionalFormatting>
  <conditionalFormatting sqref="D44">
    <cfRule type="cellIs" dxfId="145" priority="14" stopIfTrue="1" operator="greaterThan">
      <formula>$D$46*0.1</formula>
    </cfRule>
  </conditionalFormatting>
  <conditionalFormatting sqref="E44">
    <cfRule type="cellIs" dxfId="144" priority="15" stopIfTrue="1" operator="greaterThan">
      <formula>$E$46*0.1</formula>
    </cfRule>
  </conditionalFormatting>
  <conditionalFormatting sqref="C58">
    <cfRule type="cellIs" dxfId="143" priority="16" stopIfTrue="1" operator="greaterThan">
      <formula>$C$60*0.1</formula>
    </cfRule>
  </conditionalFormatting>
  <conditionalFormatting sqref="D58">
    <cfRule type="cellIs" dxfId="142" priority="17" stopIfTrue="1" operator="greaterThan">
      <formula>$D$60*0.1</formula>
    </cfRule>
  </conditionalFormatting>
  <conditionalFormatting sqref="E58">
    <cfRule type="cellIs" dxfId="141" priority="18" stopIfTrue="1" operator="greaterThan">
      <formula>$E$60*0.1</formula>
    </cfRule>
  </conditionalFormatting>
  <conditionalFormatting sqref="E61 C61 E30">
    <cfRule type="cellIs" dxfId="140" priority="19" stopIfTrue="1" operator="lessThan">
      <formula>0</formula>
    </cfRule>
  </conditionalFormatting>
  <conditionalFormatting sqref="D60">
    <cfRule type="cellIs" dxfId="139" priority="20" stopIfTrue="1" operator="greaterThan">
      <formula>$D$62</formula>
    </cfRule>
  </conditionalFormatting>
  <conditionalFormatting sqref="C60">
    <cfRule type="cellIs" dxfId="138" priority="21" stopIfTrue="1" operator="greaterThan">
      <formula>$C$62</formula>
    </cfRule>
  </conditionalFormatting>
  <conditionalFormatting sqref="C29">
    <cfRule type="cellIs" dxfId="137" priority="6" stopIfTrue="1" operator="greaterThan">
      <formula>$C$31</formula>
    </cfRule>
  </conditionalFormatting>
  <conditionalFormatting sqref="D29">
    <cfRule type="cellIs" dxfId="136" priority="5" stopIfTrue="1" operator="greaterThan">
      <formula>$D$31</formula>
    </cfRule>
  </conditionalFormatting>
  <conditionalFormatting sqref="C30">
    <cfRule type="cellIs" dxfId="135" priority="4" stopIfTrue="1" operator="lessThan">
      <formula>0</formula>
    </cfRule>
  </conditionalFormatting>
  <conditionalFormatting sqref="D30">
    <cfRule type="cellIs" dxfId="134" priority="2" stopIfTrue="1" operator="lessThan">
      <formula>0</formula>
    </cfRule>
    <cfRule type="cellIs" dxfId="133" priority="3" stopIfTrue="1" operator="lessThan">
      <formula>0</formula>
    </cfRule>
  </conditionalFormatting>
  <conditionalFormatting sqref="D61">
    <cfRule type="cellIs" dxfId="132" priority="1" stopIfTrue="1" operator="lessThan">
      <formula>0</formula>
    </cfRule>
  </conditionalFormatting>
  <pageMargins left="1.1200000000000001" right="0.5" top="0.74" bottom="0.34" header="0.5" footer="0"/>
  <pageSetup scale="70" orientation="portrait" blackAndWhite="1" r:id="rId1"/>
  <headerFooter alignWithMargins="0">
    <oddHeader xml:space="preserve">&amp;RState of Kansas
County
</oddHeader>
  </headerFooter>
</worksheet>
</file>

<file path=xl/worksheets/sheet3.xml><?xml version="1.0" encoding="utf-8"?>
<worksheet xmlns="http://schemas.openxmlformats.org/spreadsheetml/2006/main" xmlns:r="http://schemas.openxmlformats.org/officeDocument/2006/relationships">
  <dimension ref="A1:E70"/>
  <sheetViews>
    <sheetView topLeftCell="A44" workbookViewId="0">
      <selection activeCell="B68" sqref="B68"/>
    </sheetView>
  </sheetViews>
  <sheetFormatPr defaultColWidth="8.88671875" defaultRowHeight="15.75"/>
  <cols>
    <col min="1" max="1" width="15.77734375" style="72" customWidth="1"/>
    <col min="2" max="2" width="20.77734375" style="72" customWidth="1"/>
    <col min="3" max="3" width="9.77734375" style="72" customWidth="1"/>
    <col min="4" max="4" width="15.33203125" style="72" customWidth="1"/>
    <col min="5" max="5" width="15.77734375" style="72" customWidth="1"/>
    <col min="6" max="16384" width="8.88671875" style="72"/>
  </cols>
  <sheetData>
    <row r="1" spans="1:5">
      <c r="A1" s="144" t="str">
        <f>inputPrYr!C2</f>
        <v>Franklin County</v>
      </c>
      <c r="B1" s="125"/>
      <c r="C1" s="125"/>
      <c r="D1" s="125"/>
      <c r="E1" s="125">
        <f>inputPrYr!C4</f>
        <v>2013</v>
      </c>
    </row>
    <row r="2" spans="1:5">
      <c r="A2" s="144"/>
      <c r="B2" s="125"/>
      <c r="C2" s="125"/>
      <c r="D2" s="125"/>
      <c r="E2" s="125"/>
    </row>
    <row r="3" spans="1:5">
      <c r="A3" s="732" t="s">
        <v>58</v>
      </c>
      <c r="B3" s="733"/>
      <c r="C3" s="733"/>
      <c r="D3" s="733"/>
      <c r="E3" s="733"/>
    </row>
    <row r="4" spans="1:5">
      <c r="A4" s="125"/>
      <c r="B4" s="125"/>
      <c r="C4" s="125"/>
      <c r="D4" s="125"/>
      <c r="E4" s="125"/>
    </row>
    <row r="5" spans="1:5">
      <c r="A5" s="124" t="str">
        <f>CONCATENATE("From the County Clerks ",E1," Budget Information:")</f>
        <v>From the County Clerks 2013 Budget Information:</v>
      </c>
      <c r="B5" s="126"/>
      <c r="C5" s="95"/>
      <c r="D5" s="85"/>
      <c r="E5" s="145"/>
    </row>
    <row r="6" spans="1:5">
      <c r="A6" s="146" t="str">
        <f>CONCATENATE("Total Assessed Valuation for ",E1-1,"")</f>
        <v>Total Assessed Valuation for 2012</v>
      </c>
      <c r="B6" s="132"/>
      <c r="C6" s="132"/>
      <c r="D6" s="132"/>
      <c r="E6" s="112">
        <v>213159007</v>
      </c>
    </row>
    <row r="7" spans="1:5">
      <c r="A7" s="146" t="str">
        <f>CONCATENATE("New Improvements for ",E1-1,"")</f>
        <v>New Improvements for 2012</v>
      </c>
      <c r="B7" s="132"/>
      <c r="C7" s="132"/>
      <c r="D7" s="132"/>
      <c r="E7" s="147">
        <v>1606580</v>
      </c>
    </row>
    <row r="8" spans="1:5">
      <c r="A8" s="146" t="str">
        <f>CONCATENATE("Personal Property excluding oil, gas, and mobile homes- ",E1-1,"")</f>
        <v>Personal Property excluding oil, gas, and mobile homes- 2012</v>
      </c>
      <c r="B8" s="132"/>
      <c r="C8" s="132"/>
      <c r="D8" s="132"/>
      <c r="E8" s="147">
        <v>8841747</v>
      </c>
    </row>
    <row r="9" spans="1:5">
      <c r="A9" s="146" t="str">
        <f>CONCATENATE("Property that has changed in use for ",E1-1,"")</f>
        <v>Property that has changed in use for 2012</v>
      </c>
      <c r="B9" s="132"/>
      <c r="C9" s="132"/>
      <c r="D9" s="132"/>
      <c r="E9" s="147">
        <v>846441</v>
      </c>
    </row>
    <row r="10" spans="1:5">
      <c r="A10" s="146" t="str">
        <f>CONCATENATE("Personal Property excluding oil, gas, and mobile homes- ",E1-2,"")</f>
        <v>Personal Property excluding oil, gas, and mobile homes- 2011</v>
      </c>
      <c r="B10" s="132"/>
      <c r="C10" s="132"/>
      <c r="D10" s="132"/>
      <c r="E10" s="147">
        <v>9041043</v>
      </c>
    </row>
    <row r="11" spans="1:5">
      <c r="A11" s="146" t="str">
        <f>CONCATENATE("Gross earnings (intangible) tax esitmate for ",E1,"")</f>
        <v>Gross earnings (intangible) tax esitmate for 2013</v>
      </c>
      <c r="B11" s="132"/>
      <c r="C11" s="132"/>
      <c r="D11" s="132"/>
      <c r="E11" s="112">
        <v>0</v>
      </c>
    </row>
    <row r="12" spans="1:5">
      <c r="A12" s="148" t="s">
        <v>333</v>
      </c>
      <c r="B12" s="132"/>
      <c r="C12" s="132"/>
      <c r="D12" s="115"/>
      <c r="E12" s="112">
        <v>593278</v>
      </c>
    </row>
    <row r="13" spans="1:5">
      <c r="A13" s="85"/>
      <c r="B13" s="85"/>
      <c r="C13" s="85"/>
      <c r="D13" s="101"/>
      <c r="E13" s="101"/>
    </row>
    <row r="14" spans="1:5">
      <c r="A14" s="124" t="str">
        <f>CONCATENATE("From the County Treasurer's ",E1," Budget Information:")</f>
        <v>From the County Treasurer's 2013 Budget Information:</v>
      </c>
      <c r="B14" s="126"/>
      <c r="C14" s="126"/>
      <c r="D14" s="145"/>
      <c r="E14" s="145"/>
    </row>
    <row r="15" spans="1:5">
      <c r="A15" s="113" t="s">
        <v>131</v>
      </c>
      <c r="B15" s="114"/>
      <c r="C15" s="114"/>
      <c r="D15" s="149"/>
      <c r="E15" s="112">
        <v>1470414</v>
      </c>
    </row>
    <row r="16" spans="1:5">
      <c r="A16" s="146" t="s">
        <v>132</v>
      </c>
      <c r="B16" s="132"/>
      <c r="C16" s="132"/>
      <c r="D16" s="150"/>
      <c r="E16" s="112">
        <v>22676</v>
      </c>
    </row>
    <row r="17" spans="1:5">
      <c r="A17" s="146" t="s">
        <v>243</v>
      </c>
      <c r="B17" s="132"/>
      <c r="C17" s="132"/>
      <c r="D17" s="150"/>
      <c r="E17" s="112">
        <v>43315</v>
      </c>
    </row>
    <row r="18" spans="1:5">
      <c r="A18" s="146" t="s">
        <v>334</v>
      </c>
      <c r="B18" s="132"/>
      <c r="C18" s="132"/>
      <c r="D18" s="151"/>
      <c r="E18" s="112">
        <v>0</v>
      </c>
    </row>
    <row r="19" spans="1:5">
      <c r="A19" s="146" t="s">
        <v>335</v>
      </c>
      <c r="B19" s="132"/>
      <c r="C19" s="132"/>
      <c r="D19" s="151"/>
      <c r="E19" s="112">
        <v>0</v>
      </c>
    </row>
    <row r="20" spans="1:5">
      <c r="A20" s="85"/>
      <c r="B20" s="85"/>
      <c r="C20" s="85"/>
      <c r="D20" s="85"/>
      <c r="E20" s="85"/>
    </row>
    <row r="21" spans="1:5">
      <c r="A21" s="152" t="s">
        <v>336</v>
      </c>
      <c r="B21" s="85"/>
      <c r="C21" s="85"/>
      <c r="D21" s="85"/>
      <c r="E21" s="85"/>
    </row>
    <row r="22" spans="1:5">
      <c r="A22" s="698" t="str">
        <f>CONCATENATE("Actual Delinquency for ",E1-3," Tax - (rate .01213 = 1.213%, key in 1.2)")</f>
        <v>Actual Delinquency for 2010 Tax - (rate .01213 = 1.213%, key in 1.2)</v>
      </c>
      <c r="B22" s="114"/>
      <c r="C22" s="114"/>
      <c r="D22" s="119"/>
      <c r="E22" s="697">
        <v>2.5999999999999999E-2</v>
      </c>
    </row>
    <row r="23" spans="1:5">
      <c r="A23" s="701" t="s">
        <v>836</v>
      </c>
      <c r="B23" s="114"/>
      <c r="C23" s="114"/>
      <c r="D23" s="114"/>
      <c r="E23" s="700">
        <v>0.05</v>
      </c>
    </row>
    <row r="24" spans="1:5">
      <c r="A24" s="82" t="s">
        <v>337</v>
      </c>
      <c r="B24" s="82"/>
      <c r="C24" s="82"/>
      <c r="D24" s="82"/>
      <c r="E24" s="82"/>
    </row>
    <row r="25" spans="1:5">
      <c r="A25" s="154"/>
      <c r="B25" s="154"/>
      <c r="C25" s="154"/>
      <c r="D25" s="154"/>
      <c r="E25" s="154"/>
    </row>
    <row r="26" spans="1:5">
      <c r="A26" s="737" t="str">
        <f>CONCATENATE("From the ",E1-2," Budget Certificate Page")</f>
        <v>From the 2011 Budget Certificate Page</v>
      </c>
      <c r="B26" s="738"/>
      <c r="C26" s="154"/>
      <c r="D26" s="154"/>
      <c r="E26" s="154"/>
    </row>
    <row r="27" spans="1:5">
      <c r="A27" s="155"/>
      <c r="B27" s="739" t="str">
        <f>CONCATENATE("",E1-2,"                         Expenditure Amt Budget Authority")</f>
        <v>2011                         Expenditure Amt Budget Authority</v>
      </c>
      <c r="C27" s="742" t="str">
        <f>CONCATENATE("Note: If the ",E1-2," budget was amended, then the")</f>
        <v>Note: If the 2011 budget was amended, then the</v>
      </c>
      <c r="D27" s="743"/>
      <c r="E27" s="743"/>
    </row>
    <row r="28" spans="1:5">
      <c r="A28" s="156" t="s">
        <v>69</v>
      </c>
      <c r="B28" s="740"/>
      <c r="C28" s="157" t="s">
        <v>70</v>
      </c>
      <c r="D28" s="158"/>
      <c r="E28" s="158"/>
    </row>
    <row r="29" spans="1:5">
      <c r="A29" s="159"/>
      <c r="B29" s="741"/>
      <c r="C29" s="157" t="s">
        <v>71</v>
      </c>
      <c r="D29" s="158"/>
      <c r="E29" s="158"/>
    </row>
    <row r="30" spans="1:5">
      <c r="A30" s="160" t="str">
        <f>inputPrYr!B16</f>
        <v>General</v>
      </c>
      <c r="B30" s="161">
        <v>7560588</v>
      </c>
      <c r="C30" s="157"/>
      <c r="D30" s="158"/>
      <c r="E30" s="158"/>
    </row>
    <row r="31" spans="1:5">
      <c r="A31" s="160" t="str">
        <f>inputPrYr!B17</f>
        <v>Debt Service</v>
      </c>
      <c r="B31" s="105">
        <v>1204330</v>
      </c>
      <c r="C31" s="157"/>
      <c r="D31" s="158"/>
      <c r="E31" s="158"/>
    </row>
    <row r="32" spans="1:5">
      <c r="A32" s="160" t="str">
        <f>inputPrYr!B18</f>
        <v>Road &amp; Bridge</v>
      </c>
      <c r="B32" s="105">
        <v>5056663</v>
      </c>
      <c r="C32" s="154"/>
      <c r="D32" s="154"/>
      <c r="E32" s="154"/>
    </row>
    <row r="33" spans="1:5">
      <c r="A33" s="160" t="str">
        <f>inputPrYr!B19</f>
        <v>Special Road and Bridge</v>
      </c>
      <c r="B33" s="105">
        <v>290050</v>
      </c>
      <c r="C33" s="154"/>
      <c r="D33" s="154"/>
      <c r="E33" s="154"/>
    </row>
    <row r="34" spans="1:5">
      <c r="A34" s="160" t="str">
        <f>inputPrYr!B20</f>
        <v>Ambulance</v>
      </c>
      <c r="B34" s="105">
        <v>1476455</v>
      </c>
      <c r="C34" s="154"/>
      <c r="D34" s="154"/>
      <c r="E34" s="154"/>
    </row>
    <row r="35" spans="1:5">
      <c r="A35" s="160" t="str">
        <f>inputPrYr!B21</f>
        <v>Appraisal</v>
      </c>
      <c r="B35" s="105">
        <v>89979</v>
      </c>
      <c r="C35" s="154"/>
      <c r="D35" s="154"/>
      <c r="E35" s="154"/>
    </row>
    <row r="36" spans="1:5">
      <c r="A36" s="160" t="str">
        <f>inputPrYr!B22</f>
        <v>County Building</v>
      </c>
      <c r="B36" s="105">
        <v>251142</v>
      </c>
      <c r="C36" s="154"/>
      <c r="D36" s="154"/>
      <c r="E36" s="154"/>
    </row>
    <row r="37" spans="1:5">
      <c r="A37" s="160" t="str">
        <f>inputPrYr!B23</f>
        <v>Election</v>
      </c>
      <c r="B37" s="105">
        <v>144650</v>
      </c>
      <c r="C37" s="154"/>
      <c r="D37" s="154"/>
      <c r="E37" s="154"/>
    </row>
    <row r="38" spans="1:5">
      <c r="A38" s="160" t="str">
        <f>inputPrYr!B24</f>
        <v>Employee Benefit</v>
      </c>
      <c r="B38" s="105">
        <v>2886779</v>
      </c>
      <c r="C38" s="154"/>
      <c r="D38" s="154"/>
      <c r="E38" s="154"/>
    </row>
    <row r="39" spans="1:5">
      <c r="A39" s="160" t="str">
        <f>inputPrYr!B25</f>
        <v>Health Department</v>
      </c>
      <c r="B39" s="105">
        <v>807319</v>
      </c>
      <c r="C39" s="154"/>
      <c r="D39" s="154"/>
      <c r="E39" s="154"/>
    </row>
    <row r="40" spans="1:5">
      <c r="A40" s="160" t="str">
        <f>inputPrYr!B26</f>
        <v>Noxious Weeds</v>
      </c>
      <c r="B40" s="105">
        <v>184725</v>
      </c>
      <c r="C40" s="154"/>
      <c r="D40" s="154"/>
      <c r="E40" s="154"/>
    </row>
    <row r="41" spans="1:5">
      <c r="A41" s="160" t="str">
        <f>inputPrYr!B27</f>
        <v>Special Liability</v>
      </c>
      <c r="B41" s="105">
        <v>450527</v>
      </c>
      <c r="C41" s="154"/>
      <c r="D41" s="154"/>
      <c r="E41" s="154"/>
    </row>
    <row r="42" spans="1:5">
      <c r="A42" s="160" t="str">
        <f>inputPrYr!B28</f>
        <v>Conservation District</v>
      </c>
      <c r="B42" s="105">
        <v>43943</v>
      </c>
      <c r="C42" s="154"/>
      <c r="D42" s="154"/>
      <c r="E42" s="154"/>
    </row>
    <row r="43" spans="1:5">
      <c r="A43" s="160" t="str">
        <f>inputPrYr!B29</f>
        <v>Service for the Elderly</v>
      </c>
      <c r="B43" s="105">
        <v>166734</v>
      </c>
      <c r="C43" s="154"/>
      <c r="D43" s="154"/>
      <c r="E43" s="154"/>
    </row>
    <row r="44" spans="1:5">
      <c r="A44" s="160" t="str">
        <f>inputPrYr!B30</f>
        <v>Extension Council</v>
      </c>
      <c r="B44" s="105">
        <v>39135</v>
      </c>
      <c r="C44" s="154"/>
      <c r="D44" s="154"/>
      <c r="E44" s="154"/>
    </row>
    <row r="45" spans="1:5">
      <c r="A45" s="160" t="str">
        <f>inputPrYr!B31</f>
        <v>Fair Premium</v>
      </c>
      <c r="B45" s="105">
        <v>7027</v>
      </c>
      <c r="C45" s="154"/>
      <c r="D45" s="154"/>
      <c r="E45" s="154"/>
    </row>
    <row r="46" spans="1:5">
      <c r="A46" s="160" t="str">
        <f>inputPrYr!B32</f>
        <v>Fair Building</v>
      </c>
      <c r="B46" s="105">
        <v>7027</v>
      </c>
      <c r="C46" s="154"/>
      <c r="D46" s="154"/>
      <c r="E46" s="154"/>
    </row>
    <row r="47" spans="1:5">
      <c r="A47" s="160" t="str">
        <f>inputPrYr!B33</f>
        <v>Historical Society</v>
      </c>
      <c r="B47" s="105">
        <v>81313</v>
      </c>
      <c r="C47" s="154"/>
      <c r="D47" s="154"/>
      <c r="E47" s="154"/>
    </row>
    <row r="48" spans="1:5">
      <c r="A48" s="160" t="str">
        <f>inputPrYr!B34</f>
        <v>Mental Health</v>
      </c>
      <c r="B48" s="105">
        <v>145555</v>
      </c>
      <c r="C48" s="154"/>
      <c r="D48" s="154"/>
      <c r="E48" s="154"/>
    </row>
    <row r="49" spans="1:5">
      <c r="A49" s="160" t="str">
        <f>inputPrYr!B35</f>
        <v>Developmental Disabilities</v>
      </c>
      <c r="B49" s="105">
        <v>95362</v>
      </c>
      <c r="C49" s="154"/>
      <c r="D49" s="154"/>
      <c r="E49" s="154"/>
    </row>
    <row r="50" spans="1:5">
      <c r="A50" s="160">
        <f>inputPrYr!B36</f>
        <v>0</v>
      </c>
      <c r="B50" s="105"/>
      <c r="C50" s="154"/>
      <c r="D50" s="154"/>
      <c r="E50" s="154"/>
    </row>
    <row r="51" spans="1:5">
      <c r="A51" s="160">
        <f>inputPrYr!B37</f>
        <v>0</v>
      </c>
      <c r="B51" s="105"/>
      <c r="C51" s="154"/>
      <c r="D51" s="154"/>
      <c r="E51" s="154"/>
    </row>
    <row r="52" spans="1:5">
      <c r="A52" s="160">
        <f>inputPrYr!B38</f>
        <v>0</v>
      </c>
      <c r="B52" s="105"/>
      <c r="C52" s="154"/>
      <c r="D52" s="154"/>
      <c r="E52" s="154"/>
    </row>
    <row r="53" spans="1:5">
      <c r="A53" s="160">
        <f>inputPrYr!B39</f>
        <v>0</v>
      </c>
      <c r="B53" s="105"/>
      <c r="C53" s="154"/>
      <c r="D53" s="154"/>
      <c r="E53" s="154"/>
    </row>
    <row r="54" spans="1:5">
      <c r="A54" s="160">
        <f>inputPrYr!B40</f>
        <v>0</v>
      </c>
      <c r="B54" s="105"/>
      <c r="C54" s="154"/>
      <c r="D54" s="154"/>
      <c r="E54" s="154"/>
    </row>
    <row r="55" spans="1:5">
      <c r="A55" s="160" t="str">
        <f>inputPrYr!B43</f>
        <v>Solid Waste Fund</v>
      </c>
      <c r="B55" s="105">
        <v>1171441</v>
      </c>
      <c r="C55" s="154"/>
      <c r="D55" s="154"/>
      <c r="E55" s="154"/>
    </row>
    <row r="56" spans="1:5">
      <c r="A56" s="160" t="str">
        <f>inputPrYr!B44</f>
        <v>Office Annex Fund</v>
      </c>
      <c r="B56" s="105">
        <v>705133</v>
      </c>
      <c r="C56" s="154"/>
      <c r="D56" s="154"/>
      <c r="E56" s="154"/>
    </row>
    <row r="57" spans="1:5">
      <c r="A57" s="160" t="str">
        <f>inputPrYr!B45</f>
        <v>Centropolis Sewer Fund</v>
      </c>
      <c r="B57" s="105">
        <v>49851</v>
      </c>
      <c r="C57" s="154"/>
      <c r="D57" s="154"/>
      <c r="E57" s="154"/>
    </row>
    <row r="58" spans="1:5">
      <c r="A58" s="160" t="str">
        <f>inputPrYr!B46</f>
        <v>Country Estate Benefit</v>
      </c>
      <c r="B58" s="105">
        <v>12930</v>
      </c>
      <c r="C58" s="154"/>
      <c r="D58" s="154"/>
      <c r="E58" s="154"/>
    </row>
    <row r="59" spans="1:5">
      <c r="A59" s="160" t="str">
        <f>inputPrYr!B47</f>
        <v>Emergency Phone Equipment</v>
      </c>
      <c r="B59" s="105">
        <v>100000</v>
      </c>
      <c r="C59" s="154"/>
      <c r="D59" s="154"/>
      <c r="E59" s="154"/>
    </row>
    <row r="60" spans="1:5">
      <c r="A60" s="160" t="str">
        <f>inputPrYr!B48</f>
        <v>Wireless Phone Equipment</v>
      </c>
      <c r="B60" s="105">
        <v>50000</v>
      </c>
      <c r="C60" s="154"/>
      <c r="D60" s="154"/>
      <c r="E60" s="154"/>
    </row>
    <row r="61" spans="1:5">
      <c r="A61" s="160" t="str">
        <f>inputPrYr!B49</f>
        <v>Risk Management Fund</v>
      </c>
      <c r="B61" s="105">
        <v>100073</v>
      </c>
      <c r="C61" s="154"/>
      <c r="D61" s="154"/>
      <c r="E61" s="154"/>
    </row>
    <row r="62" spans="1:5">
      <c r="A62" s="160" t="str">
        <f>inputPrYr!B50</f>
        <v>Special Alcohol Fund</v>
      </c>
      <c r="B62" s="105">
        <v>8098</v>
      </c>
      <c r="C62" s="154"/>
      <c r="D62" s="154"/>
      <c r="E62" s="154"/>
    </row>
    <row r="63" spans="1:5">
      <c r="A63" s="160" t="str">
        <f>inputPrYr!B51</f>
        <v>Special Parks and Recreation</v>
      </c>
      <c r="B63" s="105">
        <v>2100</v>
      </c>
      <c r="C63" s="154"/>
      <c r="D63" s="154"/>
      <c r="E63" s="154"/>
    </row>
    <row r="64" spans="1:5">
      <c r="A64" s="160" t="str">
        <f>inputPrYr!B52</f>
        <v>Tourism and Convention</v>
      </c>
      <c r="B64" s="105">
        <v>165000</v>
      </c>
      <c r="C64" s="154"/>
      <c r="D64" s="154"/>
      <c r="E64" s="154"/>
    </row>
    <row r="65" spans="1:5">
      <c r="A65" s="160" t="str">
        <f>inputPrYr!B53</f>
        <v>County Wide Phones</v>
      </c>
      <c r="B65" s="105">
        <v>200000</v>
      </c>
      <c r="C65" s="154"/>
      <c r="D65" s="154"/>
      <c r="E65" s="154"/>
    </row>
    <row r="66" spans="1:5">
      <c r="A66" s="160" t="str">
        <f>inputPrYr!B54</f>
        <v>Noxious Weeds Capital</v>
      </c>
      <c r="B66" s="105">
        <v>15000</v>
      </c>
      <c r="C66" s="154"/>
      <c r="D66" s="154"/>
      <c r="E66" s="154"/>
    </row>
    <row r="67" spans="1:5">
      <c r="A67" s="160" t="str">
        <f>inputPrYr!B55</f>
        <v>Hospital Sales Tax</v>
      </c>
      <c r="B67" s="105">
        <v>1500000</v>
      </c>
      <c r="C67" s="154"/>
      <c r="D67" s="154"/>
      <c r="E67" s="154"/>
    </row>
    <row r="68" spans="1:5">
      <c r="A68" s="160" t="str">
        <f>inputPrYr!B56</f>
        <v>911 Phone Tax</v>
      </c>
      <c r="B68" s="105"/>
      <c r="C68" s="154"/>
      <c r="D68" s="154"/>
      <c r="E68" s="154"/>
    </row>
    <row r="69" spans="1:5">
      <c r="A69" s="160">
        <f>inputPrYr!B57</f>
        <v>0</v>
      </c>
      <c r="B69" s="105"/>
      <c r="C69" s="154"/>
      <c r="D69" s="154"/>
      <c r="E69" s="154"/>
    </row>
    <row r="70" spans="1:5">
      <c r="A70" s="160">
        <f>inputPrYr!B58</f>
        <v>0</v>
      </c>
      <c r="B70" s="105"/>
      <c r="C70" s="154"/>
      <c r="D70" s="154"/>
      <c r="E70" s="154"/>
    </row>
  </sheetData>
  <sheetProtection sheet="1"/>
  <mergeCells count="4">
    <mergeCell ref="A3:E3"/>
    <mergeCell ref="A26:B26"/>
    <mergeCell ref="B27:B29"/>
    <mergeCell ref="C27:E27"/>
  </mergeCells>
  <phoneticPr fontId="8" type="noConversion"/>
  <pageMargins left="0.75" right="0.75" top="1" bottom="1"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sheetPr codeName="Sheet25">
    <pageSetUpPr fitToPage="1"/>
  </sheetPr>
  <dimension ref="B1:E66"/>
  <sheetViews>
    <sheetView topLeftCell="A6" workbookViewId="0">
      <selection activeCell="I56" sqref="I56"/>
    </sheetView>
  </sheetViews>
  <sheetFormatPr defaultColWidth="8.88671875" defaultRowHeight="15.75"/>
  <cols>
    <col min="1" max="1" width="2.44140625" style="72" customWidth="1"/>
    <col min="2" max="2" width="31.109375" style="72" customWidth="1"/>
    <col min="3" max="4" width="15.77734375" style="72" customWidth="1"/>
    <col min="5" max="5" width="16.109375" style="72" customWidth="1"/>
    <col min="6" max="16384" width="8.88671875" style="72"/>
  </cols>
  <sheetData>
    <row r="1" spans="2:5">
      <c r="B1" s="228" t="str">
        <f>(inputPrYr!C2)</f>
        <v>Franklin County</v>
      </c>
      <c r="C1" s="85"/>
      <c r="D1" s="85"/>
      <c r="E1" s="286">
        <f>inputPrYr!C4</f>
        <v>2013</v>
      </c>
    </row>
    <row r="2" spans="2:5">
      <c r="B2" s="85"/>
      <c r="C2" s="85"/>
      <c r="D2" s="85"/>
      <c r="E2" s="240"/>
    </row>
    <row r="3" spans="2:5">
      <c r="B3" s="152" t="s">
        <v>239</v>
      </c>
      <c r="C3" s="333"/>
      <c r="D3" s="333"/>
      <c r="E3" s="334"/>
    </row>
    <row r="4" spans="2:5">
      <c r="B4" s="85"/>
      <c r="C4" s="327"/>
      <c r="D4" s="327"/>
      <c r="E4" s="327"/>
    </row>
    <row r="5" spans="2:5">
      <c r="B5" s="84" t="s">
        <v>159</v>
      </c>
      <c r="C5" s="323" t="str">
        <f>general!C4</f>
        <v xml:space="preserve">Prior Year </v>
      </c>
      <c r="D5" s="215" t="str">
        <f>general!D4</f>
        <v xml:space="preserve">Current Year </v>
      </c>
      <c r="E5" s="215" t="str">
        <f>general!E4</f>
        <v xml:space="preserve">Proposed Budget </v>
      </c>
    </row>
    <row r="6" spans="2:5">
      <c r="B6" s="484" t="str">
        <f>inputPrYr!B45</f>
        <v>Centropolis Sewer Fund</v>
      </c>
      <c r="C6" s="315" t="str">
        <f>general!C5</f>
        <v>Actual for 2011</v>
      </c>
      <c r="D6" s="315" t="str">
        <f>general!D5</f>
        <v>Estimate for 2012</v>
      </c>
      <c r="E6" s="302" t="str">
        <f>general!E5</f>
        <v>Year for 2013</v>
      </c>
    </row>
    <row r="7" spans="2:5">
      <c r="B7" s="148" t="s">
        <v>280</v>
      </c>
      <c r="C7" s="112">
        <v>16314</v>
      </c>
      <c r="D7" s="265">
        <f>C30</f>
        <v>34327</v>
      </c>
      <c r="E7" s="265">
        <f>D30</f>
        <v>20599</v>
      </c>
    </row>
    <row r="8" spans="2:5">
      <c r="B8" s="336" t="s">
        <v>282</v>
      </c>
      <c r="C8" s="108"/>
      <c r="D8" s="108"/>
      <c r="E8" s="108"/>
    </row>
    <row r="9" spans="2:5">
      <c r="B9" s="318" t="s">
        <v>1020</v>
      </c>
      <c r="C9" s="112">
        <v>31158</v>
      </c>
      <c r="D9" s="112">
        <v>28000</v>
      </c>
      <c r="E9" s="112">
        <v>30000</v>
      </c>
    </row>
    <row r="10" spans="2:5">
      <c r="B10" s="318" t="s">
        <v>1008</v>
      </c>
      <c r="C10" s="112">
        <v>13615</v>
      </c>
      <c r="D10" s="112">
        <v>0</v>
      </c>
      <c r="E10" s="112">
        <v>0</v>
      </c>
    </row>
    <row r="11" spans="2:5">
      <c r="B11" s="318"/>
      <c r="C11" s="112"/>
      <c r="D11" s="112"/>
      <c r="E11" s="112"/>
    </row>
    <row r="12" spans="2:5">
      <c r="B12" s="308"/>
      <c r="C12" s="112"/>
      <c r="D12" s="112"/>
      <c r="E12" s="112"/>
    </row>
    <row r="13" spans="2:5">
      <c r="B13" s="309" t="s">
        <v>73</v>
      </c>
      <c r="C13" s="112"/>
      <c r="D13" s="304"/>
      <c r="E13" s="304"/>
    </row>
    <row r="14" spans="2:5">
      <c r="B14" s="309" t="s">
        <v>681</v>
      </c>
      <c r="C14" s="480" t="str">
        <f>IF(C15*0.1&lt;C13,"Exceed 10% Rule","")</f>
        <v/>
      </c>
      <c r="D14" s="310" t="str">
        <f>IF(D15*0.1&lt;D13,"Exceed 10% Rule","")</f>
        <v/>
      </c>
      <c r="E14" s="310" t="str">
        <f>IF(E15*0.1&lt;E13,"Exceed 10% Rule","")</f>
        <v/>
      </c>
    </row>
    <row r="15" spans="2:5">
      <c r="B15" s="311" t="s">
        <v>165</v>
      </c>
      <c r="C15" s="352">
        <f>SUM(C9:C13)</f>
        <v>44773</v>
      </c>
      <c r="D15" s="352">
        <f>SUM(D9:D13)</f>
        <v>28000</v>
      </c>
      <c r="E15" s="352">
        <f>SUM(E9:E13)</f>
        <v>30000</v>
      </c>
    </row>
    <row r="16" spans="2:5">
      <c r="B16" s="311" t="s">
        <v>166</v>
      </c>
      <c r="C16" s="352">
        <f>C15+C7</f>
        <v>61087</v>
      </c>
      <c r="D16" s="352">
        <f>D15+D7</f>
        <v>62327</v>
      </c>
      <c r="E16" s="352">
        <f>E15+E7</f>
        <v>50599</v>
      </c>
    </row>
    <row r="17" spans="2:5">
      <c r="B17" s="148" t="s">
        <v>169</v>
      </c>
      <c r="C17" s="265"/>
      <c r="D17" s="265"/>
      <c r="E17" s="265"/>
    </row>
    <row r="18" spans="2:5">
      <c r="B18" s="318" t="s">
        <v>175</v>
      </c>
      <c r="C18" s="112">
        <v>18402</v>
      </c>
      <c r="D18" s="112">
        <v>9722</v>
      </c>
      <c r="E18" s="112">
        <v>9820</v>
      </c>
    </row>
    <row r="19" spans="2:5">
      <c r="B19" s="318" t="s">
        <v>176</v>
      </c>
      <c r="C19" s="112">
        <v>0</v>
      </c>
      <c r="D19" s="112">
        <v>300</v>
      </c>
      <c r="E19" s="112">
        <v>280</v>
      </c>
    </row>
    <row r="20" spans="2:5">
      <c r="B20" s="318" t="s">
        <v>1021</v>
      </c>
      <c r="C20" s="112">
        <v>8358</v>
      </c>
      <c r="D20" s="112">
        <v>31706</v>
      </c>
      <c r="E20" s="112">
        <v>30419</v>
      </c>
    </row>
    <row r="21" spans="2:5">
      <c r="B21" s="318"/>
      <c r="C21" s="112"/>
      <c r="D21" s="112"/>
      <c r="E21" s="112"/>
    </row>
    <row r="22" spans="2:5">
      <c r="B22" s="318"/>
      <c r="C22" s="112"/>
      <c r="D22" s="112"/>
      <c r="E22" s="112"/>
    </row>
    <row r="23" spans="2:5">
      <c r="B23" s="318"/>
      <c r="C23" s="112"/>
      <c r="D23" s="112"/>
      <c r="E23" s="112"/>
    </row>
    <row r="24" spans="2:5">
      <c r="B24" s="318"/>
      <c r="C24" s="112"/>
      <c r="D24" s="112"/>
      <c r="E24" s="112"/>
    </row>
    <row r="25" spans="2:5">
      <c r="B25" s="318"/>
      <c r="C25" s="112"/>
      <c r="D25" s="112"/>
      <c r="E25" s="112"/>
    </row>
    <row r="26" spans="2:5">
      <c r="B26" s="318"/>
      <c r="C26" s="112"/>
      <c r="D26" s="112"/>
      <c r="E26" s="112"/>
    </row>
    <row r="27" spans="2:5">
      <c r="B27" s="309" t="s">
        <v>73</v>
      </c>
      <c r="C27" s="112"/>
      <c r="D27" s="304"/>
      <c r="E27" s="304"/>
    </row>
    <row r="28" spans="2:5">
      <c r="B28" s="309" t="s">
        <v>680</v>
      </c>
      <c r="C28" s="480" t="str">
        <f>IF(C29*0.1&lt;C27,"Exceed 10% Rule","")</f>
        <v/>
      </c>
      <c r="D28" s="310" t="str">
        <f>IF(D29*0.1&lt;D27,"Exceed 10% Rule","")</f>
        <v/>
      </c>
      <c r="E28" s="310" t="str">
        <f>IF(E29*0.1&lt;E27,"Exceed 10% Rule","")</f>
        <v/>
      </c>
    </row>
    <row r="29" spans="2:5">
      <c r="B29" s="311" t="s">
        <v>170</v>
      </c>
      <c r="C29" s="352">
        <f>SUM(C18:C27)</f>
        <v>26760</v>
      </c>
      <c r="D29" s="352">
        <f>SUM(D18:D27)</f>
        <v>41728</v>
      </c>
      <c r="E29" s="352">
        <f>SUM(E18:E27)</f>
        <v>40519</v>
      </c>
    </row>
    <row r="30" spans="2:5">
      <c r="B30" s="148" t="s">
        <v>281</v>
      </c>
      <c r="C30" s="120">
        <f>C16-C29</f>
        <v>34327</v>
      </c>
      <c r="D30" s="120">
        <f>D16-D29</f>
        <v>20599</v>
      </c>
      <c r="E30" s="120">
        <f>E16-E29</f>
        <v>10080</v>
      </c>
    </row>
    <row r="31" spans="2:5">
      <c r="B31" s="287" t="str">
        <f>CONCATENATE("",E$1-2,"/",E$1-1," Budget Authority Amount:")</f>
        <v>2011/2012 Budget Authority Amount:</v>
      </c>
      <c r="C31" s="279">
        <f>inputOth!B57</f>
        <v>49851</v>
      </c>
      <c r="D31" s="279">
        <f>inputPrYr!D45</f>
        <v>41728</v>
      </c>
      <c r="E31" s="479" t="str">
        <f>IF(E30&lt;0,"See Tab E","")</f>
        <v/>
      </c>
    </row>
    <row r="32" spans="2:5">
      <c r="B32" s="287"/>
      <c r="C32" s="321" t="str">
        <f>IF(C29&gt;C31,"See Tab A","")</f>
        <v/>
      </c>
      <c r="D32" s="321" t="str">
        <f>IF(D29&gt;D31,"See Tab C","")</f>
        <v/>
      </c>
      <c r="E32" s="145"/>
    </row>
    <row r="33" spans="2:5">
      <c r="B33" s="287"/>
      <c r="C33" s="321" t="str">
        <f>IF(C30&lt;0,"See Tab B","")</f>
        <v/>
      </c>
      <c r="D33" s="321" t="str">
        <f>IF(D30&lt;0,"See Tab D","")</f>
        <v/>
      </c>
      <c r="E33" s="145"/>
    </row>
    <row r="34" spans="2:5">
      <c r="B34" s="85"/>
      <c r="C34" s="145"/>
      <c r="D34" s="145"/>
      <c r="E34" s="145"/>
    </row>
    <row r="35" spans="2:5">
      <c r="B35" s="84" t="s">
        <v>159</v>
      </c>
      <c r="C35" s="327"/>
      <c r="D35" s="327"/>
      <c r="E35" s="327"/>
    </row>
    <row r="36" spans="2:5">
      <c r="B36" s="85"/>
      <c r="C36" s="323" t="str">
        <f t="shared" ref="C36:E37" si="0">C5</f>
        <v xml:space="preserve">Prior Year </v>
      </c>
      <c r="D36" s="215" t="str">
        <f t="shared" si="0"/>
        <v xml:space="preserve">Current Year </v>
      </c>
      <c r="E36" s="215" t="str">
        <f t="shared" si="0"/>
        <v xml:space="preserve">Proposed Budget </v>
      </c>
    </row>
    <row r="37" spans="2:5">
      <c r="B37" s="483" t="str">
        <f>inputPrYr!B46</f>
        <v>Country Estate Benefit</v>
      </c>
      <c r="C37" s="315" t="str">
        <f t="shared" si="0"/>
        <v>Actual for 2011</v>
      </c>
      <c r="D37" s="315" t="str">
        <f t="shared" si="0"/>
        <v>Estimate for 2012</v>
      </c>
      <c r="E37" s="315" t="str">
        <f t="shared" si="0"/>
        <v>Year for 2013</v>
      </c>
    </row>
    <row r="38" spans="2:5">
      <c r="B38" s="148" t="s">
        <v>280</v>
      </c>
      <c r="C38" s="112">
        <v>3195</v>
      </c>
      <c r="D38" s="265">
        <f>C61</f>
        <v>6807</v>
      </c>
      <c r="E38" s="265">
        <f>D61</f>
        <v>3207</v>
      </c>
    </row>
    <row r="39" spans="2:5">
      <c r="B39" s="148" t="s">
        <v>282</v>
      </c>
      <c r="C39" s="108"/>
      <c r="D39" s="108"/>
      <c r="E39" s="108"/>
    </row>
    <row r="40" spans="2:5">
      <c r="B40" s="318" t="s">
        <v>1022</v>
      </c>
      <c r="C40" s="112">
        <v>16542</v>
      </c>
      <c r="D40" s="112">
        <v>13335</v>
      </c>
      <c r="E40" s="112">
        <v>13335</v>
      </c>
    </row>
    <row r="41" spans="2:5">
      <c r="B41" s="318"/>
      <c r="C41" s="112"/>
      <c r="D41" s="112"/>
      <c r="E41" s="112"/>
    </row>
    <row r="42" spans="2:5">
      <c r="B42" s="318"/>
      <c r="C42" s="112"/>
      <c r="D42" s="112"/>
      <c r="E42" s="112"/>
    </row>
    <row r="43" spans="2:5">
      <c r="B43" s="308"/>
      <c r="C43" s="112"/>
      <c r="D43" s="112"/>
      <c r="E43" s="112"/>
    </row>
    <row r="44" spans="2:5">
      <c r="B44" s="309" t="s">
        <v>73</v>
      </c>
      <c r="C44" s="112"/>
      <c r="D44" s="304"/>
      <c r="E44" s="304"/>
    </row>
    <row r="45" spans="2:5">
      <c r="B45" s="309" t="s">
        <v>681</v>
      </c>
      <c r="C45" s="480" t="str">
        <f>IF(C46*0.1&lt;C44,"Exceed 10% Rule","")</f>
        <v/>
      </c>
      <c r="D45" s="310" t="str">
        <f>IF(D46*0.1&lt;D44,"Exceed 10% Rule","")</f>
        <v/>
      </c>
      <c r="E45" s="310" t="str">
        <f>IF(E46*0.1&lt;E44,"Exceed 10% Rule","")</f>
        <v/>
      </c>
    </row>
    <row r="46" spans="2:5">
      <c r="B46" s="311" t="s">
        <v>165</v>
      </c>
      <c r="C46" s="352">
        <f>SUM(C40:C44)</f>
        <v>16542</v>
      </c>
      <c r="D46" s="352">
        <f>SUM(D40:D44)</f>
        <v>13335</v>
      </c>
      <c r="E46" s="352">
        <f>SUM(E40:E44)</f>
        <v>13335</v>
      </c>
    </row>
    <row r="47" spans="2:5">
      <c r="B47" s="311" t="s">
        <v>166</v>
      </c>
      <c r="C47" s="352">
        <f>C38+C46</f>
        <v>19737</v>
      </c>
      <c r="D47" s="352">
        <f>D38+D46</f>
        <v>20142</v>
      </c>
      <c r="E47" s="352">
        <f>E38+E46</f>
        <v>16542</v>
      </c>
    </row>
    <row r="48" spans="2:5">
      <c r="B48" s="148" t="s">
        <v>169</v>
      </c>
      <c r="C48" s="265"/>
      <c r="D48" s="265"/>
      <c r="E48" s="265"/>
    </row>
    <row r="49" spans="2:5">
      <c r="B49" s="318" t="s">
        <v>1023</v>
      </c>
      <c r="C49" s="112">
        <v>12930</v>
      </c>
      <c r="D49" s="112">
        <v>16935</v>
      </c>
      <c r="E49" s="112">
        <v>16542</v>
      </c>
    </row>
    <row r="50" spans="2:5">
      <c r="B50" s="318"/>
      <c r="C50" s="112"/>
      <c r="D50" s="112"/>
      <c r="E50" s="112"/>
    </row>
    <row r="51" spans="2:5">
      <c r="B51" s="318"/>
      <c r="C51" s="112"/>
      <c r="D51" s="112"/>
      <c r="E51" s="112"/>
    </row>
    <row r="52" spans="2:5">
      <c r="B52" s="318"/>
      <c r="C52" s="112"/>
      <c r="D52" s="112"/>
      <c r="E52" s="112"/>
    </row>
    <row r="53" spans="2:5">
      <c r="B53" s="318"/>
      <c r="C53" s="112"/>
      <c r="D53" s="112"/>
      <c r="E53" s="112"/>
    </row>
    <row r="54" spans="2:5">
      <c r="B54" s="318"/>
      <c r="C54" s="112"/>
      <c r="D54" s="112"/>
      <c r="E54" s="112"/>
    </row>
    <row r="55" spans="2:5">
      <c r="B55" s="318"/>
      <c r="C55" s="112"/>
      <c r="D55" s="112"/>
      <c r="E55" s="112"/>
    </row>
    <row r="56" spans="2:5">
      <c r="B56" s="318"/>
      <c r="C56" s="112"/>
      <c r="D56" s="112"/>
      <c r="E56" s="112"/>
    </row>
    <row r="57" spans="2:5">
      <c r="B57" s="318"/>
      <c r="C57" s="112"/>
      <c r="D57" s="112"/>
      <c r="E57" s="112"/>
    </row>
    <row r="58" spans="2:5">
      <c r="B58" s="309" t="s">
        <v>73</v>
      </c>
      <c r="C58" s="112"/>
      <c r="D58" s="304"/>
      <c r="E58" s="304"/>
    </row>
    <row r="59" spans="2:5">
      <c r="B59" s="309" t="s">
        <v>680</v>
      </c>
      <c r="C59" s="480" t="str">
        <f>IF(C60*0.1&lt;C58,"Exceed 10% Rule","")</f>
        <v/>
      </c>
      <c r="D59" s="310" t="str">
        <f>IF(D60*0.1&lt;D58,"Exceed 10% Rule","")</f>
        <v/>
      </c>
      <c r="E59" s="310" t="str">
        <f>IF(E60*0.1&lt;E58,"Exceed 10% Rule","")</f>
        <v/>
      </c>
    </row>
    <row r="60" spans="2:5">
      <c r="B60" s="311" t="s">
        <v>170</v>
      </c>
      <c r="C60" s="352">
        <f>SUM(C49:C58)</f>
        <v>12930</v>
      </c>
      <c r="D60" s="352">
        <f>SUM(D49:D58)</f>
        <v>16935</v>
      </c>
      <c r="E60" s="352">
        <f>SUM(E49:E58)</f>
        <v>16542</v>
      </c>
    </row>
    <row r="61" spans="2:5">
      <c r="B61" s="148" t="s">
        <v>281</v>
      </c>
      <c r="C61" s="120">
        <f>C47-C60</f>
        <v>6807</v>
      </c>
      <c r="D61" s="120">
        <f>D47-D60</f>
        <v>3207</v>
      </c>
      <c r="E61" s="120">
        <f>E47-E60</f>
        <v>0</v>
      </c>
    </row>
    <row r="62" spans="2:5">
      <c r="B62" s="287" t="str">
        <f>CONCATENATE("",E$1-2,"/",E$1-1," Budget Authority Amount:")</f>
        <v>2011/2012 Budget Authority Amount:</v>
      </c>
      <c r="C62" s="279">
        <f>inputOth!B58</f>
        <v>12930</v>
      </c>
      <c r="D62" s="279">
        <f>inputPrYr!D46</f>
        <v>16935</v>
      </c>
      <c r="E62" s="478" t="str">
        <f>IF(E61&lt;0,"See Tab E","")</f>
        <v/>
      </c>
    </row>
    <row r="63" spans="2:5">
      <c r="B63" s="287"/>
      <c r="C63" s="321" t="str">
        <f>IF(C60&gt;C62,"See Tab A","")</f>
        <v/>
      </c>
      <c r="D63" s="321" t="str">
        <f>IF(D60&gt;D62,"See Tab C","")</f>
        <v/>
      </c>
      <c r="E63" s="85"/>
    </row>
    <row r="64" spans="2:5">
      <c r="B64" s="287"/>
      <c r="C64" s="321" t="str">
        <f>IF(C61&lt;0,"See Tab B","")</f>
        <v/>
      </c>
      <c r="D64" s="321" t="str">
        <f>IF(D61&lt;0,"See Tab D","")</f>
        <v/>
      </c>
      <c r="E64" s="85"/>
    </row>
    <row r="65" spans="2:5">
      <c r="B65" s="85"/>
      <c r="C65" s="85"/>
      <c r="D65" s="85"/>
      <c r="E65" s="85"/>
    </row>
    <row r="66" spans="2:5">
      <c r="B66" s="287" t="s">
        <v>190</v>
      </c>
      <c r="C66" s="349"/>
      <c r="D66" s="85"/>
      <c r="E66" s="85"/>
    </row>
  </sheetData>
  <sheetProtection sheet="1"/>
  <phoneticPr fontId="0" type="noConversion"/>
  <conditionalFormatting sqref="C27">
    <cfRule type="cellIs" dxfId="131" priority="3" stopIfTrue="1" operator="greaterThan">
      <formula>$C$29*0.1</formula>
    </cfRule>
  </conditionalFormatting>
  <conditionalFormatting sqref="D27">
    <cfRule type="cellIs" dxfId="130" priority="4" stopIfTrue="1" operator="greaterThan">
      <formula>$D$29*0.1</formula>
    </cfRule>
  </conditionalFormatting>
  <conditionalFormatting sqref="E27">
    <cfRule type="cellIs" dxfId="129" priority="5" stopIfTrue="1" operator="greaterThan">
      <formula>$E$29*0.1</formula>
    </cfRule>
  </conditionalFormatting>
  <conditionalFormatting sqref="C13">
    <cfRule type="cellIs" dxfId="128" priority="6" stopIfTrue="1" operator="greaterThan">
      <formula>$C$15*0.1</formula>
    </cfRule>
  </conditionalFormatting>
  <conditionalFormatting sqref="D13">
    <cfRule type="cellIs" dxfId="127" priority="7" stopIfTrue="1" operator="greaterThan">
      <formula>$D$15*0.1</formula>
    </cfRule>
  </conditionalFormatting>
  <conditionalFormatting sqref="E13">
    <cfRule type="cellIs" dxfId="126" priority="8" stopIfTrue="1" operator="greaterThan">
      <formula>$E$15*0.1</formula>
    </cfRule>
  </conditionalFormatting>
  <conditionalFormatting sqref="C44">
    <cfRule type="cellIs" dxfId="125" priority="9" stopIfTrue="1" operator="greaterThan">
      <formula>$C$46*0.1</formula>
    </cfRule>
  </conditionalFormatting>
  <conditionalFormatting sqref="D44">
    <cfRule type="cellIs" dxfId="124" priority="10" stopIfTrue="1" operator="greaterThan">
      <formula>$D$46*0.1</formula>
    </cfRule>
  </conditionalFormatting>
  <conditionalFormatting sqref="E44">
    <cfRule type="cellIs" dxfId="123" priority="11" stopIfTrue="1" operator="greaterThan">
      <formula>$E$46*0.1</formula>
    </cfRule>
  </conditionalFormatting>
  <conditionalFormatting sqref="C58">
    <cfRule type="cellIs" dxfId="122" priority="12" stopIfTrue="1" operator="greaterThan">
      <formula>$C$60*0.1</formula>
    </cfRule>
  </conditionalFormatting>
  <conditionalFormatting sqref="D58">
    <cfRule type="cellIs" dxfId="121" priority="13" stopIfTrue="1" operator="greaterThan">
      <formula>$D$60*0.1</formula>
    </cfRule>
  </conditionalFormatting>
  <conditionalFormatting sqref="E58">
    <cfRule type="cellIs" dxfId="120" priority="14" stopIfTrue="1" operator="greaterThan">
      <formula>$E$60*0.1</formula>
    </cfRule>
  </conditionalFormatting>
  <conditionalFormatting sqref="E30 C30 E61 C61">
    <cfRule type="cellIs" dxfId="119" priority="15" stopIfTrue="1" operator="lessThan">
      <formula>0</formula>
    </cfRule>
  </conditionalFormatting>
  <conditionalFormatting sqref="D29">
    <cfRule type="cellIs" dxfId="118" priority="16" stopIfTrue="1" operator="greaterThan">
      <formula>$D$31</formula>
    </cfRule>
  </conditionalFormatting>
  <conditionalFormatting sqref="C29">
    <cfRule type="cellIs" dxfId="117" priority="17" stopIfTrue="1" operator="greaterThan">
      <formula>$C$31</formula>
    </cfRule>
  </conditionalFormatting>
  <conditionalFormatting sqref="D60">
    <cfRule type="cellIs" dxfId="116" priority="18" stopIfTrue="1" operator="greaterThan">
      <formula>$D$62</formula>
    </cfRule>
  </conditionalFormatting>
  <conditionalFormatting sqref="C60">
    <cfRule type="cellIs" dxfId="115" priority="19" stopIfTrue="1" operator="greaterThan">
      <formula>$C$62</formula>
    </cfRule>
  </conditionalFormatting>
  <conditionalFormatting sqref="D30">
    <cfRule type="cellIs" dxfId="114" priority="2" stopIfTrue="1" operator="lessThan">
      <formula>0</formula>
    </cfRule>
  </conditionalFormatting>
  <conditionalFormatting sqref="D61">
    <cfRule type="cellIs" dxfId="113" priority="1" stopIfTrue="1" operator="lessThan">
      <formula>0</formula>
    </cfRule>
  </conditionalFormatting>
  <pageMargins left="1.1200000000000001" right="0.5" top="0.74" bottom="0.34" header="0.5" footer="0"/>
  <pageSetup scale="70" orientation="portrait" blackAndWhite="1" r:id="rId1"/>
  <headerFooter alignWithMargins="0">
    <oddHeader xml:space="preserve">&amp;RState of Kansas
County
</oddHeader>
  </headerFooter>
</worksheet>
</file>

<file path=xl/worksheets/sheet31.xml><?xml version="1.0" encoding="utf-8"?>
<worksheet xmlns="http://schemas.openxmlformats.org/spreadsheetml/2006/main" xmlns:r="http://schemas.openxmlformats.org/officeDocument/2006/relationships">
  <sheetPr codeName="Sheet26">
    <pageSetUpPr fitToPage="1"/>
  </sheetPr>
  <dimension ref="B1:E66"/>
  <sheetViews>
    <sheetView topLeftCell="A46" workbookViewId="0">
      <selection activeCell="I56" sqref="I56"/>
    </sheetView>
  </sheetViews>
  <sheetFormatPr defaultColWidth="8.88671875" defaultRowHeight="15.75"/>
  <cols>
    <col min="1" max="1" width="2.44140625" style="72" customWidth="1"/>
    <col min="2" max="2" width="31.109375" style="72" customWidth="1"/>
    <col min="3" max="4" width="15.77734375" style="72" customWidth="1"/>
    <col min="5" max="5" width="16.21875" style="72" customWidth="1"/>
    <col min="6" max="16384" width="8.88671875" style="72"/>
  </cols>
  <sheetData>
    <row r="1" spans="2:5">
      <c r="B1" s="228" t="str">
        <f>(inputPrYr!C2)</f>
        <v>Franklin County</v>
      </c>
      <c r="C1" s="85"/>
      <c r="D1" s="85"/>
      <c r="E1" s="286">
        <f>inputPrYr!C4</f>
        <v>2013</v>
      </c>
    </row>
    <row r="2" spans="2:5">
      <c r="B2" s="85"/>
      <c r="C2" s="85"/>
      <c r="D2" s="85"/>
      <c r="E2" s="240"/>
    </row>
    <row r="3" spans="2:5">
      <c r="B3" s="152" t="s">
        <v>239</v>
      </c>
      <c r="C3" s="333"/>
      <c r="D3" s="333"/>
      <c r="E3" s="334"/>
    </row>
    <row r="4" spans="2:5">
      <c r="B4" s="85"/>
      <c r="C4" s="327"/>
      <c r="D4" s="327"/>
      <c r="E4" s="327"/>
    </row>
    <row r="5" spans="2:5">
      <c r="B5" s="84" t="s">
        <v>159</v>
      </c>
      <c r="C5" s="323" t="str">
        <f>general!C4</f>
        <v xml:space="preserve">Prior Year </v>
      </c>
      <c r="D5" s="215" t="str">
        <f>general!D4</f>
        <v xml:space="preserve">Current Year </v>
      </c>
      <c r="E5" s="215" t="str">
        <f>general!E4</f>
        <v xml:space="preserve">Proposed Budget </v>
      </c>
    </row>
    <row r="6" spans="2:5">
      <c r="B6" s="484" t="str">
        <f>inputPrYr!B47</f>
        <v>Emergency Phone Equipment</v>
      </c>
      <c r="C6" s="315" t="str">
        <f>general!C5</f>
        <v>Actual for 2011</v>
      </c>
      <c r="D6" s="315" t="str">
        <f>general!D5</f>
        <v>Estimate for 2012</v>
      </c>
      <c r="E6" s="302" t="str">
        <f>general!E5</f>
        <v>Year for 2013</v>
      </c>
    </row>
    <row r="7" spans="2:5">
      <c r="B7" s="148" t="s">
        <v>280</v>
      </c>
      <c r="C7" s="112">
        <v>248456</v>
      </c>
      <c r="D7" s="265">
        <f>C30</f>
        <v>264156</v>
      </c>
      <c r="E7" s="265">
        <f>D30</f>
        <v>259156</v>
      </c>
    </row>
    <row r="8" spans="2:5">
      <c r="B8" s="336" t="s">
        <v>282</v>
      </c>
      <c r="C8" s="108"/>
      <c r="D8" s="108"/>
      <c r="E8" s="108"/>
    </row>
    <row r="9" spans="2:5">
      <c r="B9" s="318" t="s">
        <v>1024</v>
      </c>
      <c r="C9" s="112">
        <v>74908</v>
      </c>
      <c r="D9" s="112">
        <v>55000</v>
      </c>
      <c r="E9" s="112">
        <v>0</v>
      </c>
    </row>
    <row r="10" spans="2:5">
      <c r="B10" s="318"/>
      <c r="C10" s="112"/>
      <c r="D10" s="112"/>
      <c r="E10" s="112"/>
    </row>
    <row r="11" spans="2:5">
      <c r="B11" s="318"/>
      <c r="C11" s="112"/>
      <c r="D11" s="112"/>
      <c r="E11" s="112"/>
    </row>
    <row r="12" spans="2:5">
      <c r="B12" s="308"/>
      <c r="C12" s="112"/>
      <c r="D12" s="112"/>
      <c r="E12" s="112"/>
    </row>
    <row r="13" spans="2:5">
      <c r="B13" s="309" t="s">
        <v>73</v>
      </c>
      <c r="C13" s="112"/>
      <c r="D13" s="304"/>
      <c r="E13" s="304"/>
    </row>
    <row r="14" spans="2:5">
      <c r="B14" s="309" t="s">
        <v>681</v>
      </c>
      <c r="C14" s="480" t="str">
        <f>IF(C15*0.1&lt;C13,"Exceed 10% Rule","")</f>
        <v/>
      </c>
      <c r="D14" s="310" t="str">
        <f>IF(D15*0.1&lt;D13,"Exceed 10% Rule","")</f>
        <v/>
      </c>
      <c r="E14" s="310" t="str">
        <f>IF(E15*0.1&lt;E13,"Exceed 10% Rule","")</f>
        <v/>
      </c>
    </row>
    <row r="15" spans="2:5">
      <c r="B15" s="311" t="s">
        <v>165</v>
      </c>
      <c r="C15" s="352">
        <f>SUM(C9:C13)</f>
        <v>74908</v>
      </c>
      <c r="D15" s="352">
        <f>SUM(D9:D13)</f>
        <v>55000</v>
      </c>
      <c r="E15" s="352">
        <f>SUM(E9:E13)</f>
        <v>0</v>
      </c>
    </row>
    <row r="16" spans="2:5">
      <c r="B16" s="311" t="s">
        <v>166</v>
      </c>
      <c r="C16" s="352">
        <f>C15+C7</f>
        <v>323364</v>
      </c>
      <c r="D16" s="352">
        <f>D15+D7</f>
        <v>319156</v>
      </c>
      <c r="E16" s="352">
        <f>E15+E7</f>
        <v>259156</v>
      </c>
    </row>
    <row r="17" spans="2:5">
      <c r="B17" s="148" t="s">
        <v>169</v>
      </c>
      <c r="C17" s="265"/>
      <c r="D17" s="265"/>
      <c r="E17" s="265"/>
    </row>
    <row r="18" spans="2:5">
      <c r="B18" s="318" t="s">
        <v>1023</v>
      </c>
      <c r="C18" s="112">
        <v>59208</v>
      </c>
      <c r="D18" s="112">
        <v>60000</v>
      </c>
      <c r="E18" s="112">
        <v>0</v>
      </c>
    </row>
    <row r="19" spans="2:5">
      <c r="B19" s="318" t="s">
        <v>1025</v>
      </c>
      <c r="C19" s="112">
        <v>0</v>
      </c>
      <c r="D19" s="112">
        <v>0</v>
      </c>
      <c r="E19" s="112">
        <v>259156</v>
      </c>
    </row>
    <row r="20" spans="2:5">
      <c r="B20" s="318"/>
      <c r="C20" s="112"/>
      <c r="D20" s="112"/>
      <c r="E20" s="112"/>
    </row>
    <row r="21" spans="2:5">
      <c r="B21" s="318"/>
      <c r="C21" s="112"/>
      <c r="D21" s="112"/>
      <c r="E21" s="112"/>
    </row>
    <row r="22" spans="2:5">
      <c r="B22" s="318"/>
      <c r="C22" s="112"/>
      <c r="D22" s="112"/>
      <c r="E22" s="112"/>
    </row>
    <row r="23" spans="2:5">
      <c r="B23" s="318"/>
      <c r="C23" s="112"/>
      <c r="D23" s="112"/>
      <c r="E23" s="112"/>
    </row>
    <row r="24" spans="2:5">
      <c r="B24" s="318"/>
      <c r="C24" s="112"/>
      <c r="D24" s="112"/>
      <c r="E24" s="112"/>
    </row>
    <row r="25" spans="2:5">
      <c r="B25" s="318"/>
      <c r="C25" s="112"/>
      <c r="D25" s="112"/>
      <c r="E25" s="112"/>
    </row>
    <row r="26" spans="2:5">
      <c r="B26" s="318"/>
      <c r="C26" s="112"/>
      <c r="D26" s="112"/>
      <c r="E26" s="112"/>
    </row>
    <row r="27" spans="2:5">
      <c r="B27" s="309" t="s">
        <v>73</v>
      </c>
      <c r="C27" s="112"/>
      <c r="D27" s="304"/>
      <c r="E27" s="304"/>
    </row>
    <row r="28" spans="2:5">
      <c r="B28" s="309" t="s">
        <v>680</v>
      </c>
      <c r="C28" s="480" t="str">
        <f>IF(C29*0.1&lt;C27,"Exceed 10% Rule","")</f>
        <v/>
      </c>
      <c r="D28" s="310" t="str">
        <f>IF(D29*0.1&lt;D27,"Exceed 10% Rule","")</f>
        <v/>
      </c>
      <c r="E28" s="310" t="str">
        <f>IF(E29*0.1&lt;E27,"Exceed 10% Rule","")</f>
        <v/>
      </c>
    </row>
    <row r="29" spans="2:5">
      <c r="B29" s="311" t="s">
        <v>170</v>
      </c>
      <c r="C29" s="352">
        <f>SUM(C18:C27)</f>
        <v>59208</v>
      </c>
      <c r="D29" s="352">
        <f>SUM(D18:D27)</f>
        <v>60000</v>
      </c>
      <c r="E29" s="352">
        <f>SUM(E18:E27)</f>
        <v>259156</v>
      </c>
    </row>
    <row r="30" spans="2:5">
      <c r="B30" s="148" t="s">
        <v>281</v>
      </c>
      <c r="C30" s="120">
        <f>C16-C29</f>
        <v>264156</v>
      </c>
      <c r="D30" s="120">
        <f>D16-D29</f>
        <v>259156</v>
      </c>
      <c r="E30" s="120">
        <f>E16-E29</f>
        <v>0</v>
      </c>
    </row>
    <row r="31" spans="2:5">
      <c r="B31" s="287" t="str">
        <f>CONCATENATE("",E$1-2,"/",E$1-1," Budget Authority Amount:")</f>
        <v>2011/2012 Budget Authority Amount:</v>
      </c>
      <c r="C31" s="279">
        <f>inputOth!B59</f>
        <v>100000</v>
      </c>
      <c r="D31" s="279">
        <f>inputPrYr!D47</f>
        <v>398456</v>
      </c>
      <c r="E31" s="479" t="str">
        <f>IF(E30&lt;0,"See Tab E","")</f>
        <v/>
      </c>
    </row>
    <row r="32" spans="2:5">
      <c r="B32" s="287"/>
      <c r="C32" s="321" t="str">
        <f>IF(C29&gt;C31,"See Tab A","")</f>
        <v/>
      </c>
      <c r="D32" s="321" t="str">
        <f>IF(D29&gt;D31,"See Tab C","")</f>
        <v/>
      </c>
      <c r="E32" s="145"/>
    </row>
    <row r="33" spans="2:5">
      <c r="B33" s="287"/>
      <c r="C33" s="321" t="str">
        <f>IF(C30&lt;0,"See Tab B","")</f>
        <v/>
      </c>
      <c r="D33" s="321" t="str">
        <f>IF(D30&lt;0,"See Tab D","")</f>
        <v/>
      </c>
      <c r="E33" s="145"/>
    </row>
    <row r="34" spans="2:5">
      <c r="B34" s="85"/>
      <c r="C34" s="145"/>
      <c r="D34" s="145"/>
      <c r="E34" s="145"/>
    </row>
    <row r="35" spans="2:5">
      <c r="B35" s="84" t="s">
        <v>159</v>
      </c>
      <c r="C35" s="327"/>
      <c r="D35" s="327"/>
      <c r="E35" s="327"/>
    </row>
    <row r="36" spans="2:5">
      <c r="B36" s="85"/>
      <c r="C36" s="323" t="str">
        <f t="shared" ref="C36:E37" si="0">C5</f>
        <v xml:space="preserve">Prior Year </v>
      </c>
      <c r="D36" s="215" t="str">
        <f t="shared" si="0"/>
        <v xml:space="preserve">Current Year </v>
      </c>
      <c r="E36" s="215" t="str">
        <f t="shared" si="0"/>
        <v xml:space="preserve">Proposed Budget </v>
      </c>
    </row>
    <row r="37" spans="2:5">
      <c r="B37" s="483" t="str">
        <f>inputPrYr!B48</f>
        <v>Wireless Phone Equipment</v>
      </c>
      <c r="C37" s="315" t="str">
        <f t="shared" si="0"/>
        <v>Actual for 2011</v>
      </c>
      <c r="D37" s="315" t="str">
        <f t="shared" si="0"/>
        <v>Estimate for 2012</v>
      </c>
      <c r="E37" s="315" t="str">
        <f t="shared" si="0"/>
        <v>Year for 2013</v>
      </c>
    </row>
    <row r="38" spans="2:5">
      <c r="B38" s="148" t="s">
        <v>280</v>
      </c>
      <c r="C38" s="112">
        <v>65785</v>
      </c>
      <c r="D38" s="265">
        <f>C61</f>
        <v>108419</v>
      </c>
      <c r="E38" s="265">
        <f>D61</f>
        <v>133419</v>
      </c>
    </row>
    <row r="39" spans="2:5">
      <c r="B39" s="148" t="s">
        <v>282</v>
      </c>
      <c r="C39" s="108"/>
      <c r="D39" s="108"/>
      <c r="E39" s="108"/>
    </row>
    <row r="40" spans="2:5">
      <c r="B40" s="318" t="s">
        <v>1026</v>
      </c>
      <c r="C40" s="112">
        <v>58337</v>
      </c>
      <c r="D40" s="112">
        <v>40000</v>
      </c>
      <c r="E40" s="112">
        <v>0</v>
      </c>
    </row>
    <row r="41" spans="2:5">
      <c r="B41" s="318"/>
      <c r="C41" s="112"/>
      <c r="D41" s="112"/>
      <c r="E41" s="112"/>
    </row>
    <row r="42" spans="2:5">
      <c r="B42" s="318"/>
      <c r="C42" s="112"/>
      <c r="D42" s="112"/>
      <c r="E42" s="112"/>
    </row>
    <row r="43" spans="2:5">
      <c r="B43" s="308"/>
      <c r="C43" s="112"/>
      <c r="D43" s="112"/>
      <c r="E43" s="112"/>
    </row>
    <row r="44" spans="2:5">
      <c r="B44" s="309" t="s">
        <v>73</v>
      </c>
      <c r="C44" s="112"/>
      <c r="D44" s="304"/>
      <c r="E44" s="304"/>
    </row>
    <row r="45" spans="2:5">
      <c r="B45" s="309" t="s">
        <v>681</v>
      </c>
      <c r="C45" s="480" t="str">
        <f>IF(C46*0.1&lt;C44,"Exceed 10% Rule","")</f>
        <v/>
      </c>
      <c r="D45" s="310" t="str">
        <f>IF(D46*0.1&lt;D44,"Exceed 10% Rule","")</f>
        <v/>
      </c>
      <c r="E45" s="310" t="str">
        <f>IF(E46*0.1&lt;E44,"Exceed 10% Rule","")</f>
        <v/>
      </c>
    </row>
    <row r="46" spans="2:5">
      <c r="B46" s="311" t="s">
        <v>165</v>
      </c>
      <c r="C46" s="352">
        <f>SUM(C40:C44)</f>
        <v>58337</v>
      </c>
      <c r="D46" s="352">
        <f>SUM(D40:D44)</f>
        <v>40000</v>
      </c>
      <c r="E46" s="352">
        <f>SUM(E40:E44)</f>
        <v>0</v>
      </c>
    </row>
    <row r="47" spans="2:5">
      <c r="B47" s="311" t="s">
        <v>166</v>
      </c>
      <c r="C47" s="352">
        <f>C38+C46</f>
        <v>124122</v>
      </c>
      <c r="D47" s="352">
        <f>D38+D46</f>
        <v>148419</v>
      </c>
      <c r="E47" s="352">
        <f>E38+E46</f>
        <v>133419</v>
      </c>
    </row>
    <row r="48" spans="2:5">
      <c r="B48" s="148" t="s">
        <v>169</v>
      </c>
      <c r="C48" s="265"/>
      <c r="D48" s="265"/>
      <c r="E48" s="265"/>
    </row>
    <row r="49" spans="2:5">
      <c r="B49" s="318" t="s">
        <v>1023</v>
      </c>
      <c r="C49" s="112">
        <v>15703</v>
      </c>
      <c r="D49" s="112">
        <v>15000</v>
      </c>
      <c r="E49" s="112">
        <v>0</v>
      </c>
    </row>
    <row r="50" spans="2:5">
      <c r="B50" s="318" t="s">
        <v>1025</v>
      </c>
      <c r="C50" s="112">
        <v>0</v>
      </c>
      <c r="D50" s="112">
        <v>0</v>
      </c>
      <c r="E50" s="112">
        <v>133419</v>
      </c>
    </row>
    <row r="51" spans="2:5">
      <c r="B51" s="318"/>
      <c r="C51" s="112"/>
      <c r="D51" s="112"/>
      <c r="E51" s="112"/>
    </row>
    <row r="52" spans="2:5">
      <c r="B52" s="318"/>
      <c r="C52" s="112"/>
      <c r="D52" s="112"/>
      <c r="E52" s="112"/>
    </row>
    <row r="53" spans="2:5">
      <c r="B53" s="318"/>
      <c r="C53" s="112"/>
      <c r="D53" s="112"/>
      <c r="E53" s="112"/>
    </row>
    <row r="54" spans="2:5">
      <c r="B54" s="318"/>
      <c r="C54" s="112"/>
      <c r="D54" s="112"/>
      <c r="E54" s="112"/>
    </row>
    <row r="55" spans="2:5">
      <c r="B55" s="318"/>
      <c r="C55" s="112"/>
      <c r="D55" s="112"/>
      <c r="E55" s="112"/>
    </row>
    <row r="56" spans="2:5">
      <c r="B56" s="318"/>
      <c r="C56" s="112"/>
      <c r="D56" s="112"/>
      <c r="E56" s="112"/>
    </row>
    <row r="57" spans="2:5">
      <c r="B57" s="318"/>
      <c r="C57" s="112"/>
      <c r="D57" s="112"/>
      <c r="E57" s="112"/>
    </row>
    <row r="58" spans="2:5">
      <c r="B58" s="309" t="s">
        <v>73</v>
      </c>
      <c r="C58" s="112"/>
      <c r="D58" s="304"/>
      <c r="E58" s="304"/>
    </row>
    <row r="59" spans="2:5">
      <c r="B59" s="309" t="s">
        <v>680</v>
      </c>
      <c r="C59" s="480" t="str">
        <f>IF(C60*0.1&lt;C58,"Exceed 10% Rule","")</f>
        <v/>
      </c>
      <c r="D59" s="310" t="str">
        <f>IF(D60*0.1&lt;D58,"Exceed 10% Rule","")</f>
        <v/>
      </c>
      <c r="E59" s="310" t="str">
        <f>IF(E60*0.1&lt;E58,"Exceed 10% Rule","")</f>
        <v/>
      </c>
    </row>
    <row r="60" spans="2:5">
      <c r="B60" s="311" t="s">
        <v>170</v>
      </c>
      <c r="C60" s="352">
        <f>SUM(C49:C58)</f>
        <v>15703</v>
      </c>
      <c r="D60" s="352">
        <f>SUM(D49:D58)</f>
        <v>15000</v>
      </c>
      <c r="E60" s="352">
        <f>SUM(E49:E58)</f>
        <v>133419</v>
      </c>
    </row>
    <row r="61" spans="2:5">
      <c r="B61" s="148" t="s">
        <v>281</v>
      </c>
      <c r="C61" s="120">
        <f>C47-C60</f>
        <v>108419</v>
      </c>
      <c r="D61" s="120">
        <f>D47-D60</f>
        <v>133419</v>
      </c>
      <c r="E61" s="120">
        <f>E47-E60</f>
        <v>0</v>
      </c>
    </row>
    <row r="62" spans="2:5">
      <c r="B62" s="287" t="str">
        <f>CONCATENATE("",E$1-2,"/",E$1-1," Budget Authority Amount:")</f>
        <v>2011/2012 Budget Authority Amount:</v>
      </c>
      <c r="C62" s="279">
        <f>inputOth!B60</f>
        <v>50000</v>
      </c>
      <c r="D62" s="279">
        <f>inputPrYr!D48</f>
        <v>65785</v>
      </c>
      <c r="E62" s="478" t="str">
        <f>IF(E61&lt;0,"See Tab E","")</f>
        <v/>
      </c>
    </row>
    <row r="63" spans="2:5">
      <c r="B63" s="287"/>
      <c r="C63" s="321" t="str">
        <f>IF(C60&gt;C62,"See Tab A","")</f>
        <v/>
      </c>
      <c r="D63" s="321" t="str">
        <f>IF(D60&gt;D62,"See Tab C","")</f>
        <v/>
      </c>
      <c r="E63" s="85"/>
    </row>
    <row r="64" spans="2:5">
      <c r="B64" s="287"/>
      <c r="C64" s="321" t="str">
        <f>IF(C61&lt;0,"See Tab B","")</f>
        <v/>
      </c>
      <c r="D64" s="321" t="str">
        <f>IF(D61&lt;0,"See Tab D","")</f>
        <v/>
      </c>
      <c r="E64" s="85"/>
    </row>
    <row r="65" spans="2:5">
      <c r="B65" s="85"/>
      <c r="C65" s="85"/>
      <c r="D65" s="85"/>
      <c r="E65" s="85"/>
    </row>
    <row r="66" spans="2:5">
      <c r="B66" s="287" t="s">
        <v>190</v>
      </c>
      <c r="C66" s="349"/>
      <c r="D66" s="85"/>
      <c r="E66" s="85"/>
    </row>
  </sheetData>
  <sheetProtection sheet="1"/>
  <phoneticPr fontId="0" type="noConversion"/>
  <conditionalFormatting sqref="C27">
    <cfRule type="cellIs" dxfId="112" priority="3" stopIfTrue="1" operator="greaterThan">
      <formula>$C$29*0.1</formula>
    </cfRule>
  </conditionalFormatting>
  <conditionalFormatting sqref="D27">
    <cfRule type="cellIs" dxfId="111" priority="4" stopIfTrue="1" operator="greaterThan">
      <formula>$D$29*0.1</formula>
    </cfRule>
  </conditionalFormatting>
  <conditionalFormatting sqref="E27">
    <cfRule type="cellIs" dxfId="110" priority="5" stopIfTrue="1" operator="greaterThan">
      <formula>$E$29*0.1</formula>
    </cfRule>
  </conditionalFormatting>
  <conditionalFormatting sqref="C13">
    <cfRule type="cellIs" dxfId="109" priority="6" stopIfTrue="1" operator="greaterThan">
      <formula>$C$15*0.1</formula>
    </cfRule>
  </conditionalFormatting>
  <conditionalFormatting sqref="D13">
    <cfRule type="cellIs" dxfId="108" priority="7" stopIfTrue="1" operator="greaterThan">
      <formula>$D$15*0.1</formula>
    </cfRule>
  </conditionalFormatting>
  <conditionalFormatting sqref="E13">
    <cfRule type="cellIs" dxfId="107" priority="8" stopIfTrue="1" operator="greaterThan">
      <formula>$E$15*0.1</formula>
    </cfRule>
  </conditionalFormatting>
  <conditionalFormatting sqref="C44">
    <cfRule type="cellIs" dxfId="106" priority="9" stopIfTrue="1" operator="greaterThan">
      <formula>$C$46*0.1</formula>
    </cfRule>
  </conditionalFormatting>
  <conditionalFormatting sqref="D44">
    <cfRule type="cellIs" dxfId="105" priority="10" stopIfTrue="1" operator="greaterThan">
      <formula>$D$46*0.1</formula>
    </cfRule>
  </conditionalFormatting>
  <conditionalFormatting sqref="E44">
    <cfRule type="cellIs" dxfId="104" priority="11" stopIfTrue="1" operator="greaterThan">
      <formula>$E$46*0.1</formula>
    </cfRule>
  </conditionalFormatting>
  <conditionalFormatting sqref="C58">
    <cfRule type="cellIs" dxfId="103" priority="12" stopIfTrue="1" operator="greaterThan">
      <formula>$C$60*0.1</formula>
    </cfRule>
  </conditionalFormatting>
  <conditionalFormatting sqref="D58">
    <cfRule type="cellIs" dxfId="102" priority="13" stopIfTrue="1" operator="greaterThan">
      <formula>$D$60*0.1</formula>
    </cfRule>
  </conditionalFormatting>
  <conditionalFormatting sqref="E58">
    <cfRule type="cellIs" dxfId="101" priority="14" stopIfTrue="1" operator="greaterThan">
      <formula>$E$60*0.1</formula>
    </cfRule>
  </conditionalFormatting>
  <conditionalFormatting sqref="E30 C30 E61 C61">
    <cfRule type="cellIs" dxfId="100" priority="15" stopIfTrue="1" operator="lessThan">
      <formula>0</formula>
    </cfRule>
  </conditionalFormatting>
  <conditionalFormatting sqref="D29">
    <cfRule type="cellIs" dxfId="99" priority="16" stopIfTrue="1" operator="greaterThan">
      <formula>$D$31</formula>
    </cfRule>
  </conditionalFormatting>
  <conditionalFormatting sqref="C29">
    <cfRule type="cellIs" dxfId="98" priority="17" stopIfTrue="1" operator="greaterThan">
      <formula>$C$31</formula>
    </cfRule>
  </conditionalFormatting>
  <conditionalFormatting sqref="D60">
    <cfRule type="cellIs" dxfId="97" priority="18" stopIfTrue="1" operator="greaterThan">
      <formula>$D$62</formula>
    </cfRule>
  </conditionalFormatting>
  <conditionalFormatting sqref="C60">
    <cfRule type="cellIs" dxfId="96" priority="19" stopIfTrue="1" operator="greaterThan">
      <formula>$C$62</formula>
    </cfRule>
  </conditionalFormatting>
  <conditionalFormatting sqref="D30">
    <cfRule type="cellIs" dxfId="95" priority="2" stopIfTrue="1" operator="lessThan">
      <formula>0</formula>
    </cfRule>
  </conditionalFormatting>
  <conditionalFormatting sqref="D61">
    <cfRule type="cellIs" dxfId="94" priority="1" stopIfTrue="1" operator="lessThan">
      <formula>0</formula>
    </cfRule>
  </conditionalFormatting>
  <pageMargins left="1.1200000000000001" right="0.5" top="0.74" bottom="0.34" header="0.5" footer="0"/>
  <pageSetup scale="70" orientation="portrait" blackAndWhite="1" r:id="rId1"/>
  <headerFooter alignWithMargins="0">
    <oddHeader xml:space="preserve">&amp;RState of Kansas
County
</oddHeader>
  </headerFooter>
</worksheet>
</file>

<file path=xl/worksheets/sheet32.xml><?xml version="1.0" encoding="utf-8"?>
<worksheet xmlns="http://schemas.openxmlformats.org/spreadsheetml/2006/main" xmlns:r="http://schemas.openxmlformats.org/officeDocument/2006/relationships">
  <sheetPr codeName="Sheet27">
    <pageSetUpPr fitToPage="1"/>
  </sheetPr>
  <dimension ref="B1:E66"/>
  <sheetViews>
    <sheetView topLeftCell="A27" workbookViewId="0">
      <selection activeCell="I56" sqref="I56"/>
    </sheetView>
  </sheetViews>
  <sheetFormatPr defaultColWidth="8.88671875" defaultRowHeight="15.75"/>
  <cols>
    <col min="1" max="1" width="2.44140625" style="72" customWidth="1"/>
    <col min="2" max="2" width="31.109375" style="72" customWidth="1"/>
    <col min="3" max="4" width="15.77734375" style="72" customWidth="1"/>
    <col min="5" max="5" width="16.109375" style="72" customWidth="1"/>
    <col min="6" max="16384" width="8.88671875" style="72"/>
  </cols>
  <sheetData>
    <row r="1" spans="2:5">
      <c r="B1" s="228" t="str">
        <f>(inputPrYr!C2)</f>
        <v>Franklin County</v>
      </c>
      <c r="C1" s="85"/>
      <c r="D1" s="85"/>
      <c r="E1" s="286">
        <f>inputPrYr!C4</f>
        <v>2013</v>
      </c>
    </row>
    <row r="2" spans="2:5">
      <c r="B2" s="85"/>
      <c r="C2" s="85"/>
      <c r="D2" s="85"/>
      <c r="E2" s="240"/>
    </row>
    <row r="3" spans="2:5">
      <c r="B3" s="152" t="s">
        <v>239</v>
      </c>
      <c r="C3" s="333"/>
      <c r="D3" s="333"/>
      <c r="E3" s="334"/>
    </row>
    <row r="4" spans="2:5">
      <c r="B4" s="85"/>
      <c r="C4" s="327"/>
      <c r="D4" s="327"/>
      <c r="E4" s="327"/>
    </row>
    <row r="5" spans="2:5">
      <c r="B5" s="84" t="s">
        <v>159</v>
      </c>
      <c r="C5" s="323" t="str">
        <f>general!C4</f>
        <v xml:space="preserve">Prior Year </v>
      </c>
      <c r="D5" s="215" t="str">
        <f>general!D4</f>
        <v xml:space="preserve">Current Year </v>
      </c>
      <c r="E5" s="215" t="str">
        <f>general!E4</f>
        <v xml:space="preserve">Proposed Budget </v>
      </c>
    </row>
    <row r="6" spans="2:5">
      <c r="B6" s="484" t="str">
        <f>inputPrYr!B49</f>
        <v>Risk Management Fund</v>
      </c>
      <c r="C6" s="315" t="str">
        <f>general!C5</f>
        <v>Actual for 2011</v>
      </c>
      <c r="D6" s="315" t="str">
        <f>general!D5</f>
        <v>Estimate for 2012</v>
      </c>
      <c r="E6" s="302" t="str">
        <f>general!E5</f>
        <v>Year for 2013</v>
      </c>
    </row>
    <row r="7" spans="2:5">
      <c r="B7" s="148" t="s">
        <v>280</v>
      </c>
      <c r="C7" s="112">
        <v>49636</v>
      </c>
      <c r="D7" s="265">
        <f>C30</f>
        <v>111591</v>
      </c>
      <c r="E7" s="265">
        <f>D30</f>
        <v>101591</v>
      </c>
    </row>
    <row r="8" spans="2:5">
      <c r="B8" s="336" t="s">
        <v>282</v>
      </c>
      <c r="C8" s="108"/>
      <c r="D8" s="108"/>
      <c r="E8" s="108"/>
    </row>
    <row r="9" spans="2:5">
      <c r="B9" s="318" t="s">
        <v>1028</v>
      </c>
      <c r="C9" s="112">
        <v>50000</v>
      </c>
      <c r="D9" s="112">
        <v>50000</v>
      </c>
      <c r="E9" s="112">
        <v>50000</v>
      </c>
    </row>
    <row r="10" spans="2:5">
      <c r="B10" s="318" t="s">
        <v>1008</v>
      </c>
      <c r="C10" s="112">
        <v>70891</v>
      </c>
      <c r="D10" s="112">
        <v>0</v>
      </c>
      <c r="E10" s="112">
        <v>0</v>
      </c>
    </row>
    <row r="11" spans="2:5">
      <c r="B11" s="318"/>
      <c r="C11" s="112"/>
      <c r="D11" s="112"/>
      <c r="E11" s="112"/>
    </row>
    <row r="12" spans="2:5">
      <c r="B12" s="308"/>
      <c r="C12" s="112"/>
      <c r="D12" s="112"/>
      <c r="E12" s="112"/>
    </row>
    <row r="13" spans="2:5">
      <c r="B13" s="309" t="s">
        <v>73</v>
      </c>
      <c r="C13" s="112"/>
      <c r="D13" s="304"/>
      <c r="E13" s="304"/>
    </row>
    <row r="14" spans="2:5">
      <c r="B14" s="309" t="s">
        <v>681</v>
      </c>
      <c r="C14" s="480" t="str">
        <f>IF(C15*0.1&lt;C13,"Exceed 10% Rule","")</f>
        <v/>
      </c>
      <c r="D14" s="310" t="str">
        <f>IF(D15*0.1&lt;D13,"Exceed 10% Rule","")</f>
        <v/>
      </c>
      <c r="E14" s="310" t="str">
        <f>IF(E15*0.1&lt;E13,"Exceed 10% Rule","")</f>
        <v/>
      </c>
    </row>
    <row r="15" spans="2:5">
      <c r="B15" s="311" t="s">
        <v>165</v>
      </c>
      <c r="C15" s="352">
        <f>SUM(C9:C13)</f>
        <v>120891</v>
      </c>
      <c r="D15" s="352">
        <f>SUM(D9:D13)</f>
        <v>50000</v>
      </c>
      <c r="E15" s="352">
        <f>SUM(E9:E13)</f>
        <v>50000</v>
      </c>
    </row>
    <row r="16" spans="2:5">
      <c r="B16" s="311" t="s">
        <v>166</v>
      </c>
      <c r="C16" s="352">
        <f>C15+C7</f>
        <v>170527</v>
      </c>
      <c r="D16" s="352">
        <f>D15+D7</f>
        <v>161591</v>
      </c>
      <c r="E16" s="352">
        <f>E15+E7</f>
        <v>151591</v>
      </c>
    </row>
    <row r="17" spans="2:5">
      <c r="B17" s="148" t="s">
        <v>169</v>
      </c>
      <c r="C17" s="265"/>
      <c r="D17" s="265"/>
      <c r="E17" s="265"/>
    </row>
    <row r="18" spans="2:5">
      <c r="B18" s="318" t="s">
        <v>175</v>
      </c>
      <c r="C18" s="112">
        <v>58936</v>
      </c>
      <c r="D18" s="112">
        <v>60000</v>
      </c>
      <c r="E18" s="112">
        <v>60000</v>
      </c>
    </row>
    <row r="19" spans="2:5">
      <c r="B19" s="318"/>
      <c r="C19" s="112"/>
      <c r="D19" s="112"/>
      <c r="E19" s="112"/>
    </row>
    <row r="20" spans="2:5">
      <c r="B20" s="318"/>
      <c r="C20" s="112"/>
      <c r="D20" s="112"/>
      <c r="E20" s="112"/>
    </row>
    <row r="21" spans="2:5">
      <c r="B21" s="318"/>
      <c r="C21" s="112"/>
      <c r="D21" s="112"/>
      <c r="E21" s="112"/>
    </row>
    <row r="22" spans="2:5">
      <c r="B22" s="318"/>
      <c r="C22" s="112"/>
      <c r="D22" s="112"/>
      <c r="E22" s="112"/>
    </row>
    <row r="23" spans="2:5">
      <c r="B23" s="318"/>
      <c r="C23" s="112"/>
      <c r="D23" s="112"/>
      <c r="E23" s="112"/>
    </row>
    <row r="24" spans="2:5">
      <c r="B24" s="318"/>
      <c r="C24" s="112"/>
      <c r="D24" s="112"/>
      <c r="E24" s="112"/>
    </row>
    <row r="25" spans="2:5">
      <c r="B25" s="318"/>
      <c r="C25" s="112"/>
      <c r="D25" s="112"/>
      <c r="E25" s="112"/>
    </row>
    <row r="26" spans="2:5">
      <c r="B26" s="318"/>
      <c r="C26" s="112"/>
      <c r="D26" s="112"/>
      <c r="E26" s="112"/>
    </row>
    <row r="27" spans="2:5">
      <c r="B27" s="309" t="s">
        <v>73</v>
      </c>
      <c r="C27" s="112"/>
      <c r="D27" s="304"/>
      <c r="E27" s="304"/>
    </row>
    <row r="28" spans="2:5">
      <c r="B28" s="309" t="s">
        <v>680</v>
      </c>
      <c r="C28" s="480" t="str">
        <f>IF(C29*0.1&lt;C27,"Exceed 10% Rule","")</f>
        <v/>
      </c>
      <c r="D28" s="310" t="str">
        <f>IF(D29*0.1&lt;D27,"Exceed 10% Rule","")</f>
        <v/>
      </c>
      <c r="E28" s="310" t="str">
        <f>IF(E29*0.1&lt;E27,"Exceed 10% Rule","")</f>
        <v/>
      </c>
    </row>
    <row r="29" spans="2:5">
      <c r="B29" s="311" t="s">
        <v>170</v>
      </c>
      <c r="C29" s="352">
        <f>SUM(C18:C27)</f>
        <v>58936</v>
      </c>
      <c r="D29" s="352">
        <f>SUM(D18:D27)</f>
        <v>60000</v>
      </c>
      <c r="E29" s="352">
        <f>SUM(E18:E27)</f>
        <v>60000</v>
      </c>
    </row>
    <row r="30" spans="2:5">
      <c r="B30" s="148" t="s">
        <v>281</v>
      </c>
      <c r="C30" s="120">
        <f>C16-C29</f>
        <v>111591</v>
      </c>
      <c r="D30" s="120">
        <f>D16-D29</f>
        <v>101591</v>
      </c>
      <c r="E30" s="120">
        <f>E16-E29</f>
        <v>91591</v>
      </c>
    </row>
    <row r="31" spans="2:5">
      <c r="B31" s="287" t="str">
        <f>CONCATENATE("",E$1-2,"/",E$1-1," Budget Authority Amount:")</f>
        <v>2011/2012 Budget Authority Amount:</v>
      </c>
      <c r="C31" s="279">
        <f>inputOth!B61</f>
        <v>100073</v>
      </c>
      <c r="D31" s="279">
        <f>inputPrYr!D49</f>
        <v>99636</v>
      </c>
      <c r="E31" s="479" t="str">
        <f>IF(E30&lt;0,"See Tab E","")</f>
        <v/>
      </c>
    </row>
    <row r="32" spans="2:5">
      <c r="B32" s="287"/>
      <c r="C32" s="321" t="str">
        <f>IF(C29&gt;C31,"See Tab A","")</f>
        <v/>
      </c>
      <c r="D32" s="321" t="str">
        <f>IF(D29&gt;D31,"See Tab C","")</f>
        <v/>
      </c>
      <c r="E32" s="145"/>
    </row>
    <row r="33" spans="2:5">
      <c r="B33" s="287"/>
      <c r="C33" s="321" t="str">
        <f>IF(C30&lt;0,"See Tab B","")</f>
        <v/>
      </c>
      <c r="D33" s="321" t="str">
        <f>IF(D30&lt;0,"See Tab D","")</f>
        <v/>
      </c>
      <c r="E33" s="145"/>
    </row>
    <row r="34" spans="2:5">
      <c r="B34" s="85"/>
      <c r="C34" s="145"/>
      <c r="D34" s="145"/>
      <c r="E34" s="145"/>
    </row>
    <row r="35" spans="2:5">
      <c r="B35" s="84" t="s">
        <v>159</v>
      </c>
      <c r="C35" s="327"/>
      <c r="D35" s="327"/>
      <c r="E35" s="327"/>
    </row>
    <row r="36" spans="2:5">
      <c r="B36" s="85"/>
      <c r="C36" s="323" t="str">
        <f t="shared" ref="C36:E37" si="0">C5</f>
        <v xml:space="preserve">Prior Year </v>
      </c>
      <c r="D36" s="215" t="str">
        <f t="shared" si="0"/>
        <v xml:space="preserve">Current Year </v>
      </c>
      <c r="E36" s="215" t="str">
        <f t="shared" si="0"/>
        <v xml:space="preserve">Proposed Budget </v>
      </c>
    </row>
    <row r="37" spans="2:5">
      <c r="B37" s="483" t="str">
        <f>inputPrYr!B50</f>
        <v>Special Alcohol Fund</v>
      </c>
      <c r="C37" s="315" t="str">
        <f t="shared" si="0"/>
        <v>Actual for 2011</v>
      </c>
      <c r="D37" s="315" t="str">
        <f t="shared" si="0"/>
        <v>Estimate for 2012</v>
      </c>
      <c r="E37" s="315" t="str">
        <f t="shared" si="0"/>
        <v>Year for 2013</v>
      </c>
    </row>
    <row r="38" spans="2:5">
      <c r="B38" s="148" t="s">
        <v>280</v>
      </c>
      <c r="C38" s="112">
        <v>10478</v>
      </c>
      <c r="D38" s="265">
        <f>C61</f>
        <v>10062</v>
      </c>
      <c r="E38" s="265">
        <f>D61</f>
        <v>0</v>
      </c>
    </row>
    <row r="39" spans="2:5">
      <c r="B39" s="148" t="s">
        <v>282</v>
      </c>
      <c r="C39" s="108"/>
      <c r="D39" s="108"/>
      <c r="E39" s="108"/>
    </row>
    <row r="40" spans="2:5">
      <c r="B40" s="318" t="s">
        <v>1029</v>
      </c>
      <c r="C40" s="112">
        <v>6456</v>
      </c>
      <c r="D40" s="112">
        <v>6500</v>
      </c>
      <c r="E40" s="112">
        <v>6500</v>
      </c>
    </row>
    <row r="41" spans="2:5">
      <c r="B41" s="318"/>
      <c r="C41" s="112"/>
      <c r="D41" s="112"/>
      <c r="E41" s="112"/>
    </row>
    <row r="42" spans="2:5">
      <c r="B42" s="318"/>
      <c r="C42" s="112"/>
      <c r="D42" s="112"/>
      <c r="E42" s="112"/>
    </row>
    <row r="43" spans="2:5">
      <c r="B43" s="308"/>
      <c r="C43" s="112"/>
      <c r="D43" s="112"/>
      <c r="E43" s="112"/>
    </row>
    <row r="44" spans="2:5">
      <c r="B44" s="309" t="s">
        <v>73</v>
      </c>
      <c r="C44" s="112"/>
      <c r="D44" s="304"/>
      <c r="E44" s="304"/>
    </row>
    <row r="45" spans="2:5">
      <c r="B45" s="309" t="s">
        <v>681</v>
      </c>
      <c r="C45" s="480" t="str">
        <f>IF(C46*0.1&lt;C44,"Exceed 10% Rule","")</f>
        <v/>
      </c>
      <c r="D45" s="310" t="str">
        <f>IF(D46*0.1&lt;D44,"Exceed 10% Rule","")</f>
        <v/>
      </c>
      <c r="E45" s="310" t="str">
        <f>IF(E46*0.1&lt;E44,"Exceed 10% Rule","")</f>
        <v/>
      </c>
    </row>
    <row r="46" spans="2:5">
      <c r="B46" s="311" t="s">
        <v>165</v>
      </c>
      <c r="C46" s="352">
        <f>SUM(C40:C44)</f>
        <v>6456</v>
      </c>
      <c r="D46" s="352">
        <f>SUM(D40:D44)</f>
        <v>6500</v>
      </c>
      <c r="E46" s="352">
        <f>SUM(E40:E44)</f>
        <v>6500</v>
      </c>
    </row>
    <row r="47" spans="2:5">
      <c r="B47" s="311" t="s">
        <v>166</v>
      </c>
      <c r="C47" s="352">
        <f>C38+C46</f>
        <v>16934</v>
      </c>
      <c r="D47" s="352">
        <f>D38+D46</f>
        <v>16562</v>
      </c>
      <c r="E47" s="352">
        <f>E38+E46</f>
        <v>6500</v>
      </c>
    </row>
    <row r="48" spans="2:5">
      <c r="B48" s="148" t="s">
        <v>169</v>
      </c>
      <c r="C48" s="265"/>
      <c r="D48" s="265"/>
      <c r="E48" s="265"/>
    </row>
    <row r="49" spans="2:5">
      <c r="B49" s="318" t="s">
        <v>1023</v>
      </c>
      <c r="C49" s="112">
        <v>6872</v>
      </c>
      <c r="D49" s="112">
        <v>16562</v>
      </c>
      <c r="E49" s="112">
        <v>6500</v>
      </c>
    </row>
    <row r="50" spans="2:5">
      <c r="B50" s="318"/>
      <c r="C50" s="112"/>
      <c r="D50" s="112"/>
      <c r="E50" s="112"/>
    </row>
    <row r="51" spans="2:5">
      <c r="B51" s="318"/>
      <c r="C51" s="112"/>
      <c r="D51" s="112"/>
      <c r="E51" s="112"/>
    </row>
    <row r="52" spans="2:5">
      <c r="B52" s="318"/>
      <c r="C52" s="112"/>
      <c r="D52" s="112"/>
      <c r="E52" s="112"/>
    </row>
    <row r="53" spans="2:5">
      <c r="B53" s="318"/>
      <c r="C53" s="112"/>
      <c r="D53" s="112"/>
      <c r="E53" s="112"/>
    </row>
    <row r="54" spans="2:5">
      <c r="B54" s="318"/>
      <c r="C54" s="112"/>
      <c r="D54" s="112"/>
      <c r="E54" s="112"/>
    </row>
    <row r="55" spans="2:5">
      <c r="B55" s="318"/>
      <c r="C55" s="112"/>
      <c r="D55" s="112"/>
      <c r="E55" s="112"/>
    </row>
    <row r="56" spans="2:5">
      <c r="B56" s="318"/>
      <c r="C56" s="112"/>
      <c r="D56" s="112"/>
      <c r="E56" s="112"/>
    </row>
    <row r="57" spans="2:5">
      <c r="B57" s="318"/>
      <c r="C57" s="112"/>
      <c r="D57" s="112"/>
      <c r="E57" s="112"/>
    </row>
    <row r="58" spans="2:5">
      <c r="B58" s="309" t="s">
        <v>73</v>
      </c>
      <c r="C58" s="112"/>
      <c r="D58" s="304"/>
      <c r="E58" s="304"/>
    </row>
    <row r="59" spans="2:5">
      <c r="B59" s="309" t="s">
        <v>680</v>
      </c>
      <c r="C59" s="480" t="str">
        <f>IF(C60*0.1&lt;C58,"Exceed 10% Rule","")</f>
        <v/>
      </c>
      <c r="D59" s="310" t="str">
        <f>IF(D60*0.1&lt;D58,"Exceed 10% Rule","")</f>
        <v/>
      </c>
      <c r="E59" s="310" t="str">
        <f>IF(E60*0.1&lt;E58,"Exceed 10% Rule","")</f>
        <v/>
      </c>
    </row>
    <row r="60" spans="2:5">
      <c r="B60" s="311" t="s">
        <v>170</v>
      </c>
      <c r="C60" s="352">
        <f>SUM(C49:C58)</f>
        <v>6872</v>
      </c>
      <c r="D60" s="352">
        <f>SUM(D49:D58)</f>
        <v>16562</v>
      </c>
      <c r="E60" s="352">
        <f>SUM(E49:E58)</f>
        <v>6500</v>
      </c>
    </row>
    <row r="61" spans="2:5">
      <c r="B61" s="148" t="s">
        <v>281</v>
      </c>
      <c r="C61" s="120">
        <f>C47-C60</f>
        <v>10062</v>
      </c>
      <c r="D61" s="120">
        <f>D47-D60</f>
        <v>0</v>
      </c>
      <c r="E61" s="120">
        <f>E47-E60</f>
        <v>0</v>
      </c>
    </row>
    <row r="62" spans="2:5">
      <c r="B62" s="287" t="str">
        <f>CONCATENATE("",E$1-2,"/",E$1-1," Budget Authority Amount:")</f>
        <v>2011/2012 Budget Authority Amount:</v>
      </c>
      <c r="C62" s="279">
        <f>inputOth!B62</f>
        <v>8098</v>
      </c>
      <c r="D62" s="279">
        <f>inputPrYr!D50</f>
        <v>22478</v>
      </c>
      <c r="E62" s="478" t="str">
        <f>IF(E61&lt;0,"See Tab E","")</f>
        <v/>
      </c>
    </row>
    <row r="63" spans="2:5">
      <c r="B63" s="287"/>
      <c r="C63" s="321" t="str">
        <f>IF(C60&gt;C62,"See Tab A","")</f>
        <v/>
      </c>
      <c r="D63" s="321" t="str">
        <f>IF(D60&gt;D62,"See Tab C","")</f>
        <v/>
      </c>
      <c r="E63" s="85"/>
    </row>
    <row r="64" spans="2:5">
      <c r="B64" s="287"/>
      <c r="C64" s="321" t="str">
        <f>IF(C61&lt;0,"See Tab B","")</f>
        <v/>
      </c>
      <c r="D64" s="321" t="str">
        <f>IF(D61&lt;0,"See Tab D","")</f>
        <v/>
      </c>
      <c r="E64" s="85"/>
    </row>
    <row r="65" spans="2:5">
      <c r="B65" s="85"/>
      <c r="C65" s="85"/>
      <c r="D65" s="85"/>
      <c r="E65" s="85"/>
    </row>
    <row r="66" spans="2:5">
      <c r="B66" s="287" t="s">
        <v>190</v>
      </c>
      <c r="C66" s="349"/>
      <c r="D66" s="85"/>
      <c r="E66" s="85"/>
    </row>
  </sheetData>
  <sheetProtection sheet="1"/>
  <phoneticPr fontId="0" type="noConversion"/>
  <conditionalFormatting sqref="C27">
    <cfRule type="cellIs" dxfId="93" priority="3" stopIfTrue="1" operator="greaterThan">
      <formula>$C$29*0.1</formula>
    </cfRule>
  </conditionalFormatting>
  <conditionalFormatting sqref="D27">
    <cfRule type="cellIs" dxfId="92" priority="4" stopIfTrue="1" operator="greaterThan">
      <formula>$D$29*0.1</formula>
    </cfRule>
  </conditionalFormatting>
  <conditionalFormatting sqref="E27">
    <cfRule type="cellIs" dxfId="91" priority="5" stopIfTrue="1" operator="greaterThan">
      <formula>$E$29*0.1</formula>
    </cfRule>
  </conditionalFormatting>
  <conditionalFormatting sqref="C13">
    <cfRule type="cellIs" dxfId="90" priority="6" stopIfTrue="1" operator="greaterThan">
      <formula>$C$15*0.1</formula>
    </cfRule>
  </conditionalFormatting>
  <conditionalFormatting sqref="D13">
    <cfRule type="cellIs" dxfId="89" priority="7" stopIfTrue="1" operator="greaterThan">
      <formula>$D$15*0.1</formula>
    </cfRule>
  </conditionalFormatting>
  <conditionalFormatting sqref="E13">
    <cfRule type="cellIs" dxfId="88" priority="8" stopIfTrue="1" operator="greaterThan">
      <formula>$E$15*0.1</formula>
    </cfRule>
  </conditionalFormatting>
  <conditionalFormatting sqref="C44">
    <cfRule type="cellIs" dxfId="87" priority="9" stopIfTrue="1" operator="greaterThan">
      <formula>$C$46*0.1</formula>
    </cfRule>
  </conditionalFormatting>
  <conditionalFormatting sqref="D44">
    <cfRule type="cellIs" dxfId="86" priority="10" stopIfTrue="1" operator="greaterThan">
      <formula>$D$46*0.1</formula>
    </cfRule>
  </conditionalFormatting>
  <conditionalFormatting sqref="E44">
    <cfRule type="cellIs" dxfId="85" priority="11" stopIfTrue="1" operator="greaterThan">
      <formula>$E$46*0.1</formula>
    </cfRule>
  </conditionalFormatting>
  <conditionalFormatting sqref="C58">
    <cfRule type="cellIs" dxfId="84" priority="12" stopIfTrue="1" operator="greaterThan">
      <formula>$C$60*0.1</formula>
    </cfRule>
  </conditionalFormatting>
  <conditionalFormatting sqref="D58">
    <cfRule type="cellIs" dxfId="83" priority="13" stopIfTrue="1" operator="greaterThan">
      <formula>$D$60*0.1</formula>
    </cfRule>
  </conditionalFormatting>
  <conditionalFormatting sqref="E58">
    <cfRule type="cellIs" dxfId="82" priority="14" stopIfTrue="1" operator="greaterThan">
      <formula>$E$60*0.1</formula>
    </cfRule>
  </conditionalFormatting>
  <conditionalFormatting sqref="E30 C30 E61 C61">
    <cfRule type="cellIs" dxfId="81" priority="15" stopIfTrue="1" operator="lessThan">
      <formula>0</formula>
    </cfRule>
  </conditionalFormatting>
  <conditionalFormatting sqref="D29">
    <cfRule type="cellIs" dxfId="80" priority="16" stopIfTrue="1" operator="greaterThan">
      <formula>$D$31</formula>
    </cfRule>
  </conditionalFormatting>
  <conditionalFormatting sqref="C29">
    <cfRule type="cellIs" dxfId="79" priority="17" stopIfTrue="1" operator="greaterThan">
      <formula>$C$31</formula>
    </cfRule>
  </conditionalFormatting>
  <conditionalFormatting sqref="D60">
    <cfRule type="cellIs" dxfId="78" priority="18" stopIfTrue="1" operator="greaterThan">
      <formula>$D$62</formula>
    </cfRule>
  </conditionalFormatting>
  <conditionalFormatting sqref="C60">
    <cfRule type="cellIs" dxfId="77" priority="19" stopIfTrue="1" operator="greaterThan">
      <formula>$C$62</formula>
    </cfRule>
  </conditionalFormatting>
  <conditionalFormatting sqref="D30">
    <cfRule type="cellIs" dxfId="76" priority="2" stopIfTrue="1" operator="lessThan">
      <formula>0</formula>
    </cfRule>
  </conditionalFormatting>
  <conditionalFormatting sqref="D61">
    <cfRule type="cellIs" dxfId="75" priority="1" stopIfTrue="1" operator="lessThan">
      <formula>0</formula>
    </cfRule>
  </conditionalFormatting>
  <pageMargins left="1.1200000000000001" right="0.5" top="0.74" bottom="0.34" header="0.5" footer="0"/>
  <pageSetup scale="70" orientation="portrait" blackAndWhite="1" r:id="rId1"/>
  <headerFooter alignWithMargins="0">
    <oddHeader xml:space="preserve">&amp;RState of Kansas
County
</oddHeader>
  </headerFooter>
</worksheet>
</file>

<file path=xl/worksheets/sheet33.xml><?xml version="1.0" encoding="utf-8"?>
<worksheet xmlns="http://schemas.openxmlformats.org/spreadsheetml/2006/main" xmlns:r="http://schemas.openxmlformats.org/officeDocument/2006/relationships">
  <sheetPr codeName="Sheet28">
    <pageSetUpPr fitToPage="1"/>
  </sheetPr>
  <dimension ref="B1:E66"/>
  <sheetViews>
    <sheetView topLeftCell="A40" workbookViewId="0">
      <selection activeCell="I56" sqref="I56"/>
    </sheetView>
  </sheetViews>
  <sheetFormatPr defaultColWidth="8.88671875" defaultRowHeight="15.75"/>
  <cols>
    <col min="1" max="1" width="2.44140625" style="72" customWidth="1"/>
    <col min="2" max="2" width="31.109375" style="72" customWidth="1"/>
    <col min="3" max="4" width="15.77734375" style="72" customWidth="1"/>
    <col min="5" max="5" width="16.109375" style="72" customWidth="1"/>
    <col min="6" max="16384" width="8.88671875" style="72"/>
  </cols>
  <sheetData>
    <row r="1" spans="2:5">
      <c r="B1" s="228" t="str">
        <f>(inputPrYr!C2)</f>
        <v>Franklin County</v>
      </c>
      <c r="C1" s="85"/>
      <c r="D1" s="85"/>
      <c r="E1" s="286">
        <f>inputPrYr!C4</f>
        <v>2013</v>
      </c>
    </row>
    <row r="2" spans="2:5">
      <c r="B2" s="85"/>
      <c r="C2" s="85"/>
      <c r="D2" s="85"/>
      <c r="E2" s="240"/>
    </row>
    <row r="3" spans="2:5">
      <c r="B3" s="152" t="s">
        <v>239</v>
      </c>
      <c r="C3" s="333"/>
      <c r="D3" s="333"/>
      <c r="E3" s="334"/>
    </row>
    <row r="4" spans="2:5">
      <c r="B4" s="85"/>
      <c r="C4" s="327"/>
      <c r="D4" s="327"/>
      <c r="E4" s="327"/>
    </row>
    <row r="5" spans="2:5">
      <c r="B5" s="84" t="s">
        <v>159</v>
      </c>
      <c r="C5" s="323" t="str">
        <f>general!C4</f>
        <v xml:space="preserve">Prior Year </v>
      </c>
      <c r="D5" s="215" t="str">
        <f>general!D4</f>
        <v xml:space="preserve">Current Year </v>
      </c>
      <c r="E5" s="215" t="str">
        <f>general!E4</f>
        <v xml:space="preserve">Proposed Budget </v>
      </c>
    </row>
    <row r="6" spans="2:5">
      <c r="B6" s="484" t="str">
        <f>inputPrYr!B51</f>
        <v>Special Parks and Recreation</v>
      </c>
      <c r="C6" s="315" t="str">
        <f>general!C5</f>
        <v>Actual for 2011</v>
      </c>
      <c r="D6" s="315" t="str">
        <f>general!D5</f>
        <v>Estimate for 2012</v>
      </c>
      <c r="E6" s="315" t="str">
        <f>general!E5</f>
        <v>Year for 2013</v>
      </c>
    </row>
    <row r="7" spans="2:5">
      <c r="B7" s="148" t="s">
        <v>280</v>
      </c>
      <c r="C7" s="112">
        <v>336</v>
      </c>
      <c r="D7" s="265">
        <f>C30</f>
        <v>462</v>
      </c>
      <c r="E7" s="265">
        <f>D30</f>
        <v>462</v>
      </c>
    </row>
    <row r="8" spans="2:5">
      <c r="B8" s="336" t="s">
        <v>282</v>
      </c>
      <c r="C8" s="108"/>
      <c r="D8" s="108"/>
      <c r="E8" s="108"/>
    </row>
    <row r="9" spans="2:5">
      <c r="B9" s="318" t="s">
        <v>1030</v>
      </c>
      <c r="C9" s="112">
        <v>1626</v>
      </c>
      <c r="D9" s="112">
        <v>1500</v>
      </c>
      <c r="E9" s="112">
        <v>1500</v>
      </c>
    </row>
    <row r="10" spans="2:5">
      <c r="B10" s="318"/>
      <c r="C10" s="112"/>
      <c r="D10" s="112"/>
      <c r="E10" s="112"/>
    </row>
    <row r="11" spans="2:5">
      <c r="B11" s="318"/>
      <c r="C11" s="112"/>
      <c r="D11" s="112"/>
      <c r="E11" s="112"/>
    </row>
    <row r="12" spans="2:5">
      <c r="B12" s="308"/>
      <c r="C12" s="112"/>
      <c r="D12" s="112"/>
      <c r="E12" s="112"/>
    </row>
    <row r="13" spans="2:5">
      <c r="B13" s="309" t="s">
        <v>73</v>
      </c>
      <c r="C13" s="112"/>
      <c r="D13" s="304"/>
      <c r="E13" s="304"/>
    </row>
    <row r="14" spans="2:5">
      <c r="B14" s="309" t="s">
        <v>681</v>
      </c>
      <c r="C14" s="480" t="str">
        <f>IF(C15*0.1&lt;C13,"Exceed 10% Rule","")</f>
        <v/>
      </c>
      <c r="D14" s="310" t="str">
        <f>IF(D15*0.1&lt;D13,"Exceed 10% Rule","")</f>
        <v/>
      </c>
      <c r="E14" s="310" t="str">
        <f>IF(E15*0.1&lt;E13,"Exceed 10% Rule","")</f>
        <v/>
      </c>
    </row>
    <row r="15" spans="2:5">
      <c r="B15" s="311" t="s">
        <v>165</v>
      </c>
      <c r="C15" s="352">
        <f>SUM(C9:C13)</f>
        <v>1626</v>
      </c>
      <c r="D15" s="352">
        <f>SUM(D9:D13)</f>
        <v>1500</v>
      </c>
      <c r="E15" s="352">
        <f>SUM(E9:E13)</f>
        <v>1500</v>
      </c>
    </row>
    <row r="16" spans="2:5">
      <c r="B16" s="311" t="s">
        <v>166</v>
      </c>
      <c r="C16" s="352">
        <f>C15+C7</f>
        <v>1962</v>
      </c>
      <c r="D16" s="352">
        <f>D15+D7</f>
        <v>1962</v>
      </c>
      <c r="E16" s="352">
        <f>E15+E7</f>
        <v>1962</v>
      </c>
    </row>
    <row r="17" spans="2:5">
      <c r="B17" s="148" t="s">
        <v>169</v>
      </c>
      <c r="C17" s="265"/>
      <c r="D17" s="265"/>
      <c r="E17" s="265"/>
    </row>
    <row r="18" spans="2:5">
      <c r="B18" s="318" t="s">
        <v>1023</v>
      </c>
      <c r="C18" s="112">
        <v>1500</v>
      </c>
      <c r="D18" s="112">
        <v>1500</v>
      </c>
      <c r="E18" s="112">
        <v>1962</v>
      </c>
    </row>
    <row r="19" spans="2:5">
      <c r="B19" s="318"/>
      <c r="C19" s="112"/>
      <c r="D19" s="112"/>
      <c r="E19" s="112"/>
    </row>
    <row r="20" spans="2:5">
      <c r="B20" s="318"/>
      <c r="C20" s="112"/>
      <c r="D20" s="112"/>
      <c r="E20" s="112"/>
    </row>
    <row r="21" spans="2:5">
      <c r="B21" s="318"/>
      <c r="C21" s="112"/>
      <c r="D21" s="112"/>
      <c r="E21" s="112"/>
    </row>
    <row r="22" spans="2:5">
      <c r="B22" s="318"/>
      <c r="C22" s="112"/>
      <c r="D22" s="112"/>
      <c r="E22" s="112"/>
    </row>
    <row r="23" spans="2:5">
      <c r="B23" s="318"/>
      <c r="C23" s="112"/>
      <c r="D23" s="112"/>
      <c r="E23" s="112"/>
    </row>
    <row r="24" spans="2:5">
      <c r="B24" s="318"/>
      <c r="C24" s="112"/>
      <c r="D24" s="112"/>
      <c r="E24" s="112"/>
    </row>
    <row r="25" spans="2:5">
      <c r="B25" s="318"/>
      <c r="C25" s="112"/>
      <c r="D25" s="112"/>
      <c r="E25" s="112"/>
    </row>
    <row r="26" spans="2:5">
      <c r="B26" s="318"/>
      <c r="C26" s="112"/>
      <c r="D26" s="112"/>
      <c r="E26" s="112"/>
    </row>
    <row r="27" spans="2:5">
      <c r="B27" s="309" t="s">
        <v>73</v>
      </c>
      <c r="C27" s="112"/>
      <c r="D27" s="304"/>
      <c r="E27" s="304"/>
    </row>
    <row r="28" spans="2:5">
      <c r="B28" s="309" t="s">
        <v>680</v>
      </c>
      <c r="C28" s="480" t="str">
        <f>IF(C29*0.1&lt;C27,"Exceed 10% Rule","")</f>
        <v/>
      </c>
      <c r="D28" s="310" t="str">
        <f>IF(D29*0.1&lt;D27,"Exceed 10% Rule","")</f>
        <v/>
      </c>
      <c r="E28" s="310" t="str">
        <f>IF(E29*0.1&lt;E27,"Exceed 10% Rule","")</f>
        <v/>
      </c>
    </row>
    <row r="29" spans="2:5">
      <c r="B29" s="311" t="s">
        <v>170</v>
      </c>
      <c r="C29" s="352">
        <f>SUM(C18:C27)</f>
        <v>1500</v>
      </c>
      <c r="D29" s="352">
        <f>SUM(D18:D27)</f>
        <v>1500</v>
      </c>
      <c r="E29" s="352">
        <f>SUM(E18:E27)</f>
        <v>1962</v>
      </c>
    </row>
    <row r="30" spans="2:5">
      <c r="B30" s="148" t="s">
        <v>281</v>
      </c>
      <c r="C30" s="120">
        <f>C16-C29</f>
        <v>462</v>
      </c>
      <c r="D30" s="120">
        <f>D16-D29</f>
        <v>462</v>
      </c>
      <c r="E30" s="120">
        <f>E16-E29</f>
        <v>0</v>
      </c>
    </row>
    <row r="31" spans="2:5">
      <c r="B31" s="287" t="str">
        <f>CONCATENATE("",E$1-2,"/",E$1-1," Budget Authority Amount:")</f>
        <v>2011/2012 Budget Authority Amount:</v>
      </c>
      <c r="C31" s="279">
        <f>inputOth!B63</f>
        <v>2100</v>
      </c>
      <c r="D31" s="279">
        <f>inputPrYr!D51</f>
        <v>1500</v>
      </c>
      <c r="E31" s="479" t="str">
        <f>IF(E30&lt;0,"See Tab E","")</f>
        <v/>
      </c>
    </row>
    <row r="32" spans="2:5">
      <c r="B32" s="287"/>
      <c r="C32" s="321" t="str">
        <f>IF(C29&gt;C31,"See Tab A","")</f>
        <v/>
      </c>
      <c r="D32" s="321" t="str">
        <f>IF(D29&gt;D31,"See Tab C","")</f>
        <v/>
      </c>
      <c r="E32" s="145"/>
    </row>
    <row r="33" spans="2:5">
      <c r="B33" s="287"/>
      <c r="C33" s="321" t="str">
        <f>IF(C30&lt;0,"See Tab B","")</f>
        <v/>
      </c>
      <c r="D33" s="321" t="str">
        <f>IF(D30&lt;0,"See Tab D","")</f>
        <v/>
      </c>
      <c r="E33" s="145"/>
    </row>
    <row r="34" spans="2:5">
      <c r="B34" s="85"/>
      <c r="C34" s="145"/>
      <c r="D34" s="145"/>
      <c r="E34" s="145"/>
    </row>
    <row r="35" spans="2:5">
      <c r="B35" s="84" t="s">
        <v>159</v>
      </c>
      <c r="C35" s="327"/>
      <c r="D35" s="327"/>
      <c r="E35" s="327"/>
    </row>
    <row r="36" spans="2:5">
      <c r="B36" s="85"/>
      <c r="C36" s="323" t="str">
        <f t="shared" ref="C36:E37" si="0">C5</f>
        <v xml:space="preserve">Prior Year </v>
      </c>
      <c r="D36" s="215" t="str">
        <f t="shared" si="0"/>
        <v xml:space="preserve">Current Year </v>
      </c>
      <c r="E36" s="215" t="str">
        <f t="shared" si="0"/>
        <v xml:space="preserve">Proposed Budget </v>
      </c>
    </row>
    <row r="37" spans="2:5">
      <c r="B37" s="483" t="str">
        <f>inputPrYr!B52</f>
        <v>Tourism and Convention</v>
      </c>
      <c r="C37" s="548" t="str">
        <f t="shared" si="0"/>
        <v>Actual for 2011</v>
      </c>
      <c r="D37" s="548" t="str">
        <f t="shared" si="0"/>
        <v>Estimate for 2012</v>
      </c>
      <c r="E37" s="548" t="str">
        <f t="shared" si="0"/>
        <v>Year for 2013</v>
      </c>
    </row>
    <row r="38" spans="2:5">
      <c r="B38" s="148" t="s">
        <v>280</v>
      </c>
      <c r="C38" s="112">
        <v>0</v>
      </c>
      <c r="D38" s="265">
        <f>C61</f>
        <v>0</v>
      </c>
      <c r="E38" s="265">
        <f>D61</f>
        <v>30000</v>
      </c>
    </row>
    <row r="39" spans="2:5">
      <c r="B39" s="148" t="s">
        <v>282</v>
      </c>
      <c r="C39" s="108"/>
      <c r="D39" s="108"/>
      <c r="E39" s="108"/>
    </row>
    <row r="40" spans="2:5">
      <c r="B40" s="318" t="s">
        <v>1030</v>
      </c>
      <c r="C40" s="112">
        <v>163796</v>
      </c>
      <c r="D40" s="112">
        <v>180000</v>
      </c>
      <c r="E40" s="112">
        <v>180000</v>
      </c>
    </row>
    <row r="41" spans="2:5">
      <c r="B41" s="318"/>
      <c r="C41" s="112"/>
      <c r="D41" s="112"/>
      <c r="E41" s="112"/>
    </row>
    <row r="42" spans="2:5">
      <c r="B42" s="318"/>
      <c r="C42" s="112"/>
      <c r="D42" s="112"/>
      <c r="E42" s="112"/>
    </row>
    <row r="43" spans="2:5">
      <c r="B43" s="308"/>
      <c r="C43" s="112"/>
      <c r="D43" s="112"/>
      <c r="E43" s="112"/>
    </row>
    <row r="44" spans="2:5">
      <c r="B44" s="309" t="s">
        <v>73</v>
      </c>
      <c r="C44" s="112"/>
      <c r="D44" s="304"/>
      <c r="E44" s="304"/>
    </row>
    <row r="45" spans="2:5">
      <c r="B45" s="309" t="s">
        <v>681</v>
      </c>
      <c r="C45" s="480" t="str">
        <f>IF(C46*0.1&lt;C44,"Exceed 10% Rule","")</f>
        <v/>
      </c>
      <c r="D45" s="310" t="str">
        <f>IF(D46*0.1&lt;D44,"Exceed 10% Rule","")</f>
        <v/>
      </c>
      <c r="E45" s="310" t="str">
        <f>IF(E46*0.1&lt;E44,"Exceed 10% Rule","")</f>
        <v/>
      </c>
    </row>
    <row r="46" spans="2:5">
      <c r="B46" s="311" t="s">
        <v>165</v>
      </c>
      <c r="C46" s="352">
        <f>SUM(C40:C44)</f>
        <v>163796</v>
      </c>
      <c r="D46" s="352">
        <f>SUM(D40:D44)</f>
        <v>180000</v>
      </c>
      <c r="E46" s="352">
        <f>SUM(E40:E44)</f>
        <v>180000</v>
      </c>
    </row>
    <row r="47" spans="2:5">
      <c r="B47" s="311" t="s">
        <v>166</v>
      </c>
      <c r="C47" s="352">
        <f>C38+C46</f>
        <v>163796</v>
      </c>
      <c r="D47" s="352">
        <f>D38+D46</f>
        <v>180000</v>
      </c>
      <c r="E47" s="352">
        <f>E38+E46</f>
        <v>210000</v>
      </c>
    </row>
    <row r="48" spans="2:5">
      <c r="B48" s="148" t="s">
        <v>169</v>
      </c>
      <c r="C48" s="265"/>
      <c r="D48" s="265"/>
      <c r="E48" s="265"/>
    </row>
    <row r="49" spans="2:5">
      <c r="B49" s="318" t="s">
        <v>1023</v>
      </c>
      <c r="C49" s="112">
        <v>163796</v>
      </c>
      <c r="D49" s="112">
        <v>150000</v>
      </c>
      <c r="E49" s="112">
        <v>210000</v>
      </c>
    </row>
    <row r="50" spans="2:5">
      <c r="B50" s="318"/>
      <c r="C50" s="112"/>
      <c r="D50" s="112"/>
      <c r="E50" s="112"/>
    </row>
    <row r="51" spans="2:5">
      <c r="B51" s="318"/>
      <c r="C51" s="112"/>
      <c r="D51" s="112"/>
      <c r="E51" s="112"/>
    </row>
    <row r="52" spans="2:5">
      <c r="B52" s="318"/>
      <c r="C52" s="112"/>
      <c r="D52" s="112"/>
      <c r="E52" s="112"/>
    </row>
    <row r="53" spans="2:5">
      <c r="B53" s="318"/>
      <c r="C53" s="112"/>
      <c r="D53" s="112"/>
      <c r="E53" s="112"/>
    </row>
    <row r="54" spans="2:5">
      <c r="B54" s="318"/>
      <c r="C54" s="112"/>
      <c r="D54" s="112"/>
      <c r="E54" s="112"/>
    </row>
    <row r="55" spans="2:5">
      <c r="B55" s="318"/>
      <c r="C55" s="112"/>
      <c r="D55" s="112"/>
      <c r="E55" s="112"/>
    </row>
    <row r="56" spans="2:5">
      <c r="B56" s="318"/>
      <c r="C56" s="112"/>
      <c r="D56" s="112"/>
      <c r="E56" s="112"/>
    </row>
    <row r="57" spans="2:5">
      <c r="B57" s="318"/>
      <c r="C57" s="112"/>
      <c r="D57" s="112"/>
      <c r="E57" s="112"/>
    </row>
    <row r="58" spans="2:5">
      <c r="B58" s="309" t="s">
        <v>73</v>
      </c>
      <c r="C58" s="112"/>
      <c r="D58" s="304"/>
      <c r="E58" s="304"/>
    </row>
    <row r="59" spans="2:5">
      <c r="B59" s="309" t="s">
        <v>680</v>
      </c>
      <c r="C59" s="480" t="str">
        <f>IF(C60*0.1&lt;C58,"Exceed 10% Rule","")</f>
        <v/>
      </c>
      <c r="D59" s="310" t="str">
        <f>IF(D60*0.1&lt;D58,"Exceed 10% Rule","")</f>
        <v/>
      </c>
      <c r="E59" s="310" t="str">
        <f>IF(E60*0.1&lt;E58,"Exceed 10% Rule","")</f>
        <v/>
      </c>
    </row>
    <row r="60" spans="2:5">
      <c r="B60" s="311" t="s">
        <v>170</v>
      </c>
      <c r="C60" s="352">
        <f>SUM(C49:C58)</f>
        <v>163796</v>
      </c>
      <c r="D60" s="352">
        <f>SUM(D49:D58)</f>
        <v>150000</v>
      </c>
      <c r="E60" s="352">
        <f>SUM(E49:E58)</f>
        <v>210000</v>
      </c>
    </row>
    <row r="61" spans="2:5">
      <c r="B61" s="148" t="s">
        <v>281</v>
      </c>
      <c r="C61" s="120">
        <f>C47-C60</f>
        <v>0</v>
      </c>
      <c r="D61" s="120">
        <f>D47-D60</f>
        <v>30000</v>
      </c>
      <c r="E61" s="120">
        <f>E47-E60</f>
        <v>0</v>
      </c>
    </row>
    <row r="62" spans="2:5">
      <c r="B62" s="287" t="str">
        <f>CONCATENATE("",E$1-2,"/",E$1-1," Budget Authority Amount:")</f>
        <v>2011/2012 Budget Authority Amount:</v>
      </c>
      <c r="C62" s="279">
        <f>inputOth!B64</f>
        <v>165000</v>
      </c>
      <c r="D62" s="279">
        <f>inputPrYr!D52</f>
        <v>180000</v>
      </c>
      <c r="E62" s="478" t="str">
        <f>IF(E61&lt;0,"See Tab E","")</f>
        <v/>
      </c>
    </row>
    <row r="63" spans="2:5">
      <c r="B63" s="287"/>
      <c r="C63" s="321" t="str">
        <f>IF(C60&gt;C62,"See Tab A","")</f>
        <v/>
      </c>
      <c r="D63" s="321" t="str">
        <f>IF(D60&gt;D62,"See Tab C","")</f>
        <v/>
      </c>
      <c r="E63" s="85"/>
    </row>
    <row r="64" spans="2:5">
      <c r="B64" s="287"/>
      <c r="C64" s="321" t="str">
        <f>IF(C61&lt;0,"See Tab B","")</f>
        <v/>
      </c>
      <c r="D64" s="321" t="str">
        <f>IF(D61&lt;0,"See Tab D","")</f>
        <v/>
      </c>
      <c r="E64" s="85"/>
    </row>
    <row r="65" spans="2:5">
      <c r="B65" s="85"/>
      <c r="C65" s="85"/>
      <c r="D65" s="85"/>
      <c r="E65" s="85"/>
    </row>
    <row r="66" spans="2:5">
      <c r="B66" s="287" t="s">
        <v>190</v>
      </c>
      <c r="C66" s="349"/>
      <c r="D66" s="85"/>
      <c r="E66" s="85"/>
    </row>
  </sheetData>
  <sheetProtection sheet="1"/>
  <phoneticPr fontId="0" type="noConversion"/>
  <conditionalFormatting sqref="C27">
    <cfRule type="cellIs" dxfId="74" priority="2" stopIfTrue="1" operator="greaterThan">
      <formula>$C$29*0.1</formula>
    </cfRule>
  </conditionalFormatting>
  <conditionalFormatting sqref="D27">
    <cfRule type="cellIs" dxfId="73" priority="3" stopIfTrue="1" operator="greaterThan">
      <formula>$D$29*0.1</formula>
    </cfRule>
  </conditionalFormatting>
  <conditionalFormatting sqref="E27">
    <cfRule type="cellIs" dxfId="72" priority="4" stopIfTrue="1" operator="greaterThan">
      <formula>$E$29*0.1</formula>
    </cfRule>
  </conditionalFormatting>
  <conditionalFormatting sqref="C13">
    <cfRule type="cellIs" dxfId="71" priority="5" stopIfTrue="1" operator="greaterThan">
      <formula>$C$15*0.1</formula>
    </cfRule>
  </conditionalFormatting>
  <conditionalFormatting sqref="D13">
    <cfRule type="cellIs" dxfId="70" priority="6" stopIfTrue="1" operator="greaterThan">
      <formula>$D$15*0.1</formula>
    </cfRule>
  </conditionalFormatting>
  <conditionalFormatting sqref="E13">
    <cfRule type="cellIs" dxfId="69" priority="7" stopIfTrue="1" operator="greaterThan">
      <formula>$E$15*0.1</formula>
    </cfRule>
  </conditionalFormatting>
  <conditionalFormatting sqref="C44">
    <cfRule type="cellIs" dxfId="68" priority="8" stopIfTrue="1" operator="greaterThan">
      <formula>$C$46*0.1</formula>
    </cfRule>
  </conditionalFormatting>
  <conditionalFormatting sqref="D44">
    <cfRule type="cellIs" dxfId="67" priority="9" stopIfTrue="1" operator="greaterThan">
      <formula>$D$46*0.1</formula>
    </cfRule>
  </conditionalFormatting>
  <conditionalFormatting sqref="E44">
    <cfRule type="cellIs" dxfId="66" priority="10" stopIfTrue="1" operator="greaterThan">
      <formula>$E$46*0.1</formula>
    </cfRule>
  </conditionalFormatting>
  <conditionalFormatting sqref="C58">
    <cfRule type="cellIs" dxfId="65" priority="11" stopIfTrue="1" operator="greaterThan">
      <formula>$C$60*0.1</formula>
    </cfRule>
  </conditionalFormatting>
  <conditionalFormatting sqref="D58">
    <cfRule type="cellIs" dxfId="64" priority="12" stopIfTrue="1" operator="greaterThan">
      <formula>$D$60*0.1</formula>
    </cfRule>
  </conditionalFormatting>
  <conditionalFormatting sqref="E58">
    <cfRule type="cellIs" dxfId="63" priority="13" stopIfTrue="1" operator="greaterThan">
      <formula>$E$60*0.1</formula>
    </cfRule>
  </conditionalFormatting>
  <conditionalFormatting sqref="E30 C30 E61 C61">
    <cfRule type="cellIs" dxfId="62" priority="14" stopIfTrue="1" operator="lessThan">
      <formula>0</formula>
    </cfRule>
  </conditionalFormatting>
  <conditionalFormatting sqref="D29">
    <cfRule type="cellIs" dxfId="61" priority="15" stopIfTrue="1" operator="greaterThan">
      <formula>$D$31</formula>
    </cfRule>
  </conditionalFormatting>
  <conditionalFormatting sqref="C29">
    <cfRule type="cellIs" dxfId="60" priority="16" stopIfTrue="1" operator="greaterThan">
      <formula>$C$31</formula>
    </cfRule>
  </conditionalFormatting>
  <conditionalFormatting sqref="D60">
    <cfRule type="cellIs" dxfId="59" priority="17" stopIfTrue="1" operator="greaterThan">
      <formula>$D$62</formula>
    </cfRule>
  </conditionalFormatting>
  <conditionalFormatting sqref="C60">
    <cfRule type="cellIs" dxfId="58" priority="18" stopIfTrue="1" operator="greaterThan">
      <formula>$C$62</formula>
    </cfRule>
  </conditionalFormatting>
  <conditionalFormatting sqref="D30">
    <cfRule type="cellIs" dxfId="57" priority="1" stopIfTrue="1" operator="lessThan">
      <formula>0</formula>
    </cfRule>
  </conditionalFormatting>
  <pageMargins left="1.1200000000000001" right="0.5" top="0.74" bottom="0.34" header="0.5" footer="0"/>
  <pageSetup scale="70" orientation="portrait" blackAndWhite="1" r:id="rId1"/>
  <headerFooter alignWithMargins="0">
    <oddHeader xml:space="preserve">&amp;RState of Kansas
County
</oddHeader>
  </headerFooter>
</worksheet>
</file>

<file path=xl/worksheets/sheet34.xml><?xml version="1.0" encoding="utf-8"?>
<worksheet xmlns="http://schemas.openxmlformats.org/spreadsheetml/2006/main" xmlns:r="http://schemas.openxmlformats.org/officeDocument/2006/relationships">
  <sheetPr codeName="Sheet29">
    <pageSetUpPr fitToPage="1"/>
  </sheetPr>
  <dimension ref="B1:E66"/>
  <sheetViews>
    <sheetView topLeftCell="A13" workbookViewId="0">
      <selection activeCell="D14" sqref="D14"/>
    </sheetView>
  </sheetViews>
  <sheetFormatPr defaultColWidth="8.88671875" defaultRowHeight="15.75"/>
  <cols>
    <col min="1" max="1" width="2.44140625" style="72" customWidth="1"/>
    <col min="2" max="2" width="31.109375" style="72" customWidth="1"/>
    <col min="3" max="4" width="15.77734375" style="72" customWidth="1"/>
    <col min="5" max="5" width="16.109375" style="72" customWidth="1"/>
    <col min="6" max="16384" width="8.88671875" style="72"/>
  </cols>
  <sheetData>
    <row r="1" spans="2:5">
      <c r="B1" s="228" t="str">
        <f>(inputPrYr!C2)</f>
        <v>Franklin County</v>
      </c>
      <c r="C1" s="85"/>
      <c r="D1" s="85"/>
      <c r="E1" s="286">
        <f>inputPrYr!C4</f>
        <v>2013</v>
      </c>
    </row>
    <row r="2" spans="2:5">
      <c r="B2" s="85"/>
      <c r="C2" s="85"/>
      <c r="D2" s="85"/>
      <c r="E2" s="240"/>
    </row>
    <row r="3" spans="2:5">
      <c r="B3" s="152" t="s">
        <v>239</v>
      </c>
      <c r="C3" s="333"/>
      <c r="D3" s="333"/>
      <c r="E3" s="334"/>
    </row>
    <row r="4" spans="2:5">
      <c r="B4" s="85"/>
      <c r="C4" s="327"/>
      <c r="D4" s="327"/>
      <c r="E4" s="327"/>
    </row>
    <row r="5" spans="2:5">
      <c r="B5" s="84" t="s">
        <v>159</v>
      </c>
      <c r="C5" s="323" t="str">
        <f>general!C4</f>
        <v xml:space="preserve">Prior Year </v>
      </c>
      <c r="D5" s="215" t="str">
        <f>general!D4</f>
        <v xml:space="preserve">Current Year </v>
      </c>
      <c r="E5" s="215" t="str">
        <f>general!E4</f>
        <v xml:space="preserve">Proposed Budget </v>
      </c>
    </row>
    <row r="6" spans="2:5">
      <c r="B6" s="484" t="str">
        <f>inputPrYr!B53</f>
        <v>County Wide Phones</v>
      </c>
      <c r="C6" s="315" t="str">
        <f>general!C5</f>
        <v>Actual for 2011</v>
      </c>
      <c r="D6" s="315" t="str">
        <f>general!D5</f>
        <v>Estimate for 2012</v>
      </c>
      <c r="E6" s="302" t="str">
        <f>general!E5</f>
        <v>Year for 2013</v>
      </c>
    </row>
    <row r="7" spans="2:5">
      <c r="B7" s="148" t="s">
        <v>280</v>
      </c>
      <c r="C7" s="112">
        <v>243878</v>
      </c>
      <c r="D7" s="265">
        <f>C30</f>
        <v>281157</v>
      </c>
      <c r="E7" s="265">
        <f>D30</f>
        <v>286157</v>
      </c>
    </row>
    <row r="8" spans="2:5">
      <c r="B8" s="336" t="s">
        <v>282</v>
      </c>
      <c r="C8" s="108"/>
      <c r="D8" s="108"/>
      <c r="E8" s="108"/>
    </row>
    <row r="9" spans="2:5">
      <c r="B9" s="318" t="s">
        <v>1011</v>
      </c>
      <c r="C9" s="112">
        <v>83302</v>
      </c>
      <c r="D9" s="112">
        <v>75000</v>
      </c>
      <c r="E9" s="112">
        <v>30000</v>
      </c>
    </row>
    <row r="10" spans="2:5">
      <c r="B10" s="318"/>
      <c r="C10" s="112"/>
      <c r="D10" s="112"/>
      <c r="E10" s="112"/>
    </row>
    <row r="11" spans="2:5">
      <c r="B11" s="318"/>
      <c r="C11" s="112"/>
      <c r="D11" s="112"/>
      <c r="E11" s="112"/>
    </row>
    <row r="12" spans="2:5">
      <c r="B12" s="308"/>
      <c r="C12" s="112"/>
      <c r="D12" s="112"/>
      <c r="E12" s="112"/>
    </row>
    <row r="13" spans="2:5">
      <c r="B13" s="309" t="s">
        <v>73</v>
      </c>
      <c r="C13" s="112"/>
      <c r="D13" s="304"/>
      <c r="E13" s="304"/>
    </row>
    <row r="14" spans="2:5">
      <c r="B14" s="309" t="s">
        <v>681</v>
      </c>
      <c r="C14" s="480" t="str">
        <f>IF(C15*0.1&lt;C13,"Exceed 10% Rule","")</f>
        <v/>
      </c>
      <c r="D14" s="310" t="str">
        <f>IF(D15*0.1&lt;D13,"Exceed 10% Rule","")</f>
        <v/>
      </c>
      <c r="E14" s="310" t="str">
        <f>IF(E15*0.1&lt;E13,"Exceed 10% Rule","")</f>
        <v/>
      </c>
    </row>
    <row r="15" spans="2:5">
      <c r="B15" s="311" t="s">
        <v>165</v>
      </c>
      <c r="C15" s="352">
        <f>SUM(C9:C13)</f>
        <v>83302</v>
      </c>
      <c r="D15" s="352">
        <f>SUM(D9:D13)</f>
        <v>75000</v>
      </c>
      <c r="E15" s="352">
        <f>SUM(E9:E13)</f>
        <v>30000</v>
      </c>
    </row>
    <row r="16" spans="2:5">
      <c r="B16" s="311" t="s">
        <v>166</v>
      </c>
      <c r="C16" s="352">
        <f>C15+C7</f>
        <v>327180</v>
      </c>
      <c r="D16" s="352">
        <f>D15+D7</f>
        <v>356157</v>
      </c>
      <c r="E16" s="352">
        <f>E15+E7</f>
        <v>316157</v>
      </c>
    </row>
    <row r="17" spans="2:5">
      <c r="B17" s="148" t="s">
        <v>169</v>
      </c>
      <c r="C17" s="265"/>
      <c r="D17" s="265"/>
      <c r="E17" s="265"/>
    </row>
    <row r="18" spans="2:5">
      <c r="B18" s="318" t="s">
        <v>1023</v>
      </c>
      <c r="C18" s="112">
        <v>46023</v>
      </c>
      <c r="D18" s="112">
        <v>70000</v>
      </c>
      <c r="E18" s="112">
        <v>70000</v>
      </c>
    </row>
    <row r="19" spans="2:5">
      <c r="B19" s="318"/>
      <c r="C19" s="112"/>
      <c r="D19" s="112"/>
      <c r="E19" s="112"/>
    </row>
    <row r="20" spans="2:5">
      <c r="B20" s="318"/>
      <c r="C20" s="112"/>
      <c r="D20" s="112"/>
      <c r="E20" s="112"/>
    </row>
    <row r="21" spans="2:5">
      <c r="B21" s="318"/>
      <c r="C21" s="112"/>
      <c r="D21" s="112"/>
      <c r="E21" s="112"/>
    </row>
    <row r="22" spans="2:5">
      <c r="B22" s="318"/>
      <c r="C22" s="112"/>
      <c r="D22" s="112"/>
      <c r="E22" s="112"/>
    </row>
    <row r="23" spans="2:5">
      <c r="B23" s="318"/>
      <c r="C23" s="112"/>
      <c r="D23" s="112"/>
      <c r="E23" s="112"/>
    </row>
    <row r="24" spans="2:5">
      <c r="B24" s="318"/>
      <c r="C24" s="112"/>
      <c r="D24" s="112"/>
      <c r="E24" s="112"/>
    </row>
    <row r="25" spans="2:5">
      <c r="B25" s="318"/>
      <c r="C25" s="112"/>
      <c r="D25" s="112"/>
      <c r="E25" s="112"/>
    </row>
    <row r="26" spans="2:5">
      <c r="B26" s="318"/>
      <c r="C26" s="112"/>
      <c r="D26" s="112"/>
      <c r="E26" s="112"/>
    </row>
    <row r="27" spans="2:5">
      <c r="B27" s="309" t="s">
        <v>73</v>
      </c>
      <c r="C27" s="112"/>
      <c r="D27" s="304"/>
      <c r="E27" s="304"/>
    </row>
    <row r="28" spans="2:5">
      <c r="B28" s="309" t="s">
        <v>680</v>
      </c>
      <c r="C28" s="480" t="str">
        <f>IF(C29*0.1&lt;C27,"Exceed 10% Rule","")</f>
        <v/>
      </c>
      <c r="D28" s="310" t="str">
        <f>IF(D29*0.1&lt;D27,"Exceed 10% Rule","")</f>
        <v/>
      </c>
      <c r="E28" s="310" t="str">
        <f>IF(E29*0.1&lt;E27,"Exceed 10% Rule","")</f>
        <v/>
      </c>
    </row>
    <row r="29" spans="2:5">
      <c r="B29" s="311" t="s">
        <v>170</v>
      </c>
      <c r="C29" s="352">
        <f>SUM(C18:C27)</f>
        <v>46023</v>
      </c>
      <c r="D29" s="352">
        <f>SUM(D18:D27)</f>
        <v>70000</v>
      </c>
      <c r="E29" s="352">
        <f>SUM(E18:E27)</f>
        <v>70000</v>
      </c>
    </row>
    <row r="30" spans="2:5">
      <c r="B30" s="148" t="s">
        <v>281</v>
      </c>
      <c r="C30" s="120">
        <f>C16-C29</f>
        <v>281157</v>
      </c>
      <c r="D30" s="120">
        <f>D16-D29</f>
        <v>286157</v>
      </c>
      <c r="E30" s="120">
        <f>E16-E29</f>
        <v>246157</v>
      </c>
    </row>
    <row r="31" spans="2:5">
      <c r="B31" s="287" t="str">
        <f>CONCATENATE("",E$1-2,"/",E$1-1," Budget Authority Amount:")</f>
        <v>2011/2012 Budget Authority Amount:</v>
      </c>
      <c r="C31" s="279">
        <f>inputOth!B65</f>
        <v>200000</v>
      </c>
      <c r="D31" s="279">
        <f>inputPrYr!D53</f>
        <v>70000</v>
      </c>
      <c r="E31" s="479" t="str">
        <f>IF(E30&lt;0,"See Tab E","")</f>
        <v/>
      </c>
    </row>
    <row r="32" spans="2:5">
      <c r="B32" s="287"/>
      <c r="C32" s="321" t="str">
        <f>IF(C29&gt;C31,"See Tab A","")</f>
        <v/>
      </c>
      <c r="D32" s="321" t="str">
        <f>IF(D29&gt;D31,"See Tab C","")</f>
        <v/>
      </c>
      <c r="E32" s="145"/>
    </row>
    <row r="33" spans="2:5">
      <c r="B33" s="287"/>
      <c r="C33" s="321" t="str">
        <f>IF(C30&lt;0,"See Tab B","")</f>
        <v/>
      </c>
      <c r="D33" s="321" t="str">
        <f>IF(D30&lt;0,"See Tab D","")</f>
        <v/>
      </c>
      <c r="E33" s="145"/>
    </row>
    <row r="34" spans="2:5">
      <c r="B34" s="85"/>
      <c r="C34" s="145"/>
      <c r="D34" s="145"/>
      <c r="E34" s="145"/>
    </row>
    <row r="35" spans="2:5">
      <c r="B35" s="84" t="s">
        <v>159</v>
      </c>
      <c r="C35" s="327"/>
      <c r="D35" s="327"/>
      <c r="E35" s="327"/>
    </row>
    <row r="36" spans="2:5">
      <c r="B36" s="85"/>
      <c r="C36" s="323" t="str">
        <f t="shared" ref="C36:E37" si="0">C5</f>
        <v xml:space="preserve">Prior Year </v>
      </c>
      <c r="D36" s="215" t="str">
        <f t="shared" si="0"/>
        <v xml:space="preserve">Current Year </v>
      </c>
      <c r="E36" s="215" t="str">
        <f t="shared" si="0"/>
        <v xml:space="preserve">Proposed Budget </v>
      </c>
    </row>
    <row r="37" spans="2:5">
      <c r="B37" s="484" t="str">
        <f>inputPrYr!B54</f>
        <v>Noxious Weeds Capital</v>
      </c>
      <c r="C37" s="315" t="str">
        <f t="shared" si="0"/>
        <v>Actual for 2011</v>
      </c>
      <c r="D37" s="315" t="str">
        <f t="shared" si="0"/>
        <v>Estimate for 2012</v>
      </c>
      <c r="E37" s="302" t="str">
        <f t="shared" si="0"/>
        <v>Year for 2013</v>
      </c>
    </row>
    <row r="38" spans="2:5">
      <c r="B38" s="148" t="s">
        <v>280</v>
      </c>
      <c r="C38" s="112">
        <v>127043</v>
      </c>
      <c r="D38" s="265">
        <f>C61</f>
        <v>125807</v>
      </c>
      <c r="E38" s="265">
        <f>D61</f>
        <v>110807</v>
      </c>
    </row>
    <row r="39" spans="2:5">
      <c r="B39" s="336" t="s">
        <v>282</v>
      </c>
      <c r="C39" s="108"/>
      <c r="D39" s="108"/>
      <c r="E39" s="108"/>
    </row>
    <row r="40" spans="2:5">
      <c r="B40" s="318" t="s">
        <v>1031</v>
      </c>
      <c r="C40" s="112">
        <v>0</v>
      </c>
      <c r="D40" s="112">
        <v>0</v>
      </c>
      <c r="E40" s="112">
        <v>0</v>
      </c>
    </row>
    <row r="41" spans="2:5">
      <c r="B41" s="318"/>
      <c r="C41" s="112"/>
      <c r="D41" s="112"/>
      <c r="E41" s="112"/>
    </row>
    <row r="42" spans="2:5">
      <c r="B42" s="318"/>
      <c r="C42" s="112"/>
      <c r="D42" s="112"/>
      <c r="E42" s="112"/>
    </row>
    <row r="43" spans="2:5">
      <c r="B43" s="308"/>
      <c r="C43" s="112"/>
      <c r="D43" s="112"/>
      <c r="E43" s="112"/>
    </row>
    <row r="44" spans="2:5">
      <c r="B44" s="309" t="s">
        <v>73</v>
      </c>
      <c r="C44" s="112"/>
      <c r="D44" s="304"/>
      <c r="E44" s="304"/>
    </row>
    <row r="45" spans="2:5">
      <c r="B45" s="309" t="s">
        <v>681</v>
      </c>
      <c r="C45" s="480" t="str">
        <f>IF(C46*0.1&lt;C44,"Exceed 10% Rule","")</f>
        <v/>
      </c>
      <c r="D45" s="310" t="str">
        <f>IF(D46*0.1&lt;D44,"Exceed 10% Rule","")</f>
        <v/>
      </c>
      <c r="E45" s="310" t="str">
        <f>IF(E46*0.1&lt;E44,"Exceed 10% Rule","")</f>
        <v/>
      </c>
    </row>
    <row r="46" spans="2:5">
      <c r="B46" s="311" t="s">
        <v>165</v>
      </c>
      <c r="C46" s="352">
        <f>SUM(C40:C44)</f>
        <v>0</v>
      </c>
      <c r="D46" s="352">
        <f>SUM(D40:D44)</f>
        <v>0</v>
      </c>
      <c r="E46" s="352">
        <f>SUM(E40:E44)</f>
        <v>0</v>
      </c>
    </row>
    <row r="47" spans="2:5">
      <c r="B47" s="311" t="s">
        <v>166</v>
      </c>
      <c r="C47" s="352">
        <f>C38+C46</f>
        <v>127043</v>
      </c>
      <c r="D47" s="352">
        <f>D38+D46</f>
        <v>125807</v>
      </c>
      <c r="E47" s="352">
        <f>E38+E46</f>
        <v>110807</v>
      </c>
    </row>
    <row r="48" spans="2:5">
      <c r="B48" s="148" t="s">
        <v>169</v>
      </c>
      <c r="C48" s="265"/>
      <c r="D48" s="265"/>
      <c r="E48" s="265"/>
    </row>
    <row r="49" spans="2:5">
      <c r="B49" s="318" t="s">
        <v>1023</v>
      </c>
      <c r="C49" s="112">
        <v>1236</v>
      </c>
      <c r="D49" s="112">
        <v>15000</v>
      </c>
      <c r="E49" s="112">
        <v>15000</v>
      </c>
    </row>
    <row r="50" spans="2:5">
      <c r="B50" s="318"/>
      <c r="C50" s="112"/>
      <c r="D50" s="112"/>
      <c r="E50" s="112"/>
    </row>
    <row r="51" spans="2:5">
      <c r="B51" s="318"/>
      <c r="C51" s="112"/>
      <c r="D51" s="112"/>
      <c r="E51" s="112"/>
    </row>
    <row r="52" spans="2:5">
      <c r="B52" s="318"/>
      <c r="C52" s="112"/>
      <c r="D52" s="112"/>
      <c r="E52" s="112"/>
    </row>
    <row r="53" spans="2:5">
      <c r="B53" s="318"/>
      <c r="C53" s="112"/>
      <c r="D53" s="112"/>
      <c r="E53" s="112"/>
    </row>
    <row r="54" spans="2:5">
      <c r="B54" s="318"/>
      <c r="C54" s="112"/>
      <c r="D54" s="112"/>
      <c r="E54" s="112"/>
    </row>
    <row r="55" spans="2:5">
      <c r="B55" s="318"/>
      <c r="C55" s="112"/>
      <c r="D55" s="112"/>
      <c r="E55" s="112"/>
    </row>
    <row r="56" spans="2:5">
      <c r="B56" s="318"/>
      <c r="C56" s="112"/>
      <c r="D56" s="112"/>
      <c r="E56" s="112"/>
    </row>
    <row r="57" spans="2:5">
      <c r="B57" s="318"/>
      <c r="C57" s="112"/>
      <c r="D57" s="112"/>
      <c r="E57" s="112"/>
    </row>
    <row r="58" spans="2:5">
      <c r="B58" s="309" t="s">
        <v>73</v>
      </c>
      <c r="C58" s="112"/>
      <c r="D58" s="304"/>
      <c r="E58" s="304"/>
    </row>
    <row r="59" spans="2:5">
      <c r="B59" s="309" t="s">
        <v>680</v>
      </c>
      <c r="C59" s="480" t="str">
        <f>IF(C60*0.1&lt;C58,"Exceed 10% Rule","")</f>
        <v/>
      </c>
      <c r="D59" s="310" t="str">
        <f>IF(D60*0.1&lt;D58,"Exceed 10% Rule","")</f>
        <v/>
      </c>
      <c r="E59" s="310" t="str">
        <f>IF(E60*0.1&lt;E58,"Exceed 10% Rule","")</f>
        <v/>
      </c>
    </row>
    <row r="60" spans="2:5">
      <c r="B60" s="311" t="s">
        <v>170</v>
      </c>
      <c r="C60" s="352">
        <f>SUM(C49:C58)</f>
        <v>1236</v>
      </c>
      <c r="D60" s="352">
        <f>SUM(D49:D58)</f>
        <v>15000</v>
      </c>
      <c r="E60" s="352">
        <f>SUM(E49:E58)</f>
        <v>15000</v>
      </c>
    </row>
    <row r="61" spans="2:5">
      <c r="B61" s="148" t="s">
        <v>281</v>
      </c>
      <c r="C61" s="120">
        <f>C47-C60</f>
        <v>125807</v>
      </c>
      <c r="D61" s="120">
        <f>D47-D60</f>
        <v>110807</v>
      </c>
      <c r="E61" s="120">
        <f>E47-E60</f>
        <v>95807</v>
      </c>
    </row>
    <row r="62" spans="2:5">
      <c r="B62" s="287" t="str">
        <f>CONCATENATE("",E$1-2,"/",E$1-1," Budget Authority Amount:")</f>
        <v>2011/2012 Budget Authority Amount:</v>
      </c>
      <c r="C62" s="279">
        <f>inputOth!B66</f>
        <v>15000</v>
      </c>
      <c r="D62" s="279">
        <f>inputPrYr!D54</f>
        <v>15000</v>
      </c>
      <c r="E62" s="478" t="str">
        <f>IF(E61&lt;0,"See Tab E","")</f>
        <v/>
      </c>
    </row>
    <row r="63" spans="2:5">
      <c r="B63" s="287"/>
      <c r="C63" s="321" t="str">
        <f>IF(C60&gt;C62,"See Tab A","")</f>
        <v/>
      </c>
      <c r="D63" s="321" t="str">
        <f>IF(D60&gt;D62,"See Tab C","")</f>
        <v/>
      </c>
      <c r="E63" s="85"/>
    </row>
    <row r="64" spans="2:5">
      <c r="B64" s="287"/>
      <c r="C64" s="321" t="str">
        <f>IF(C61&lt;0,"See Tab B","")</f>
        <v/>
      </c>
      <c r="D64" s="321" t="str">
        <f>IF(D61&lt;0,"See Tab D","")</f>
        <v/>
      </c>
      <c r="E64" s="85"/>
    </row>
    <row r="65" spans="2:5">
      <c r="B65" s="85"/>
      <c r="C65" s="85"/>
      <c r="D65" s="85"/>
      <c r="E65" s="85"/>
    </row>
    <row r="66" spans="2:5">
      <c r="B66" s="287" t="s">
        <v>190</v>
      </c>
      <c r="C66" s="349"/>
      <c r="D66" s="85"/>
      <c r="E66" s="85"/>
    </row>
  </sheetData>
  <sheetProtection sheet="1" objects="1" scenarios="1"/>
  <phoneticPr fontId="8" type="noConversion"/>
  <conditionalFormatting sqref="C27">
    <cfRule type="cellIs" dxfId="56" priority="3" stopIfTrue="1" operator="greaterThan">
      <formula>$C$29*0.1</formula>
    </cfRule>
  </conditionalFormatting>
  <conditionalFormatting sqref="D27">
    <cfRule type="cellIs" dxfId="55" priority="4" stopIfTrue="1" operator="greaterThan">
      <formula>$D$29*0.1</formula>
    </cfRule>
  </conditionalFormatting>
  <conditionalFormatting sqref="E27">
    <cfRule type="cellIs" dxfId="54" priority="5" stopIfTrue="1" operator="greaterThan">
      <formula>$E$29*0.1</formula>
    </cfRule>
  </conditionalFormatting>
  <conditionalFormatting sqref="C13">
    <cfRule type="cellIs" dxfId="53" priority="6" stopIfTrue="1" operator="greaterThan">
      <formula>$C$15*0.1</formula>
    </cfRule>
  </conditionalFormatting>
  <conditionalFormatting sqref="D13">
    <cfRule type="cellIs" dxfId="52" priority="7" stopIfTrue="1" operator="greaterThan">
      <formula>$D$15*0.1</formula>
    </cfRule>
  </conditionalFormatting>
  <conditionalFormatting sqref="E13">
    <cfRule type="cellIs" dxfId="51" priority="8" stopIfTrue="1" operator="greaterThan">
      <formula>$E$15*0.1</formula>
    </cfRule>
  </conditionalFormatting>
  <conditionalFormatting sqref="C44">
    <cfRule type="cellIs" dxfId="50" priority="9" stopIfTrue="1" operator="greaterThan">
      <formula>$C$46*0.1</formula>
    </cfRule>
  </conditionalFormatting>
  <conditionalFormatting sqref="D44">
    <cfRule type="cellIs" dxfId="49" priority="10" stopIfTrue="1" operator="greaterThan">
      <formula>$D$46*0.1</formula>
    </cfRule>
  </conditionalFormatting>
  <conditionalFormatting sqref="E44">
    <cfRule type="cellIs" dxfId="48" priority="11" stopIfTrue="1" operator="greaterThan">
      <formula>$E$46*0.1</formula>
    </cfRule>
  </conditionalFormatting>
  <conditionalFormatting sqref="C58">
    <cfRule type="cellIs" dxfId="47" priority="12" stopIfTrue="1" operator="greaterThan">
      <formula>$C$60*0.1</formula>
    </cfRule>
  </conditionalFormatting>
  <conditionalFormatting sqref="D58">
    <cfRule type="cellIs" dxfId="46" priority="13" stopIfTrue="1" operator="greaterThan">
      <formula>$D$60*0.1</formula>
    </cfRule>
  </conditionalFormatting>
  <conditionalFormatting sqref="E58">
    <cfRule type="cellIs" dxfId="45" priority="14" stopIfTrue="1" operator="greaterThan">
      <formula>$E$60*0.1</formula>
    </cfRule>
  </conditionalFormatting>
  <conditionalFormatting sqref="E30 C30 E61 C61">
    <cfRule type="cellIs" dxfId="44" priority="15" stopIfTrue="1" operator="lessThan">
      <formula>0</formula>
    </cfRule>
  </conditionalFormatting>
  <conditionalFormatting sqref="D29:E29">
    <cfRule type="cellIs" dxfId="43" priority="16" stopIfTrue="1" operator="greaterThan">
      <formula>$D$31</formula>
    </cfRule>
  </conditionalFormatting>
  <conditionalFormatting sqref="C29:E29">
    <cfRule type="cellIs" dxfId="42" priority="17" stopIfTrue="1" operator="greaterThan">
      <formula>$C$31</formula>
    </cfRule>
  </conditionalFormatting>
  <conditionalFormatting sqref="D60">
    <cfRule type="cellIs" dxfId="41" priority="18" stopIfTrue="1" operator="greaterThan">
      <formula>$D$62</formula>
    </cfRule>
  </conditionalFormatting>
  <conditionalFormatting sqref="C60">
    <cfRule type="cellIs" dxfId="40" priority="19" stopIfTrue="1" operator="greaterThan">
      <formula>$C$62</formula>
    </cfRule>
  </conditionalFormatting>
  <conditionalFormatting sqref="D30">
    <cfRule type="cellIs" dxfId="39" priority="2" stopIfTrue="1" operator="lessThan">
      <formula>0</formula>
    </cfRule>
  </conditionalFormatting>
  <conditionalFormatting sqref="D61">
    <cfRule type="cellIs" dxfId="38" priority="1" stopIfTrue="1" operator="lessThan">
      <formula>0</formula>
    </cfRule>
  </conditionalFormatting>
  <pageMargins left="0.75" right="0.75" top="1" bottom="1" header="0.5" footer="0.5"/>
  <pageSetup scale="63" orientation="portrait" blackAndWhite="1" r:id="rId1"/>
  <headerFooter alignWithMargins="0">
    <oddHeader>&amp;RState of Kansas
County</oddHeader>
  </headerFooter>
</worksheet>
</file>

<file path=xl/worksheets/sheet35.xml><?xml version="1.0" encoding="utf-8"?>
<worksheet xmlns="http://schemas.openxmlformats.org/spreadsheetml/2006/main" xmlns:r="http://schemas.openxmlformats.org/officeDocument/2006/relationships">
  <sheetPr codeName="Sheet30">
    <pageSetUpPr fitToPage="1"/>
  </sheetPr>
  <dimension ref="B1:E66"/>
  <sheetViews>
    <sheetView topLeftCell="A34" workbookViewId="0">
      <selection activeCell="I56" sqref="I56"/>
    </sheetView>
  </sheetViews>
  <sheetFormatPr defaultColWidth="8.88671875" defaultRowHeight="15.75"/>
  <cols>
    <col min="1" max="1" width="2.44140625" style="72" customWidth="1"/>
    <col min="2" max="2" width="31.109375" style="72" customWidth="1"/>
    <col min="3" max="4" width="15.77734375" style="72" customWidth="1"/>
    <col min="5" max="5" width="16.21875" style="72" customWidth="1"/>
    <col min="6" max="16384" width="8.88671875" style="72"/>
  </cols>
  <sheetData>
    <row r="1" spans="2:5">
      <c r="B1" s="228" t="str">
        <f>(inputPrYr!C2)</f>
        <v>Franklin County</v>
      </c>
      <c r="C1" s="85"/>
      <c r="D1" s="85"/>
      <c r="E1" s="286">
        <f>inputPrYr!C4</f>
        <v>2013</v>
      </c>
    </row>
    <row r="2" spans="2:5">
      <c r="B2" s="85"/>
      <c r="C2" s="85"/>
      <c r="D2" s="85"/>
      <c r="E2" s="240"/>
    </row>
    <row r="3" spans="2:5">
      <c r="B3" s="152" t="s">
        <v>239</v>
      </c>
      <c r="C3" s="333"/>
      <c r="D3" s="333"/>
      <c r="E3" s="334"/>
    </row>
    <row r="4" spans="2:5">
      <c r="B4" s="85"/>
      <c r="C4" s="327"/>
      <c r="D4" s="327"/>
      <c r="E4" s="327"/>
    </row>
    <row r="5" spans="2:5">
      <c r="B5" s="84" t="s">
        <v>159</v>
      </c>
      <c r="C5" s="323" t="str">
        <f>general!C4</f>
        <v xml:space="preserve">Prior Year </v>
      </c>
      <c r="D5" s="215" t="str">
        <f>general!D4</f>
        <v xml:space="preserve">Current Year </v>
      </c>
      <c r="E5" s="215" t="str">
        <f>general!E4</f>
        <v xml:space="preserve">Proposed Budget </v>
      </c>
    </row>
    <row r="6" spans="2:5">
      <c r="B6" s="484" t="str">
        <f>inputPrYr!B55</f>
        <v>Hospital Sales Tax</v>
      </c>
      <c r="C6" s="315" t="str">
        <f>general!C5</f>
        <v>Actual for 2011</v>
      </c>
      <c r="D6" s="315" t="str">
        <f>general!D5</f>
        <v>Estimate for 2012</v>
      </c>
      <c r="E6" s="302" t="str">
        <f>general!E5</f>
        <v>Year for 2013</v>
      </c>
    </row>
    <row r="7" spans="2:5">
      <c r="B7" s="148" t="s">
        <v>280</v>
      </c>
      <c r="C7" s="112">
        <v>0</v>
      </c>
      <c r="D7" s="265">
        <f>C30</f>
        <v>0</v>
      </c>
      <c r="E7" s="265">
        <f>D30</f>
        <v>0</v>
      </c>
    </row>
    <row r="8" spans="2:5">
      <c r="B8" s="336" t="s">
        <v>282</v>
      </c>
      <c r="C8" s="108"/>
      <c r="D8" s="108"/>
      <c r="E8" s="108"/>
    </row>
    <row r="9" spans="2:5">
      <c r="B9" s="318" t="s">
        <v>1032</v>
      </c>
      <c r="C9" s="112">
        <v>1524592</v>
      </c>
      <c r="D9" s="112">
        <v>1500000</v>
      </c>
      <c r="E9" s="112">
        <v>1700000</v>
      </c>
    </row>
    <row r="10" spans="2:5">
      <c r="B10" s="318"/>
      <c r="C10" s="112"/>
      <c r="D10" s="112"/>
      <c r="E10" s="112"/>
    </row>
    <row r="11" spans="2:5">
      <c r="B11" s="318"/>
      <c r="C11" s="112"/>
      <c r="D11" s="112"/>
      <c r="E11" s="112"/>
    </row>
    <row r="12" spans="2:5">
      <c r="B12" s="308"/>
      <c r="C12" s="112"/>
      <c r="D12" s="112"/>
      <c r="E12" s="112"/>
    </row>
    <row r="13" spans="2:5">
      <c r="B13" s="309" t="s">
        <v>73</v>
      </c>
      <c r="C13" s="112"/>
      <c r="D13" s="304"/>
      <c r="E13" s="304"/>
    </row>
    <row r="14" spans="2:5">
      <c r="B14" s="309" t="s">
        <v>681</v>
      </c>
      <c r="C14" s="480" t="str">
        <f>IF(C15*0.1&lt;C13,"Exceed 10% Rule","")</f>
        <v/>
      </c>
      <c r="D14" s="310" t="str">
        <f>IF(D15*0.1&lt;D13,"Exceed 10% Rule","")</f>
        <v/>
      </c>
      <c r="E14" s="310" t="str">
        <f>IF(E15*0.1&lt;E13,"Exceed 10% Rule","")</f>
        <v/>
      </c>
    </row>
    <row r="15" spans="2:5">
      <c r="B15" s="311" t="s">
        <v>165</v>
      </c>
      <c r="C15" s="352">
        <f>SUM(C9:C13)</f>
        <v>1524592</v>
      </c>
      <c r="D15" s="352">
        <f>SUM(D9:D13)</f>
        <v>1500000</v>
      </c>
      <c r="E15" s="352">
        <f>SUM(E9:E13)</f>
        <v>1700000</v>
      </c>
    </row>
    <row r="16" spans="2:5">
      <c r="B16" s="311" t="s">
        <v>166</v>
      </c>
      <c r="C16" s="352">
        <f>C15+C7</f>
        <v>1524592</v>
      </c>
      <c r="D16" s="352">
        <f>D15+D7</f>
        <v>1500000</v>
      </c>
      <c r="E16" s="352">
        <f>E15+E7</f>
        <v>1700000</v>
      </c>
    </row>
    <row r="17" spans="2:5">
      <c r="B17" s="148" t="s">
        <v>169</v>
      </c>
      <c r="C17" s="265"/>
      <c r="D17" s="265"/>
      <c r="E17" s="265"/>
    </row>
    <row r="18" spans="2:5">
      <c r="B18" s="318" t="s">
        <v>1023</v>
      </c>
      <c r="C18" s="112">
        <v>1524592</v>
      </c>
      <c r="D18" s="112">
        <v>1500000</v>
      </c>
      <c r="E18" s="112">
        <v>1700000</v>
      </c>
    </row>
    <row r="19" spans="2:5">
      <c r="B19" s="318"/>
      <c r="C19" s="112"/>
      <c r="D19" s="112"/>
      <c r="E19" s="112"/>
    </row>
    <row r="20" spans="2:5">
      <c r="B20" s="318"/>
      <c r="C20" s="112"/>
      <c r="D20" s="112"/>
      <c r="E20" s="112"/>
    </row>
    <row r="21" spans="2:5">
      <c r="B21" s="318"/>
      <c r="C21" s="112"/>
      <c r="D21" s="112"/>
      <c r="E21" s="112"/>
    </row>
    <row r="22" spans="2:5">
      <c r="B22" s="318"/>
      <c r="C22" s="112"/>
      <c r="D22" s="112"/>
      <c r="E22" s="112"/>
    </row>
    <row r="23" spans="2:5">
      <c r="B23" s="318"/>
      <c r="C23" s="112"/>
      <c r="D23" s="112"/>
      <c r="E23" s="112"/>
    </row>
    <row r="24" spans="2:5">
      <c r="B24" s="318"/>
      <c r="C24" s="112"/>
      <c r="D24" s="112"/>
      <c r="E24" s="112"/>
    </row>
    <row r="25" spans="2:5">
      <c r="B25" s="318"/>
      <c r="C25" s="112"/>
      <c r="D25" s="112"/>
      <c r="E25" s="112"/>
    </row>
    <row r="26" spans="2:5">
      <c r="B26" s="318"/>
      <c r="C26" s="112"/>
      <c r="D26" s="112"/>
      <c r="E26" s="112"/>
    </row>
    <row r="27" spans="2:5">
      <c r="B27" s="309" t="s">
        <v>73</v>
      </c>
      <c r="C27" s="112"/>
      <c r="D27" s="304"/>
      <c r="E27" s="304"/>
    </row>
    <row r="28" spans="2:5">
      <c r="B28" s="309" t="s">
        <v>680</v>
      </c>
      <c r="C28" s="480" t="str">
        <f>IF(C29*0.1&lt;C27,"Exceed 10% Rule","")</f>
        <v/>
      </c>
      <c r="D28" s="310" t="str">
        <f>IF(D29*0.1&lt;D27,"Exceed 10% Rule","")</f>
        <v/>
      </c>
      <c r="E28" s="310" t="str">
        <f>IF(E29*0.1&lt;E27,"Exceed 10% Rule","")</f>
        <v/>
      </c>
    </row>
    <row r="29" spans="2:5">
      <c r="B29" s="311" t="s">
        <v>170</v>
      </c>
      <c r="C29" s="352">
        <f>SUM(C18:C27)</f>
        <v>1524592</v>
      </c>
      <c r="D29" s="352">
        <f>SUM(D18:D27)</f>
        <v>1500000</v>
      </c>
      <c r="E29" s="352">
        <f>SUM(E18:E27)</f>
        <v>1700000</v>
      </c>
    </row>
    <row r="30" spans="2:5">
      <c r="B30" s="148" t="s">
        <v>281</v>
      </c>
      <c r="C30" s="120">
        <f>C16-C29</f>
        <v>0</v>
      </c>
      <c r="D30" s="120">
        <f>D16-D29</f>
        <v>0</v>
      </c>
      <c r="E30" s="120">
        <f>E16-E29</f>
        <v>0</v>
      </c>
    </row>
    <row r="31" spans="2:5">
      <c r="B31" s="287" t="str">
        <f>CONCATENATE("",E$1-2,"/",E$1-1," Budget Authority Amount:")</f>
        <v>2011/2012 Budget Authority Amount:</v>
      </c>
      <c r="C31" s="279">
        <f>inputOth!B67</f>
        <v>1500000</v>
      </c>
      <c r="D31" s="279">
        <f>inputPrYr!D55</f>
        <v>1500000</v>
      </c>
      <c r="E31" s="479" t="str">
        <f>IF(E30&lt;0,"See Tab E","")</f>
        <v/>
      </c>
    </row>
    <row r="32" spans="2:5">
      <c r="B32" s="287"/>
      <c r="C32" s="321" t="str">
        <f>IF(C29&gt;C31,"See Tab A","")</f>
        <v>See Tab A</v>
      </c>
      <c r="D32" s="321" t="str">
        <f>IF(D29&gt;D31,"See Tab C","")</f>
        <v/>
      </c>
      <c r="E32" s="145"/>
    </row>
    <row r="33" spans="2:5">
      <c r="B33" s="287"/>
      <c r="C33" s="321" t="str">
        <f>IF(C30&lt;0,"See Tab B","")</f>
        <v/>
      </c>
      <c r="D33" s="321" t="str">
        <f>IF(D30&lt;0,"See Tab D","")</f>
        <v/>
      </c>
      <c r="E33" s="145"/>
    </row>
    <row r="34" spans="2:5">
      <c r="B34" s="85"/>
      <c r="C34" s="145"/>
      <c r="D34" s="145"/>
      <c r="E34" s="145"/>
    </row>
    <row r="35" spans="2:5">
      <c r="B35" s="84" t="s">
        <v>159</v>
      </c>
      <c r="C35" s="327"/>
      <c r="D35" s="327"/>
      <c r="E35" s="327"/>
    </row>
    <row r="36" spans="2:5">
      <c r="B36" s="85"/>
      <c r="C36" s="323" t="str">
        <f t="shared" ref="C36:E37" si="0">C5</f>
        <v xml:space="preserve">Prior Year </v>
      </c>
      <c r="D36" s="215" t="str">
        <f t="shared" si="0"/>
        <v xml:space="preserve">Current Year </v>
      </c>
      <c r="E36" s="215" t="str">
        <f t="shared" si="0"/>
        <v xml:space="preserve">Proposed Budget </v>
      </c>
    </row>
    <row r="37" spans="2:5">
      <c r="B37" s="483" t="str">
        <f>inputPrYr!B56</f>
        <v>911 Phone Tax</v>
      </c>
      <c r="C37" s="315" t="str">
        <f t="shared" si="0"/>
        <v>Actual for 2011</v>
      </c>
      <c r="D37" s="315" t="str">
        <f t="shared" si="0"/>
        <v>Estimate for 2012</v>
      </c>
      <c r="E37" s="302" t="str">
        <f t="shared" si="0"/>
        <v>Year for 2013</v>
      </c>
    </row>
    <row r="38" spans="2:5">
      <c r="B38" s="148" t="s">
        <v>280</v>
      </c>
      <c r="C38" s="112">
        <v>0</v>
      </c>
      <c r="D38" s="265">
        <f>C61</f>
        <v>0</v>
      </c>
      <c r="E38" s="265">
        <f>D61</f>
        <v>158000</v>
      </c>
    </row>
    <row r="39" spans="2:5">
      <c r="B39" s="148" t="s">
        <v>282</v>
      </c>
      <c r="C39" s="108"/>
      <c r="D39" s="108"/>
      <c r="E39" s="108"/>
    </row>
    <row r="40" spans="2:5">
      <c r="B40" s="318" t="s">
        <v>1027</v>
      </c>
      <c r="C40" s="112">
        <v>0</v>
      </c>
      <c r="D40" s="112">
        <v>158000</v>
      </c>
      <c r="E40" s="112">
        <v>160000</v>
      </c>
    </row>
    <row r="41" spans="2:5">
      <c r="B41" s="318" t="s">
        <v>1034</v>
      </c>
      <c r="C41" s="112">
        <v>0</v>
      </c>
      <c r="D41" s="112">
        <v>0</v>
      </c>
      <c r="E41" s="112">
        <v>259156</v>
      </c>
    </row>
    <row r="42" spans="2:5">
      <c r="B42" s="318" t="s">
        <v>1035</v>
      </c>
      <c r="C42" s="112">
        <v>0</v>
      </c>
      <c r="D42" s="112">
        <v>0</v>
      </c>
      <c r="E42" s="112">
        <v>133419</v>
      </c>
    </row>
    <row r="43" spans="2:5">
      <c r="B43" s="308"/>
      <c r="C43" s="112"/>
      <c r="D43" s="112"/>
      <c r="E43" s="112"/>
    </row>
    <row r="44" spans="2:5">
      <c r="B44" s="309" t="s">
        <v>73</v>
      </c>
      <c r="C44" s="112"/>
      <c r="D44" s="304"/>
      <c r="E44" s="304"/>
    </row>
    <row r="45" spans="2:5">
      <c r="B45" s="309" t="s">
        <v>681</v>
      </c>
      <c r="C45" s="480" t="str">
        <f>IF(C46*0.1&lt;C44,"Exceed 10% Rule","")</f>
        <v/>
      </c>
      <c r="D45" s="310" t="str">
        <f>IF(D46*0.1&lt;D44,"Exceed 10% Rule","")</f>
        <v/>
      </c>
      <c r="E45" s="310" t="str">
        <f>IF(E46*0.1&lt;E44,"Exceed 10% Rule","")</f>
        <v/>
      </c>
    </row>
    <row r="46" spans="2:5">
      <c r="B46" s="311" t="s">
        <v>165</v>
      </c>
      <c r="C46" s="352">
        <f>SUM(C40:C44)</f>
        <v>0</v>
      </c>
      <c r="D46" s="352">
        <f>SUM(D40:D44)</f>
        <v>158000</v>
      </c>
      <c r="E46" s="352">
        <f>SUM(E40:E44)</f>
        <v>552575</v>
      </c>
    </row>
    <row r="47" spans="2:5">
      <c r="B47" s="311" t="s">
        <v>166</v>
      </c>
      <c r="C47" s="352">
        <f>C38+C46</f>
        <v>0</v>
      </c>
      <c r="D47" s="352">
        <f>D38+D46</f>
        <v>158000</v>
      </c>
      <c r="E47" s="352">
        <f>E38+E46</f>
        <v>710575</v>
      </c>
    </row>
    <row r="48" spans="2:5">
      <c r="B48" s="148" t="s">
        <v>169</v>
      </c>
      <c r="C48" s="265"/>
      <c r="D48" s="265"/>
      <c r="E48" s="265"/>
    </row>
    <row r="49" spans="2:5">
      <c r="B49" s="318" t="s">
        <v>1023</v>
      </c>
      <c r="C49" s="112">
        <v>0</v>
      </c>
      <c r="D49" s="112">
        <v>0</v>
      </c>
      <c r="E49" s="112">
        <v>100000</v>
      </c>
    </row>
    <row r="50" spans="2:5">
      <c r="B50" s="318"/>
      <c r="C50" s="112"/>
      <c r="D50" s="112"/>
      <c r="E50" s="112"/>
    </row>
    <row r="51" spans="2:5">
      <c r="B51" s="318"/>
      <c r="C51" s="112"/>
      <c r="D51" s="112"/>
      <c r="E51" s="112"/>
    </row>
    <row r="52" spans="2:5">
      <c r="B52" s="318"/>
      <c r="C52" s="112"/>
      <c r="D52" s="112"/>
      <c r="E52" s="112"/>
    </row>
    <row r="53" spans="2:5">
      <c r="B53" s="318"/>
      <c r="C53" s="112"/>
      <c r="D53" s="112"/>
      <c r="E53" s="112"/>
    </row>
    <row r="54" spans="2:5">
      <c r="B54" s="318"/>
      <c r="C54" s="112"/>
      <c r="D54" s="112"/>
      <c r="E54" s="112"/>
    </row>
    <row r="55" spans="2:5">
      <c r="B55" s="318"/>
      <c r="C55" s="112"/>
      <c r="D55" s="112"/>
      <c r="E55" s="112"/>
    </row>
    <row r="56" spans="2:5">
      <c r="B56" s="318"/>
      <c r="C56" s="112"/>
      <c r="D56" s="112"/>
      <c r="E56" s="112"/>
    </row>
    <row r="57" spans="2:5">
      <c r="B57" s="318"/>
      <c r="C57" s="112"/>
      <c r="D57" s="112"/>
      <c r="E57" s="112"/>
    </row>
    <row r="58" spans="2:5">
      <c r="B58" s="309" t="s">
        <v>73</v>
      </c>
      <c r="C58" s="112"/>
      <c r="D58" s="304"/>
      <c r="E58" s="304"/>
    </row>
    <row r="59" spans="2:5">
      <c r="B59" s="309" t="s">
        <v>680</v>
      </c>
      <c r="C59" s="480" t="str">
        <f>IF(C60*0.1&lt;C58,"Exceed 10% Rule","")</f>
        <v/>
      </c>
      <c r="D59" s="310" t="str">
        <f>IF(D60*0.1&lt;D58,"Exceed 10% Rule","")</f>
        <v/>
      </c>
      <c r="E59" s="310" t="str">
        <f>IF(E60*0.1&lt;E58,"Exceed 10% Rule","")</f>
        <v/>
      </c>
    </row>
    <row r="60" spans="2:5">
      <c r="B60" s="311" t="s">
        <v>170</v>
      </c>
      <c r="C60" s="352">
        <f>SUM(C49:C58)</f>
        <v>0</v>
      </c>
      <c r="D60" s="352">
        <f>SUM(D49:D58)</f>
        <v>0</v>
      </c>
      <c r="E60" s="352">
        <f>SUM(E49:E58)</f>
        <v>100000</v>
      </c>
    </row>
    <row r="61" spans="2:5">
      <c r="B61" s="148" t="s">
        <v>281</v>
      </c>
      <c r="C61" s="120">
        <f>C47-C60</f>
        <v>0</v>
      </c>
      <c r="D61" s="120">
        <f>D47-D60</f>
        <v>158000</v>
      </c>
      <c r="E61" s="120">
        <f>E47-E60</f>
        <v>610575</v>
      </c>
    </row>
    <row r="62" spans="2:5">
      <c r="B62" s="287" t="str">
        <f>CONCATENATE("",E$1-2,"/",E$1-1," Budget Authority Amount:")</f>
        <v>2011/2012 Budget Authority Amount:</v>
      </c>
      <c r="C62" s="279">
        <f>inputOth!B68</f>
        <v>0</v>
      </c>
      <c r="D62" s="279">
        <f>inputPrYr!D56</f>
        <v>0</v>
      </c>
      <c r="E62" s="478" t="str">
        <f>IF(E61&lt;0,"See Tab E","")</f>
        <v/>
      </c>
    </row>
    <row r="63" spans="2:5">
      <c r="B63" s="287"/>
      <c r="C63" s="321" t="str">
        <f>IF(C60&gt;C62,"See Tab A","")</f>
        <v/>
      </c>
      <c r="D63" s="321" t="str">
        <f>IF(D60&gt;D62,"See Tab C","")</f>
        <v/>
      </c>
      <c r="E63" s="85"/>
    </row>
    <row r="64" spans="2:5">
      <c r="B64" s="287"/>
      <c r="C64" s="321" t="str">
        <f>IF(C61&lt;0,"See Tab B","")</f>
        <v/>
      </c>
      <c r="D64" s="321" t="str">
        <f>IF(D61&lt;0,"See Tab D","")</f>
        <v/>
      </c>
      <c r="E64" s="85"/>
    </row>
    <row r="65" spans="2:5">
      <c r="B65" s="85"/>
      <c r="C65" s="85"/>
      <c r="D65" s="85"/>
      <c r="E65" s="85"/>
    </row>
    <row r="66" spans="2:5">
      <c r="B66" s="287" t="s">
        <v>190</v>
      </c>
      <c r="C66" s="349"/>
      <c r="D66" s="85"/>
      <c r="E66" s="85"/>
    </row>
  </sheetData>
  <sheetProtection sheet="1"/>
  <phoneticPr fontId="8" type="noConversion"/>
  <conditionalFormatting sqref="C27">
    <cfRule type="cellIs" dxfId="37" priority="3" stopIfTrue="1" operator="greaterThan">
      <formula>$C$29*0.1</formula>
    </cfRule>
  </conditionalFormatting>
  <conditionalFormatting sqref="D27">
    <cfRule type="cellIs" dxfId="36" priority="4" stopIfTrue="1" operator="greaterThan">
      <formula>$D$29*0.1</formula>
    </cfRule>
  </conditionalFormatting>
  <conditionalFormatting sqref="E27">
    <cfRule type="cellIs" dxfId="35" priority="5" stopIfTrue="1" operator="greaterThan">
      <formula>$E$29*0.1</formula>
    </cfRule>
  </conditionalFormatting>
  <conditionalFormatting sqref="C13">
    <cfRule type="cellIs" dxfId="34" priority="6" stopIfTrue="1" operator="greaterThan">
      <formula>$C$15*0.1</formula>
    </cfRule>
  </conditionalFormatting>
  <conditionalFormatting sqref="D13">
    <cfRule type="cellIs" dxfId="33" priority="7" stopIfTrue="1" operator="greaterThan">
      <formula>$D$15*0.1</formula>
    </cfRule>
  </conditionalFormatting>
  <conditionalFormatting sqref="E13">
    <cfRule type="cellIs" dxfId="32" priority="8" stopIfTrue="1" operator="greaterThan">
      <formula>$E$15*0.1</formula>
    </cfRule>
  </conditionalFormatting>
  <conditionalFormatting sqref="C44">
    <cfRule type="cellIs" dxfId="31" priority="9" stopIfTrue="1" operator="greaterThan">
      <formula>$C$46*0.1</formula>
    </cfRule>
  </conditionalFormatting>
  <conditionalFormatting sqref="D44">
    <cfRule type="cellIs" dxfId="30" priority="10" stopIfTrue="1" operator="greaterThan">
      <formula>$D$46*0.1</formula>
    </cfRule>
  </conditionalFormatting>
  <conditionalFormatting sqref="E44">
    <cfRule type="cellIs" dxfId="29" priority="11" stopIfTrue="1" operator="greaterThan">
      <formula>$E$46*0.1</formula>
    </cfRule>
  </conditionalFormatting>
  <conditionalFormatting sqref="C58">
    <cfRule type="cellIs" dxfId="28" priority="12" stopIfTrue="1" operator="greaterThan">
      <formula>$C$60*0.1</formula>
    </cfRule>
  </conditionalFormatting>
  <conditionalFormatting sqref="D58">
    <cfRule type="cellIs" dxfId="27" priority="13" stopIfTrue="1" operator="greaterThan">
      <formula>$D$60*0.1</formula>
    </cfRule>
  </conditionalFormatting>
  <conditionalFormatting sqref="E58">
    <cfRule type="cellIs" dxfId="26" priority="14" stopIfTrue="1" operator="greaterThan">
      <formula>$E$60*0.1</formula>
    </cfRule>
  </conditionalFormatting>
  <conditionalFormatting sqref="E30 C30 E61 C61">
    <cfRule type="cellIs" dxfId="25" priority="15" stopIfTrue="1" operator="lessThan">
      <formula>0</formula>
    </cfRule>
  </conditionalFormatting>
  <conditionalFormatting sqref="D29">
    <cfRule type="cellIs" dxfId="24" priority="16" stopIfTrue="1" operator="greaterThan">
      <formula>$D$31</formula>
    </cfRule>
  </conditionalFormatting>
  <conditionalFormatting sqref="C29">
    <cfRule type="cellIs" dxfId="23" priority="17" stopIfTrue="1" operator="greaterThan">
      <formula>$C$31</formula>
    </cfRule>
  </conditionalFormatting>
  <conditionalFormatting sqref="D60">
    <cfRule type="cellIs" dxfId="22" priority="18" stopIfTrue="1" operator="greaterThan">
      <formula>$D$62</formula>
    </cfRule>
  </conditionalFormatting>
  <conditionalFormatting sqref="C60">
    <cfRule type="cellIs" dxfId="21" priority="19" stopIfTrue="1" operator="greaterThan">
      <formula>$C$62</formula>
    </cfRule>
  </conditionalFormatting>
  <conditionalFormatting sqref="D30">
    <cfRule type="cellIs" dxfId="20" priority="2" stopIfTrue="1" operator="lessThan">
      <formula>0</formula>
    </cfRule>
  </conditionalFormatting>
  <conditionalFormatting sqref="D61">
    <cfRule type="cellIs" dxfId="19" priority="1" stopIfTrue="1" operator="lessThan">
      <formula>0</formula>
    </cfRule>
  </conditionalFormatting>
  <pageMargins left="0.75" right="0.75" top="1" bottom="1" header="0.5" footer="0.5"/>
  <pageSetup scale="63" orientation="portrait" blackAndWhite="1" r:id="rId1"/>
  <headerFooter alignWithMargins="0">
    <oddHeader>&amp;RState of Kansas
County</oddHeader>
  </headerFooter>
</worksheet>
</file>

<file path=xl/worksheets/sheet36.xml><?xml version="1.0" encoding="utf-8"?>
<worksheet xmlns="http://schemas.openxmlformats.org/spreadsheetml/2006/main" xmlns:r="http://schemas.openxmlformats.org/officeDocument/2006/relationships">
  <sheetPr codeName="Sheet31">
    <pageSetUpPr fitToPage="1"/>
  </sheetPr>
  <dimension ref="B1:E66"/>
  <sheetViews>
    <sheetView workbookViewId="0">
      <selection activeCell="G23" sqref="G23"/>
    </sheetView>
  </sheetViews>
  <sheetFormatPr defaultColWidth="8.88671875" defaultRowHeight="15.75"/>
  <cols>
    <col min="1" max="1" width="2.44140625" style="72" customWidth="1"/>
    <col min="2" max="2" width="31.109375" style="72" customWidth="1"/>
    <col min="3" max="4" width="15.77734375" style="72" customWidth="1"/>
    <col min="5" max="5" width="16.109375" style="72" customWidth="1"/>
    <col min="6" max="16384" width="8.88671875" style="72"/>
  </cols>
  <sheetData>
    <row r="1" spans="2:5">
      <c r="B1" s="228" t="str">
        <f>(inputPrYr!C2)</f>
        <v>Franklin County</v>
      </c>
      <c r="C1" s="85"/>
      <c r="D1" s="85"/>
      <c r="E1" s="286">
        <f>inputPrYr!C4</f>
        <v>2013</v>
      </c>
    </row>
    <row r="2" spans="2:5">
      <c r="B2" s="85"/>
      <c r="C2" s="85"/>
      <c r="D2" s="85"/>
      <c r="E2" s="240"/>
    </row>
    <row r="3" spans="2:5">
      <c r="B3" s="152" t="s">
        <v>239</v>
      </c>
      <c r="C3" s="333"/>
      <c r="D3" s="333"/>
      <c r="E3" s="334"/>
    </row>
    <row r="4" spans="2:5">
      <c r="B4" s="85"/>
      <c r="C4" s="327"/>
      <c r="D4" s="327"/>
      <c r="E4" s="327"/>
    </row>
    <row r="5" spans="2:5">
      <c r="B5" s="84" t="s">
        <v>159</v>
      </c>
      <c r="C5" s="323" t="str">
        <f>general!C4</f>
        <v xml:space="preserve">Prior Year </v>
      </c>
      <c r="D5" s="215" t="str">
        <f>general!D4</f>
        <v xml:space="preserve">Current Year </v>
      </c>
      <c r="E5" s="215" t="str">
        <f>general!E4</f>
        <v xml:space="preserve">Proposed Budget </v>
      </c>
    </row>
    <row r="6" spans="2:5">
      <c r="B6" s="484">
        <f>inputPrYr!B57</f>
        <v>0</v>
      </c>
      <c r="C6" s="315" t="str">
        <f>general!C5</f>
        <v>Actual for 2011</v>
      </c>
      <c r="D6" s="315" t="str">
        <f>general!D5</f>
        <v>Estimate for 2012</v>
      </c>
      <c r="E6" s="302" t="str">
        <f>general!E5</f>
        <v>Year for 2013</v>
      </c>
    </row>
    <row r="7" spans="2:5">
      <c r="B7" s="148" t="s">
        <v>280</v>
      </c>
      <c r="C7" s="112"/>
      <c r="D7" s="265">
        <f>C30</f>
        <v>0</v>
      </c>
      <c r="E7" s="265">
        <f>D30</f>
        <v>0</v>
      </c>
    </row>
    <row r="8" spans="2:5">
      <c r="B8" s="336" t="s">
        <v>282</v>
      </c>
      <c r="C8" s="108"/>
      <c r="D8" s="108"/>
      <c r="E8" s="108"/>
    </row>
    <row r="9" spans="2:5">
      <c r="B9" s="318"/>
      <c r="C9" s="112"/>
      <c r="D9" s="112"/>
      <c r="E9" s="112"/>
    </row>
    <row r="10" spans="2:5">
      <c r="B10" s="318"/>
      <c r="C10" s="112"/>
      <c r="D10" s="112"/>
      <c r="E10" s="112"/>
    </row>
    <row r="11" spans="2:5">
      <c r="B11" s="318"/>
      <c r="C11" s="112"/>
      <c r="D11" s="112"/>
      <c r="E11" s="112"/>
    </row>
    <row r="12" spans="2:5">
      <c r="B12" s="308" t="s">
        <v>164</v>
      </c>
      <c r="C12" s="112"/>
      <c r="D12" s="112"/>
      <c r="E12" s="112"/>
    </row>
    <row r="13" spans="2:5">
      <c r="B13" s="309" t="s">
        <v>73</v>
      </c>
      <c r="C13" s="112"/>
      <c r="D13" s="304"/>
      <c r="E13" s="304"/>
    </row>
    <row r="14" spans="2:5">
      <c r="B14" s="309" t="s">
        <v>681</v>
      </c>
      <c r="C14" s="480" t="str">
        <f>IF(C15*0.1&lt;C13,"Exceed 10% Rule","")</f>
        <v/>
      </c>
      <c r="D14" s="310" t="str">
        <f>IF(D15*0.1&lt;D13,"Exceed 10% Rule","")</f>
        <v/>
      </c>
      <c r="E14" s="310" t="str">
        <f>IF(E15*0.1&lt;E13,"Exceed 10% Rule","")</f>
        <v/>
      </c>
    </row>
    <row r="15" spans="2:5">
      <c r="B15" s="311" t="s">
        <v>165</v>
      </c>
      <c r="C15" s="352">
        <f>SUM(C9:C13)</f>
        <v>0</v>
      </c>
      <c r="D15" s="352">
        <f>SUM(D9:D13)</f>
        <v>0</v>
      </c>
      <c r="E15" s="352">
        <f>SUM(E9:E13)</f>
        <v>0</v>
      </c>
    </row>
    <row r="16" spans="2:5">
      <c r="B16" s="311" t="s">
        <v>166</v>
      </c>
      <c r="C16" s="352">
        <f>C15+C7</f>
        <v>0</v>
      </c>
      <c r="D16" s="352">
        <f>D15+D7</f>
        <v>0</v>
      </c>
      <c r="E16" s="352">
        <f>E15+E7</f>
        <v>0</v>
      </c>
    </row>
    <row r="17" spans="2:5">
      <c r="B17" s="148" t="s">
        <v>169</v>
      </c>
      <c r="C17" s="265"/>
      <c r="D17" s="265"/>
      <c r="E17" s="265"/>
    </row>
    <row r="18" spans="2:5">
      <c r="B18" s="318"/>
      <c r="C18" s="112"/>
      <c r="D18" s="112"/>
      <c r="E18" s="112"/>
    </row>
    <row r="19" spans="2:5">
      <c r="B19" s="318"/>
      <c r="C19" s="112"/>
      <c r="D19" s="112"/>
      <c r="E19" s="112"/>
    </row>
    <row r="20" spans="2:5">
      <c r="B20" s="318"/>
      <c r="C20" s="112"/>
      <c r="D20" s="112"/>
      <c r="E20" s="112"/>
    </row>
    <row r="21" spans="2:5">
      <c r="B21" s="318"/>
      <c r="C21" s="112"/>
      <c r="D21" s="112"/>
      <c r="E21" s="112"/>
    </row>
    <row r="22" spans="2:5">
      <c r="B22" s="318"/>
      <c r="C22" s="112"/>
      <c r="D22" s="112"/>
      <c r="E22" s="112"/>
    </row>
    <row r="23" spans="2:5">
      <c r="B23" s="318"/>
      <c r="C23" s="112"/>
      <c r="D23" s="112"/>
      <c r="E23" s="112"/>
    </row>
    <row r="24" spans="2:5">
      <c r="B24" s="318"/>
      <c r="C24" s="112"/>
      <c r="D24" s="112"/>
      <c r="E24" s="112"/>
    </row>
    <row r="25" spans="2:5">
      <c r="B25" s="318"/>
      <c r="C25" s="112"/>
      <c r="D25" s="112"/>
      <c r="E25" s="112"/>
    </row>
    <row r="26" spans="2:5">
      <c r="B26" s="318"/>
      <c r="C26" s="112"/>
      <c r="D26" s="112"/>
      <c r="E26" s="112"/>
    </row>
    <row r="27" spans="2:5">
      <c r="B27" s="309" t="s">
        <v>73</v>
      </c>
      <c r="C27" s="112"/>
      <c r="D27" s="304"/>
      <c r="E27" s="304"/>
    </row>
    <row r="28" spans="2:5">
      <c r="B28" s="309" t="s">
        <v>680</v>
      </c>
      <c r="C28" s="480" t="str">
        <f>IF(C29*0.1&lt;C27,"Exceed 10% Rule","")</f>
        <v/>
      </c>
      <c r="D28" s="310" t="str">
        <f>IF(D29*0.1&lt;D27,"Exceed 10% Rule","")</f>
        <v/>
      </c>
      <c r="E28" s="310" t="str">
        <f>IF(E29*0.1&lt;E27,"Exceed 10% Rule","")</f>
        <v/>
      </c>
    </row>
    <row r="29" spans="2:5">
      <c r="B29" s="311" t="s">
        <v>170</v>
      </c>
      <c r="C29" s="352">
        <f>SUM(C18:C27)</f>
        <v>0</v>
      </c>
      <c r="D29" s="352">
        <f>SUM(D18:D27)</f>
        <v>0</v>
      </c>
      <c r="E29" s="352">
        <f>SUM(E18:E27)</f>
        <v>0</v>
      </c>
    </row>
    <row r="30" spans="2:5">
      <c r="B30" s="148" t="s">
        <v>281</v>
      </c>
      <c r="C30" s="120">
        <f>C16-C29</f>
        <v>0</v>
      </c>
      <c r="D30" s="120">
        <f>D16-D29</f>
        <v>0</v>
      </c>
      <c r="E30" s="120">
        <f>E16-E29</f>
        <v>0</v>
      </c>
    </row>
    <row r="31" spans="2:5">
      <c r="B31" s="287" t="str">
        <f>CONCATENATE("",E$1-2,"/",E$1-1," Budget Authority Amount:")</f>
        <v>2011/2012 Budget Authority Amount:</v>
      </c>
      <c r="C31" s="279">
        <f>inputOth!B69</f>
        <v>0</v>
      </c>
      <c r="D31" s="279">
        <f>inputPrYr!D57</f>
        <v>0</v>
      </c>
      <c r="E31" s="479" t="str">
        <f>IF(E30&lt;0,"See Tab E","")</f>
        <v/>
      </c>
    </row>
    <row r="32" spans="2:5">
      <c r="B32" s="287"/>
      <c r="C32" s="321" t="str">
        <f>IF(C29&gt;C31,"See Tab A","")</f>
        <v/>
      </c>
      <c r="D32" s="321" t="str">
        <f>IF(D29&gt;D31,"See Tab C","")</f>
        <v/>
      </c>
      <c r="E32" s="145"/>
    </row>
    <row r="33" spans="2:5">
      <c r="B33" s="287"/>
      <c r="C33" s="321" t="str">
        <f>IF(C30&lt;0,"See Tab B","")</f>
        <v/>
      </c>
      <c r="D33" s="321" t="str">
        <f>IF(D30&lt;0,"See Tab D","")</f>
        <v/>
      </c>
      <c r="E33" s="145"/>
    </row>
    <row r="34" spans="2:5">
      <c r="B34" s="85"/>
      <c r="C34" s="145"/>
      <c r="D34" s="145"/>
      <c r="E34" s="145"/>
    </row>
    <row r="35" spans="2:5">
      <c r="B35" s="84" t="s">
        <v>159</v>
      </c>
      <c r="C35" s="327"/>
      <c r="D35" s="327"/>
      <c r="E35" s="327"/>
    </row>
    <row r="36" spans="2:5">
      <c r="B36" s="85"/>
      <c r="C36" s="323" t="str">
        <f t="shared" ref="C36:E37" si="0">C5</f>
        <v xml:space="preserve">Prior Year </v>
      </c>
      <c r="D36" s="215" t="str">
        <f t="shared" si="0"/>
        <v xml:space="preserve">Current Year </v>
      </c>
      <c r="E36" s="215" t="str">
        <f t="shared" si="0"/>
        <v xml:space="preserve">Proposed Budget </v>
      </c>
    </row>
    <row r="37" spans="2:5">
      <c r="B37" s="483">
        <f>inputPrYr!B58</f>
        <v>0</v>
      </c>
      <c r="C37" s="315" t="str">
        <f t="shared" si="0"/>
        <v>Actual for 2011</v>
      </c>
      <c r="D37" s="315" t="str">
        <f t="shared" si="0"/>
        <v>Estimate for 2012</v>
      </c>
      <c r="E37" s="302" t="str">
        <f t="shared" si="0"/>
        <v>Year for 2013</v>
      </c>
    </row>
    <row r="38" spans="2:5">
      <c r="B38" s="148" t="s">
        <v>280</v>
      </c>
      <c r="C38" s="112"/>
      <c r="D38" s="265">
        <f>C61</f>
        <v>0</v>
      </c>
      <c r="E38" s="265">
        <f>D61</f>
        <v>0</v>
      </c>
    </row>
    <row r="39" spans="2:5">
      <c r="B39" s="148" t="s">
        <v>282</v>
      </c>
      <c r="C39" s="108"/>
      <c r="D39" s="108"/>
      <c r="E39" s="108"/>
    </row>
    <row r="40" spans="2:5">
      <c r="B40" s="318"/>
      <c r="C40" s="112"/>
      <c r="D40" s="112"/>
      <c r="E40" s="112"/>
    </row>
    <row r="41" spans="2:5">
      <c r="B41" s="318"/>
      <c r="C41" s="112"/>
      <c r="D41" s="112"/>
      <c r="E41" s="112"/>
    </row>
    <row r="42" spans="2:5">
      <c r="B42" s="318"/>
      <c r="C42" s="112"/>
      <c r="D42" s="112"/>
      <c r="E42" s="112"/>
    </row>
    <row r="43" spans="2:5">
      <c r="B43" s="308" t="s">
        <v>164</v>
      </c>
      <c r="C43" s="112"/>
      <c r="D43" s="112"/>
      <c r="E43" s="112"/>
    </row>
    <row r="44" spans="2:5">
      <c r="B44" s="309" t="s">
        <v>73</v>
      </c>
      <c r="C44" s="112"/>
      <c r="D44" s="304"/>
      <c r="E44" s="304"/>
    </row>
    <row r="45" spans="2:5">
      <c r="B45" s="309" t="s">
        <v>681</v>
      </c>
      <c r="C45" s="480" t="str">
        <f>IF(C46*0.1&lt;C44,"Exceed 10% Rule","")</f>
        <v/>
      </c>
      <c r="D45" s="310" t="str">
        <f>IF(D46*0.1&lt;D44,"Exceed 10% Rule","")</f>
        <v/>
      </c>
      <c r="E45" s="310" t="str">
        <f>IF(E46*0.1&lt;E44,"Exceed 10% Rule","")</f>
        <v/>
      </c>
    </row>
    <row r="46" spans="2:5">
      <c r="B46" s="311" t="s">
        <v>165</v>
      </c>
      <c r="C46" s="352">
        <f>SUM(C40:C44)</f>
        <v>0</v>
      </c>
      <c r="D46" s="352">
        <f>SUM(D40:D44)</f>
        <v>0</v>
      </c>
      <c r="E46" s="352">
        <f>SUM(E40:E44)</f>
        <v>0</v>
      </c>
    </row>
    <row r="47" spans="2:5">
      <c r="B47" s="311" t="s">
        <v>166</v>
      </c>
      <c r="C47" s="352">
        <f>C38+C46</f>
        <v>0</v>
      </c>
      <c r="D47" s="352">
        <f>D38+D46</f>
        <v>0</v>
      </c>
      <c r="E47" s="352">
        <f>E38+E46</f>
        <v>0</v>
      </c>
    </row>
    <row r="48" spans="2:5">
      <c r="B48" s="148" t="s">
        <v>169</v>
      </c>
      <c r="C48" s="265"/>
      <c r="D48" s="265"/>
      <c r="E48" s="265"/>
    </row>
    <row r="49" spans="2:5">
      <c r="B49" s="318"/>
      <c r="C49" s="112"/>
      <c r="D49" s="112"/>
      <c r="E49" s="112"/>
    </row>
    <row r="50" spans="2:5">
      <c r="B50" s="318"/>
      <c r="C50" s="112"/>
      <c r="D50" s="112"/>
      <c r="E50" s="112"/>
    </row>
    <row r="51" spans="2:5">
      <c r="B51" s="318"/>
      <c r="C51" s="112"/>
      <c r="D51" s="112"/>
      <c r="E51" s="112"/>
    </row>
    <row r="52" spans="2:5">
      <c r="B52" s="318"/>
      <c r="C52" s="112"/>
      <c r="D52" s="112"/>
      <c r="E52" s="112"/>
    </row>
    <row r="53" spans="2:5">
      <c r="B53" s="318"/>
      <c r="C53" s="112"/>
      <c r="D53" s="112"/>
      <c r="E53" s="112"/>
    </row>
    <row r="54" spans="2:5">
      <c r="B54" s="318"/>
      <c r="C54" s="112"/>
      <c r="D54" s="112"/>
      <c r="E54" s="112"/>
    </row>
    <row r="55" spans="2:5">
      <c r="B55" s="318"/>
      <c r="C55" s="112"/>
      <c r="D55" s="112"/>
      <c r="E55" s="112"/>
    </row>
    <row r="56" spans="2:5">
      <c r="B56" s="318"/>
      <c r="C56" s="112"/>
      <c r="D56" s="112"/>
      <c r="E56" s="112"/>
    </row>
    <row r="57" spans="2:5">
      <c r="B57" s="318"/>
      <c r="C57" s="112"/>
      <c r="D57" s="112"/>
      <c r="E57" s="112"/>
    </row>
    <row r="58" spans="2:5">
      <c r="B58" s="309" t="s">
        <v>73</v>
      </c>
      <c r="C58" s="112"/>
      <c r="D58" s="304"/>
      <c r="E58" s="304"/>
    </row>
    <row r="59" spans="2:5">
      <c r="B59" s="309" t="s">
        <v>680</v>
      </c>
      <c r="C59" s="480" t="str">
        <f>IF(C60*0.1&lt;C58,"Exceed 10% Rule","")</f>
        <v/>
      </c>
      <c r="D59" s="310" t="str">
        <f>IF(D60*0.1&lt;D58,"Exceed 10% Rule","")</f>
        <v/>
      </c>
      <c r="E59" s="310" t="str">
        <f>IF(E60*0.1&lt;E58,"Exceed 10% Rule","")</f>
        <v/>
      </c>
    </row>
    <row r="60" spans="2:5">
      <c r="B60" s="311" t="s">
        <v>170</v>
      </c>
      <c r="C60" s="352">
        <f>SUM(C49:C58)</f>
        <v>0</v>
      </c>
      <c r="D60" s="352">
        <f>SUM(D49:D58)</f>
        <v>0</v>
      </c>
      <c r="E60" s="352">
        <f>SUM(E49:E58)</f>
        <v>0</v>
      </c>
    </row>
    <row r="61" spans="2:5">
      <c r="B61" s="148" t="s">
        <v>281</v>
      </c>
      <c r="C61" s="120">
        <f>C47-C60</f>
        <v>0</v>
      </c>
      <c r="D61" s="120">
        <f>D47-D60</f>
        <v>0</v>
      </c>
      <c r="E61" s="120">
        <f>E47-E60</f>
        <v>0</v>
      </c>
    </row>
    <row r="62" spans="2:5">
      <c r="B62" s="287" t="str">
        <f>CONCATENATE("",E$1-2,"/",E$1-1," Budget Authority Amount:")</f>
        <v>2011/2012 Budget Authority Amount:</v>
      </c>
      <c r="C62" s="279">
        <f>inputOth!B70</f>
        <v>0</v>
      </c>
      <c r="D62" s="279">
        <f>inputPrYr!D58</f>
        <v>0</v>
      </c>
      <c r="E62" s="478" t="str">
        <f>IF(E61&lt;0,"See Tab E","")</f>
        <v/>
      </c>
    </row>
    <row r="63" spans="2:5">
      <c r="B63" s="287"/>
      <c r="C63" s="321" t="str">
        <f>IF(C60&gt;C62,"See Tab A","")</f>
        <v/>
      </c>
      <c r="D63" s="321" t="str">
        <f>IF(D60&gt;D62,"See Tab C","")</f>
        <v/>
      </c>
      <c r="E63" s="85"/>
    </row>
    <row r="64" spans="2:5">
      <c r="B64" s="287"/>
      <c r="C64" s="321" t="str">
        <f>IF(C61&lt;0,"See Tab B","")</f>
        <v/>
      </c>
      <c r="D64" s="321" t="str">
        <f>IF(D61&lt;0,"See Tab D","")</f>
        <v/>
      </c>
      <c r="E64" s="85"/>
    </row>
    <row r="65" spans="2:5">
      <c r="B65" s="85"/>
      <c r="C65" s="85"/>
      <c r="D65" s="85"/>
      <c r="E65" s="85"/>
    </row>
    <row r="66" spans="2:5">
      <c r="B66" s="287" t="s">
        <v>190</v>
      </c>
      <c r="C66" s="349"/>
      <c r="D66" s="85"/>
      <c r="E66" s="85"/>
    </row>
  </sheetData>
  <sheetProtection sheet="1"/>
  <phoneticPr fontId="8" type="noConversion"/>
  <conditionalFormatting sqref="C27">
    <cfRule type="cellIs" dxfId="18" priority="4" stopIfTrue="1" operator="greaterThan">
      <formula>$C$29*0.1</formula>
    </cfRule>
  </conditionalFormatting>
  <conditionalFormatting sqref="D27">
    <cfRule type="cellIs" dxfId="17" priority="5" stopIfTrue="1" operator="greaterThan">
      <formula>$D$29*0.1</formula>
    </cfRule>
  </conditionalFormatting>
  <conditionalFormatting sqref="E27">
    <cfRule type="cellIs" dxfId="16" priority="6" stopIfTrue="1" operator="greaterThan">
      <formula>$E$29*0.1</formula>
    </cfRule>
  </conditionalFormatting>
  <conditionalFormatting sqref="C13">
    <cfRule type="cellIs" dxfId="15" priority="7" stopIfTrue="1" operator="greaterThan">
      <formula>$C$15*0.1</formula>
    </cfRule>
  </conditionalFormatting>
  <conditionalFormatting sqref="D13">
    <cfRule type="cellIs" dxfId="14" priority="8" stopIfTrue="1" operator="greaterThan">
      <formula>$D$15*0.1</formula>
    </cfRule>
  </conditionalFormatting>
  <conditionalFormatting sqref="E13">
    <cfRule type="cellIs" dxfId="13" priority="9" stopIfTrue="1" operator="greaterThan">
      <formula>$E$15*0.1</formula>
    </cfRule>
  </conditionalFormatting>
  <conditionalFormatting sqref="C44">
    <cfRule type="cellIs" dxfId="12" priority="10" stopIfTrue="1" operator="greaterThan">
      <formula>$C$46*0.1</formula>
    </cfRule>
  </conditionalFormatting>
  <conditionalFormatting sqref="D44">
    <cfRule type="cellIs" dxfId="11" priority="11" stopIfTrue="1" operator="greaterThan">
      <formula>$D$46*0.1</formula>
    </cfRule>
  </conditionalFormatting>
  <conditionalFormatting sqref="E44">
    <cfRule type="cellIs" dxfId="10" priority="12" stopIfTrue="1" operator="greaterThan">
      <formula>$E$46*0.1</formula>
    </cfRule>
  </conditionalFormatting>
  <conditionalFormatting sqref="C58">
    <cfRule type="cellIs" dxfId="9" priority="13" stopIfTrue="1" operator="greaterThan">
      <formula>$C$60*0.1</formula>
    </cfRule>
  </conditionalFormatting>
  <conditionalFormatting sqref="D58">
    <cfRule type="cellIs" dxfId="8" priority="14" stopIfTrue="1" operator="greaterThan">
      <formula>$D$60*0.1</formula>
    </cfRule>
  </conditionalFormatting>
  <conditionalFormatting sqref="E58">
    <cfRule type="cellIs" dxfId="7" priority="15" stopIfTrue="1" operator="greaterThan">
      <formula>$E$60*0.1</formula>
    </cfRule>
  </conditionalFormatting>
  <conditionalFormatting sqref="E30 E61 C61 C30">
    <cfRule type="cellIs" dxfId="6" priority="16" stopIfTrue="1" operator="lessThan">
      <formula>0</formula>
    </cfRule>
  </conditionalFormatting>
  <conditionalFormatting sqref="D60">
    <cfRule type="cellIs" dxfId="5" priority="17" stopIfTrue="1" operator="greaterThan">
      <formula>$D$62</formula>
    </cfRule>
  </conditionalFormatting>
  <conditionalFormatting sqref="C60">
    <cfRule type="cellIs" dxfId="4" priority="18" stopIfTrue="1" operator="greaterThan">
      <formula>$C$62</formula>
    </cfRule>
  </conditionalFormatting>
  <conditionalFormatting sqref="D29">
    <cfRule type="cellIs" dxfId="3" priority="19" stopIfTrue="1" operator="greaterThan">
      <formula>$D$31</formula>
    </cfRule>
  </conditionalFormatting>
  <conditionalFormatting sqref="C29">
    <cfRule type="cellIs" dxfId="2" priority="20" stopIfTrue="1" operator="greaterThan">
      <formula>$C$31</formula>
    </cfRule>
  </conditionalFormatting>
  <conditionalFormatting sqref="D30">
    <cfRule type="cellIs" dxfId="1" priority="3" stopIfTrue="1" operator="lessThan">
      <formula>0</formula>
    </cfRule>
  </conditionalFormatting>
  <conditionalFormatting sqref="D61">
    <cfRule type="cellIs" dxfId="0" priority="1" stopIfTrue="1" operator="lessThan">
      <formula>0</formula>
    </cfRule>
  </conditionalFormatting>
  <pageMargins left="0.75" right="0.75" top="1" bottom="1" header="0.5" footer="0.5"/>
  <pageSetup scale="63" orientation="portrait" blackAndWhite="1" r:id="rId1"/>
  <headerFooter alignWithMargins="0">
    <oddHeader>&amp;RState of Kansas
County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L41"/>
  <sheetViews>
    <sheetView workbookViewId="0">
      <selection activeCell="I56" sqref="I56"/>
    </sheetView>
  </sheetViews>
  <sheetFormatPr defaultColWidth="8.88671875" defaultRowHeight="15.75"/>
  <cols>
    <col min="1" max="1" width="11.5546875" style="72" customWidth="1"/>
    <col min="2" max="2" width="7.44140625" style="72" customWidth="1"/>
    <col min="3" max="3" width="11.5546875" style="72" customWidth="1"/>
    <col min="4" max="4" width="7.44140625" style="72" customWidth="1"/>
    <col min="5" max="5" width="11.5546875" style="72" customWidth="1"/>
    <col min="6" max="6" width="7.44140625" style="72" customWidth="1"/>
    <col min="7" max="7" width="11.5546875" style="72" customWidth="1"/>
    <col min="8" max="8" width="7.44140625" style="72" customWidth="1"/>
    <col min="9" max="9" width="11.5546875" style="72" customWidth="1"/>
    <col min="10" max="16384" width="8.88671875" style="72"/>
  </cols>
  <sheetData>
    <row r="1" spans="1:11">
      <c r="A1" s="144" t="str">
        <f>inputPrYr!$C$2</f>
        <v>Franklin County</v>
      </c>
      <c r="B1" s="357"/>
      <c r="C1" s="125"/>
      <c r="D1" s="125"/>
      <c r="E1" s="125"/>
      <c r="F1" s="358" t="s">
        <v>12</v>
      </c>
      <c r="G1" s="125"/>
      <c r="H1" s="125"/>
      <c r="I1" s="125"/>
      <c r="J1" s="125"/>
      <c r="K1" s="125">
        <f>inputPrYr!$C$4</f>
        <v>2013</v>
      </c>
    </row>
    <row r="2" spans="1:11">
      <c r="A2" s="125"/>
      <c r="B2" s="125"/>
      <c r="C2" s="125"/>
      <c r="D2" s="125"/>
      <c r="E2" s="125"/>
      <c r="F2" s="359" t="str">
        <f>CONCATENATE("(Only the actual budget year for ",K1-2," is to be shown)")</f>
        <v>(Only the actual budget year for 2011 is to be shown)</v>
      </c>
      <c r="G2" s="125"/>
      <c r="H2" s="125"/>
      <c r="I2" s="125"/>
      <c r="J2" s="125"/>
      <c r="K2" s="125"/>
    </row>
    <row r="3" spans="1:11">
      <c r="A3" s="125" t="s">
        <v>13</v>
      </c>
      <c r="B3" s="125"/>
      <c r="C3" s="125"/>
      <c r="D3" s="125"/>
      <c r="E3" s="125"/>
      <c r="F3" s="357"/>
      <c r="G3" s="125"/>
      <c r="H3" s="125"/>
      <c r="I3" s="125"/>
      <c r="J3" s="125"/>
      <c r="K3" s="125"/>
    </row>
    <row r="4" spans="1:11">
      <c r="A4" s="125" t="s">
        <v>14</v>
      </c>
      <c r="B4" s="125"/>
      <c r="C4" s="125" t="s">
        <v>15</v>
      </c>
      <c r="D4" s="125"/>
      <c r="E4" s="125" t="s">
        <v>16</v>
      </c>
      <c r="F4" s="357"/>
      <c r="G4" s="125" t="s">
        <v>17</v>
      </c>
      <c r="H4" s="125"/>
      <c r="I4" s="125" t="s">
        <v>18</v>
      </c>
      <c r="J4" s="125"/>
      <c r="K4" s="125"/>
    </row>
    <row r="5" spans="1:11">
      <c r="A5" s="794" t="str">
        <f>IF(inputPrYr!B62&gt;" ",(inputPrYr!B62)," ")</f>
        <v>Road and Bridge Equipment</v>
      </c>
      <c r="B5" s="795"/>
      <c r="C5" s="794" t="str">
        <f>IF(inputPrYr!B63&gt;" ",(inputPrYr!B63)," ")</f>
        <v>Employee Benefit Trust</v>
      </c>
      <c r="D5" s="795"/>
      <c r="E5" s="794" t="str">
        <f>IF(inputPrYr!B64&gt;" ",(inputPrYr!B64)," ")</f>
        <v>Law Enforcement Trust</v>
      </c>
      <c r="F5" s="795"/>
      <c r="G5" s="794" t="str">
        <f>IF(inputPrYr!B65&gt;" ",(inputPrYr!B65)," ")</f>
        <v>County Equipment Fund</v>
      </c>
      <c r="H5" s="795"/>
      <c r="I5" s="794" t="str">
        <f>IF(inputPrYr!B66&gt;" ",(inputPrYr!B66)," ")</f>
        <v>Health Capital Outlay Fund</v>
      </c>
      <c r="J5" s="795"/>
      <c r="K5" s="361"/>
    </row>
    <row r="6" spans="1:11">
      <c r="A6" s="362" t="s">
        <v>19</v>
      </c>
      <c r="B6" s="363"/>
      <c r="C6" s="364" t="s">
        <v>19</v>
      </c>
      <c r="D6" s="365"/>
      <c r="E6" s="364" t="s">
        <v>19</v>
      </c>
      <c r="F6" s="360"/>
      <c r="G6" s="364" t="s">
        <v>19</v>
      </c>
      <c r="H6" s="366"/>
      <c r="I6" s="364" t="s">
        <v>19</v>
      </c>
      <c r="J6" s="125"/>
      <c r="K6" s="367" t="s">
        <v>130</v>
      </c>
    </row>
    <row r="7" spans="1:11">
      <c r="A7" s="368" t="s">
        <v>84</v>
      </c>
      <c r="B7" s="369">
        <v>629968</v>
      </c>
      <c r="C7" s="370" t="s">
        <v>84</v>
      </c>
      <c r="D7" s="369">
        <v>447357</v>
      </c>
      <c r="E7" s="370" t="s">
        <v>84</v>
      </c>
      <c r="F7" s="369">
        <v>110</v>
      </c>
      <c r="G7" s="370" t="s">
        <v>84</v>
      </c>
      <c r="H7" s="369">
        <v>946742</v>
      </c>
      <c r="I7" s="370" t="s">
        <v>84</v>
      </c>
      <c r="J7" s="369">
        <v>50110</v>
      </c>
      <c r="K7" s="371">
        <f>SUM(B7+D7+F7+H7+J7)</f>
        <v>2074287</v>
      </c>
    </row>
    <row r="8" spans="1:11">
      <c r="A8" s="372" t="s">
        <v>282</v>
      </c>
      <c r="B8" s="373"/>
      <c r="C8" s="372" t="s">
        <v>282</v>
      </c>
      <c r="D8" s="374"/>
      <c r="E8" s="372" t="s">
        <v>282</v>
      </c>
      <c r="F8" s="357"/>
      <c r="G8" s="372" t="s">
        <v>282</v>
      </c>
      <c r="H8" s="125"/>
      <c r="I8" s="372" t="s">
        <v>282</v>
      </c>
      <c r="J8" s="125"/>
      <c r="K8" s="357"/>
    </row>
    <row r="9" spans="1:11">
      <c r="A9" s="375" t="s">
        <v>1036</v>
      </c>
      <c r="B9" s="369">
        <v>300070</v>
      </c>
      <c r="C9" s="375" t="s">
        <v>1033</v>
      </c>
      <c r="D9" s="369">
        <v>2184452</v>
      </c>
      <c r="E9" s="375" t="s">
        <v>1037</v>
      </c>
      <c r="F9" s="369">
        <v>0</v>
      </c>
      <c r="G9" s="375" t="s">
        <v>1033</v>
      </c>
      <c r="H9" s="369">
        <v>75000</v>
      </c>
      <c r="I9" s="375" t="s">
        <v>1037</v>
      </c>
      <c r="J9" s="369">
        <v>0</v>
      </c>
      <c r="K9" s="357"/>
    </row>
    <row r="10" spans="1:11">
      <c r="A10" s="375"/>
      <c r="B10" s="369"/>
      <c r="C10" s="375"/>
      <c r="D10" s="369"/>
      <c r="E10" s="375"/>
      <c r="F10" s="369"/>
      <c r="G10" s="375"/>
      <c r="H10" s="369"/>
      <c r="I10" s="375"/>
      <c r="J10" s="369"/>
      <c r="K10" s="357"/>
    </row>
    <row r="11" spans="1:11">
      <c r="A11" s="375"/>
      <c r="B11" s="369"/>
      <c r="C11" s="376"/>
      <c r="D11" s="369"/>
      <c r="E11" s="376"/>
      <c r="F11" s="369"/>
      <c r="G11" s="376"/>
      <c r="H11" s="369"/>
      <c r="I11" s="377"/>
      <c r="J11" s="369"/>
      <c r="K11" s="357"/>
    </row>
    <row r="12" spans="1:11">
      <c r="A12" s="375"/>
      <c r="B12" s="369"/>
      <c r="C12" s="375"/>
      <c r="D12" s="369"/>
      <c r="E12" s="378"/>
      <c r="F12" s="369"/>
      <c r="G12" s="378"/>
      <c r="H12" s="369"/>
      <c r="I12" s="378"/>
      <c r="J12" s="369"/>
      <c r="K12" s="357"/>
    </row>
    <row r="13" spans="1:11">
      <c r="A13" s="379"/>
      <c r="B13" s="369"/>
      <c r="C13" s="380"/>
      <c r="D13" s="369"/>
      <c r="E13" s="380"/>
      <c r="F13" s="369"/>
      <c r="G13" s="380"/>
      <c r="H13" s="369"/>
      <c r="I13" s="377"/>
      <c r="J13" s="369"/>
      <c r="K13" s="357"/>
    </row>
    <row r="14" spans="1:11">
      <c r="A14" s="375"/>
      <c r="B14" s="369"/>
      <c r="C14" s="378"/>
      <c r="D14" s="369"/>
      <c r="E14" s="378"/>
      <c r="F14" s="369"/>
      <c r="G14" s="378"/>
      <c r="H14" s="369"/>
      <c r="I14" s="378"/>
      <c r="J14" s="369"/>
      <c r="K14" s="357"/>
    </row>
    <row r="15" spans="1:11">
      <c r="A15" s="375"/>
      <c r="B15" s="369"/>
      <c r="C15" s="378"/>
      <c r="D15" s="369"/>
      <c r="E15" s="378"/>
      <c r="F15" s="369"/>
      <c r="G15" s="378"/>
      <c r="H15" s="369"/>
      <c r="I15" s="378"/>
      <c r="J15" s="369"/>
      <c r="K15" s="357"/>
    </row>
    <row r="16" spans="1:11">
      <c r="A16" s="375"/>
      <c r="B16" s="369"/>
      <c r="C16" s="375"/>
      <c r="D16" s="369"/>
      <c r="E16" s="375"/>
      <c r="F16" s="369"/>
      <c r="G16" s="378"/>
      <c r="H16" s="369"/>
      <c r="I16" s="375"/>
      <c r="J16" s="369"/>
      <c r="K16" s="357"/>
    </row>
    <row r="17" spans="1:12">
      <c r="A17" s="372" t="s">
        <v>165</v>
      </c>
      <c r="B17" s="381">
        <f>SUM(B9:B16)</f>
        <v>300070</v>
      </c>
      <c r="C17" s="372" t="s">
        <v>165</v>
      </c>
      <c r="D17" s="371">
        <f>SUM(D9:D16)</f>
        <v>2184452</v>
      </c>
      <c r="E17" s="372" t="s">
        <v>165</v>
      </c>
      <c r="F17" s="447">
        <f>SUM(F9:F16)</f>
        <v>0</v>
      </c>
      <c r="G17" s="372" t="s">
        <v>165</v>
      </c>
      <c r="H17" s="371">
        <f>SUM(H9:H16)</f>
        <v>75000</v>
      </c>
      <c r="I17" s="372" t="s">
        <v>165</v>
      </c>
      <c r="J17" s="371">
        <f>SUM(J9:J16)</f>
        <v>0</v>
      </c>
      <c r="K17" s="371">
        <f>SUM(B17+D17+F17+H17+J17)</f>
        <v>2559522</v>
      </c>
    </row>
    <row r="18" spans="1:12">
      <c r="A18" s="372" t="s">
        <v>166</v>
      </c>
      <c r="B18" s="381">
        <f>SUM(B7+B17)</f>
        <v>930038</v>
      </c>
      <c r="C18" s="372" t="s">
        <v>166</v>
      </c>
      <c r="D18" s="371">
        <f>SUM(D7+D17)</f>
        <v>2631809</v>
      </c>
      <c r="E18" s="372" t="s">
        <v>166</v>
      </c>
      <c r="F18" s="371">
        <f>SUM(F7+F17)</f>
        <v>110</v>
      </c>
      <c r="G18" s="372" t="s">
        <v>166</v>
      </c>
      <c r="H18" s="371">
        <f>SUM(H7+H17)</f>
        <v>1021742</v>
      </c>
      <c r="I18" s="372" t="s">
        <v>166</v>
      </c>
      <c r="J18" s="371">
        <f>SUM(J7+J17)</f>
        <v>50110</v>
      </c>
      <c r="K18" s="371">
        <f>SUM(B18+D18+F18+H18+J18)</f>
        <v>4633809</v>
      </c>
    </row>
    <row r="19" spans="1:12">
      <c r="A19" s="372" t="s">
        <v>169</v>
      </c>
      <c r="B19" s="373"/>
      <c r="C19" s="372" t="s">
        <v>169</v>
      </c>
      <c r="D19" s="374"/>
      <c r="E19" s="372" t="s">
        <v>169</v>
      </c>
      <c r="F19" s="357"/>
      <c r="G19" s="372" t="s">
        <v>169</v>
      </c>
      <c r="H19" s="125"/>
      <c r="I19" s="372" t="s">
        <v>169</v>
      </c>
      <c r="J19" s="125"/>
      <c r="K19" s="357"/>
    </row>
    <row r="20" spans="1:12">
      <c r="A20" s="375" t="s">
        <v>139</v>
      </c>
      <c r="B20" s="369">
        <v>257376</v>
      </c>
      <c r="C20" s="378" t="s">
        <v>139</v>
      </c>
      <c r="D20" s="369">
        <v>2193913</v>
      </c>
      <c r="E20" s="378" t="s">
        <v>139</v>
      </c>
      <c r="F20" s="369">
        <v>13</v>
      </c>
      <c r="G20" s="378" t="s">
        <v>1038</v>
      </c>
      <c r="H20" s="369">
        <v>16941</v>
      </c>
      <c r="I20" s="378" t="s">
        <v>139</v>
      </c>
      <c r="J20" s="369">
        <v>0</v>
      </c>
      <c r="K20" s="357"/>
    </row>
    <row r="21" spans="1:12">
      <c r="A21" s="375"/>
      <c r="B21" s="369"/>
      <c r="C21" s="378"/>
      <c r="D21" s="369"/>
      <c r="E21" s="378"/>
      <c r="F21" s="369"/>
      <c r="G21" s="378" t="s">
        <v>965</v>
      </c>
      <c r="H21" s="369">
        <v>77451</v>
      </c>
      <c r="I21" s="378"/>
      <c r="J21" s="369"/>
      <c r="K21" s="357"/>
    </row>
    <row r="22" spans="1:12">
      <c r="A22" s="375"/>
      <c r="B22" s="369"/>
      <c r="C22" s="380"/>
      <c r="D22" s="369"/>
      <c r="E22" s="380"/>
      <c r="F22" s="369"/>
      <c r="G22" s="380" t="s">
        <v>1040</v>
      </c>
      <c r="H22" s="369">
        <v>-10710</v>
      </c>
      <c r="I22" s="377"/>
      <c r="J22" s="369"/>
      <c r="K22" s="357"/>
    </row>
    <row r="23" spans="1:12">
      <c r="A23" s="375"/>
      <c r="B23" s="369"/>
      <c r="C23" s="378"/>
      <c r="D23" s="369"/>
      <c r="E23" s="378"/>
      <c r="F23" s="369"/>
      <c r="G23" s="378"/>
      <c r="H23" s="369"/>
      <c r="I23" s="378"/>
      <c r="J23" s="369"/>
      <c r="K23" s="357"/>
    </row>
    <row r="24" spans="1:12">
      <c r="A24" s="375"/>
      <c r="B24" s="369"/>
      <c r="C24" s="380"/>
      <c r="D24" s="369"/>
      <c r="E24" s="380"/>
      <c r="F24" s="369"/>
      <c r="G24" s="380"/>
      <c r="H24" s="369"/>
      <c r="I24" s="377"/>
      <c r="J24" s="369"/>
      <c r="K24" s="357"/>
    </row>
    <row r="25" spans="1:12">
      <c r="A25" s="375"/>
      <c r="B25" s="369"/>
      <c r="C25" s="378"/>
      <c r="D25" s="369"/>
      <c r="E25" s="378"/>
      <c r="F25" s="369"/>
      <c r="G25" s="378"/>
      <c r="H25" s="369"/>
      <c r="I25" s="378"/>
      <c r="J25" s="369"/>
      <c r="K25" s="357"/>
    </row>
    <row r="26" spans="1:12">
      <c r="A26" s="375"/>
      <c r="B26" s="369"/>
      <c r="C26" s="378"/>
      <c r="D26" s="369"/>
      <c r="E26" s="378"/>
      <c r="F26" s="369"/>
      <c r="G26" s="378"/>
      <c r="H26" s="369"/>
      <c r="I26" s="378"/>
      <c r="J26" s="369"/>
      <c r="K26" s="357"/>
    </row>
    <row r="27" spans="1:12">
      <c r="A27" s="375"/>
      <c r="B27" s="369"/>
      <c r="C27" s="375"/>
      <c r="D27" s="369"/>
      <c r="E27" s="375"/>
      <c r="F27" s="369"/>
      <c r="G27" s="378"/>
      <c r="H27" s="369"/>
      <c r="I27" s="378"/>
      <c r="J27" s="369"/>
      <c r="K27" s="357"/>
    </row>
    <row r="28" spans="1:12">
      <c r="A28" s="372" t="s">
        <v>170</v>
      </c>
      <c r="B28" s="371">
        <f>SUM(B20:B27)</f>
        <v>257376</v>
      </c>
      <c r="C28" s="372" t="s">
        <v>170</v>
      </c>
      <c r="D28" s="371">
        <f>SUM(D20:D27)</f>
        <v>2193913</v>
      </c>
      <c r="E28" s="372" t="s">
        <v>170</v>
      </c>
      <c r="F28" s="447">
        <f>SUM(F20:F27)</f>
        <v>13</v>
      </c>
      <c r="G28" s="372" t="s">
        <v>170</v>
      </c>
      <c r="H28" s="447">
        <f>SUM(H20:H27)</f>
        <v>83682</v>
      </c>
      <c r="I28" s="372" t="s">
        <v>170</v>
      </c>
      <c r="J28" s="371">
        <f>SUM(J20:J27)</f>
        <v>0</v>
      </c>
      <c r="K28" s="371">
        <f>SUM(B28+D28+F28+H28+J28)</f>
        <v>2534984</v>
      </c>
    </row>
    <row r="29" spans="1:12">
      <c r="A29" s="372" t="s">
        <v>20</v>
      </c>
      <c r="B29" s="371">
        <f>B18-B28</f>
        <v>672662</v>
      </c>
      <c r="C29" s="372" t="s">
        <v>20</v>
      </c>
      <c r="D29" s="371">
        <f>D18-D28</f>
        <v>437896</v>
      </c>
      <c r="E29" s="372" t="s">
        <v>20</v>
      </c>
      <c r="F29" s="371">
        <f>F18-F28</f>
        <v>97</v>
      </c>
      <c r="G29" s="372" t="s">
        <v>20</v>
      </c>
      <c r="H29" s="371">
        <f>H18-H28</f>
        <v>938060</v>
      </c>
      <c r="I29" s="372" t="s">
        <v>20</v>
      </c>
      <c r="J29" s="371">
        <f>J18-J28</f>
        <v>50110</v>
      </c>
      <c r="K29" s="382">
        <f>SUM(B29+D29+F29+H29+J29)</f>
        <v>2098825</v>
      </c>
      <c r="L29" s="72" t="s">
        <v>61</v>
      </c>
    </row>
    <row r="30" spans="1:12">
      <c r="A30" s="372"/>
      <c r="B30" s="413" t="str">
        <f>IF(B29&lt;0,"See Tab B","")</f>
        <v/>
      </c>
      <c r="C30" s="372"/>
      <c r="D30" s="413" t="str">
        <f>IF(D29&lt;0,"See Tab B","")</f>
        <v/>
      </c>
      <c r="E30" s="372"/>
      <c r="F30" s="413" t="str">
        <f>IF(F29&lt;0,"See Tab B","")</f>
        <v/>
      </c>
      <c r="G30" s="125"/>
      <c r="H30" s="413" t="str">
        <f>IF(H29&lt;0,"See Tab B","")</f>
        <v/>
      </c>
      <c r="I30" s="125"/>
      <c r="J30" s="413" t="str">
        <f>IF(J29&lt;0,"See Tab B","")</f>
        <v/>
      </c>
      <c r="K30" s="382">
        <f>SUM(K7+K17-K28)</f>
        <v>2098825</v>
      </c>
      <c r="L30" s="72" t="s">
        <v>61</v>
      </c>
    </row>
    <row r="31" spans="1:12">
      <c r="A31" s="125"/>
      <c r="B31" s="383"/>
      <c r="C31" s="125"/>
      <c r="D31" s="357"/>
      <c r="E31" s="125"/>
      <c r="F31" s="125"/>
      <c r="G31" s="82" t="s">
        <v>62</v>
      </c>
      <c r="H31" s="82"/>
      <c r="I31" s="82"/>
      <c r="J31" s="82"/>
      <c r="K31" s="125"/>
    </row>
    <row r="32" spans="1:12">
      <c r="A32" s="125"/>
      <c r="B32" s="383"/>
      <c r="C32" s="125"/>
      <c r="D32" s="125"/>
      <c r="E32" s="125"/>
      <c r="F32" s="125"/>
      <c r="G32" s="125"/>
      <c r="H32" s="125"/>
      <c r="I32" s="125"/>
      <c r="J32" s="125"/>
      <c r="K32" s="125"/>
    </row>
    <row r="33" spans="1:11">
      <c r="A33" s="125"/>
      <c r="B33" s="383"/>
      <c r="C33" s="125"/>
      <c r="D33" s="125"/>
      <c r="E33" s="322" t="s">
        <v>190</v>
      </c>
      <c r="F33" s="349"/>
      <c r="G33" s="125"/>
      <c r="H33" s="125"/>
      <c r="I33" s="125"/>
      <c r="J33" s="125"/>
      <c r="K33" s="125"/>
    </row>
    <row r="34" spans="1:11">
      <c r="B34" s="384"/>
    </row>
    <row r="35" spans="1:11">
      <c r="B35" s="384"/>
    </row>
    <row r="36" spans="1:11">
      <c r="B36" s="384"/>
    </row>
    <row r="37" spans="1:11">
      <c r="B37" s="384"/>
    </row>
    <row r="38" spans="1:11">
      <c r="B38" s="384"/>
    </row>
    <row r="39" spans="1:11">
      <c r="B39" s="384"/>
    </row>
    <row r="40" spans="1:11">
      <c r="B40" s="384"/>
    </row>
    <row r="41" spans="1:11">
      <c r="B41" s="384"/>
    </row>
  </sheetData>
  <sheetProtection sheet="1"/>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L41"/>
  <sheetViews>
    <sheetView topLeftCell="A16" workbookViewId="0">
      <selection activeCell="I56" sqref="I56"/>
    </sheetView>
  </sheetViews>
  <sheetFormatPr defaultColWidth="8.88671875" defaultRowHeight="15.75"/>
  <cols>
    <col min="1" max="1" width="11.5546875" style="72" customWidth="1"/>
    <col min="2" max="2" width="7.44140625" style="72" customWidth="1"/>
    <col min="3" max="3" width="11.5546875" style="72" customWidth="1"/>
    <col min="4" max="4" width="7.44140625" style="72" customWidth="1"/>
    <col min="5" max="5" width="11.5546875" style="72" customWidth="1"/>
    <col min="6" max="6" width="7.44140625" style="72" customWidth="1"/>
    <col min="7" max="7" width="11.5546875" style="72" customWidth="1"/>
    <col min="8" max="8" width="7.44140625" style="72" customWidth="1"/>
    <col min="9" max="9" width="11.5546875" style="72" customWidth="1"/>
    <col min="10" max="16384" width="8.88671875" style="72"/>
  </cols>
  <sheetData>
    <row r="1" spans="1:11">
      <c r="A1" s="144" t="str">
        <f>inputPrYr!$C$2</f>
        <v>Franklin County</v>
      </c>
      <c r="B1" s="357"/>
      <c r="C1" s="125"/>
      <c r="D1" s="125"/>
      <c r="E1" s="125"/>
      <c r="F1" s="358" t="s">
        <v>21</v>
      </c>
      <c r="G1" s="125"/>
      <c r="H1" s="125"/>
      <c r="I1" s="125"/>
      <c r="J1" s="125"/>
      <c r="K1" s="125">
        <f>inputPrYr!$C$4</f>
        <v>2013</v>
      </c>
    </row>
    <row r="2" spans="1:11">
      <c r="A2" s="125"/>
      <c r="B2" s="125"/>
      <c r="C2" s="125"/>
      <c r="D2" s="125"/>
      <c r="E2" s="125"/>
      <c r="F2" s="359" t="str">
        <f>CONCATENATE("(Only the actual budget year for ",K1-2," is to be shown)")</f>
        <v>(Only the actual budget year for 2011 is to be shown)</v>
      </c>
      <c r="G2" s="125"/>
      <c r="H2" s="125"/>
      <c r="I2" s="125"/>
      <c r="J2" s="125"/>
      <c r="K2" s="125"/>
    </row>
    <row r="3" spans="1:11">
      <c r="A3" s="125" t="s">
        <v>22</v>
      </c>
      <c r="B3" s="125"/>
      <c r="C3" s="125"/>
      <c r="D3" s="125"/>
      <c r="E3" s="125"/>
      <c r="F3" s="357"/>
      <c r="G3" s="125"/>
      <c r="H3" s="125"/>
      <c r="I3" s="125"/>
      <c r="J3" s="125"/>
      <c r="K3" s="125"/>
    </row>
    <row r="4" spans="1:11">
      <c r="A4" s="125" t="s">
        <v>14</v>
      </c>
      <c r="B4" s="125"/>
      <c r="C4" s="125" t="s">
        <v>15</v>
      </c>
      <c r="D4" s="125"/>
      <c r="E4" s="125" t="s">
        <v>16</v>
      </c>
      <c r="F4" s="357"/>
      <c r="G4" s="125" t="s">
        <v>17</v>
      </c>
      <c r="H4" s="125"/>
      <c r="I4" s="125" t="s">
        <v>18</v>
      </c>
      <c r="J4" s="125"/>
      <c r="K4" s="125"/>
    </row>
    <row r="5" spans="1:11">
      <c r="A5" s="794" t="str">
        <f>IF(inputPrYr!B68&gt;" ",(inputPrYr!B68)," ")</f>
        <v>Register of Deeds Technology Fund</v>
      </c>
      <c r="B5" s="795"/>
      <c r="C5" s="794" t="str">
        <f>IF(inputPrYr!B69&gt;" ",(inputPrYr!B69)," ")</f>
        <v>Solid Waste Capital Outlay</v>
      </c>
      <c r="D5" s="795"/>
      <c r="E5" s="794" t="str">
        <f>IF(inputPrYr!B70&gt;" ",(inputPrYr!B70)," ")</f>
        <v>Special Capital Improvement</v>
      </c>
      <c r="F5" s="795"/>
      <c r="G5" s="794" t="str">
        <f>IF(inputPrYr!B71&gt;" ",(inputPrYr!B71)," ")</f>
        <v>Special Auto</v>
      </c>
      <c r="H5" s="795"/>
      <c r="I5" s="794" t="str">
        <f>IF(inputPrYr!B72&gt;" ",(inputPrYr!B72)," ")</f>
        <v>Prosecutor Trust Fund</v>
      </c>
      <c r="J5" s="795"/>
      <c r="K5" s="361"/>
    </row>
    <row r="6" spans="1:11">
      <c r="A6" s="362" t="s">
        <v>19</v>
      </c>
      <c r="B6" s="363"/>
      <c r="C6" s="364" t="s">
        <v>19</v>
      </c>
      <c r="D6" s="365"/>
      <c r="E6" s="364" t="s">
        <v>19</v>
      </c>
      <c r="F6" s="360"/>
      <c r="G6" s="364" t="s">
        <v>19</v>
      </c>
      <c r="H6" s="366"/>
      <c r="I6" s="364" t="s">
        <v>19</v>
      </c>
      <c r="J6" s="125"/>
      <c r="K6" s="367" t="s">
        <v>130</v>
      </c>
    </row>
    <row r="7" spans="1:11">
      <c r="A7" s="368" t="s">
        <v>84</v>
      </c>
      <c r="B7" s="369">
        <v>148795</v>
      </c>
      <c r="C7" s="370" t="s">
        <v>84</v>
      </c>
      <c r="D7" s="369">
        <v>497092</v>
      </c>
      <c r="E7" s="370" t="s">
        <v>84</v>
      </c>
      <c r="F7" s="369">
        <v>1202138</v>
      </c>
      <c r="G7" s="370" t="s">
        <v>84</v>
      </c>
      <c r="H7" s="369">
        <v>61041</v>
      </c>
      <c r="I7" s="370" t="s">
        <v>84</v>
      </c>
      <c r="J7" s="369">
        <v>1119</v>
      </c>
      <c r="K7" s="371">
        <f>SUM(B7+D7+F7+H7+J7)</f>
        <v>1910185</v>
      </c>
    </row>
    <row r="8" spans="1:11">
      <c r="A8" s="372" t="s">
        <v>282</v>
      </c>
      <c r="B8" s="373"/>
      <c r="C8" s="372" t="s">
        <v>282</v>
      </c>
      <c r="D8" s="374"/>
      <c r="E8" s="372" t="s">
        <v>282</v>
      </c>
      <c r="F8" s="357"/>
      <c r="G8" s="372" t="s">
        <v>282</v>
      </c>
      <c r="H8" s="125"/>
      <c r="I8" s="372" t="s">
        <v>282</v>
      </c>
      <c r="J8" s="125"/>
      <c r="K8" s="357"/>
    </row>
    <row r="9" spans="1:11">
      <c r="A9" s="375" t="s">
        <v>1037</v>
      </c>
      <c r="B9" s="369">
        <v>29706</v>
      </c>
      <c r="C9" s="375" t="s">
        <v>1033</v>
      </c>
      <c r="D9" s="369">
        <v>96000</v>
      </c>
      <c r="E9" s="375" t="s">
        <v>1033</v>
      </c>
      <c r="F9" s="369">
        <v>415850</v>
      </c>
      <c r="G9" s="375" t="s">
        <v>1037</v>
      </c>
      <c r="H9" s="369">
        <v>217095</v>
      </c>
      <c r="I9" s="375" t="s">
        <v>1037</v>
      </c>
      <c r="J9" s="369">
        <v>3749</v>
      </c>
      <c r="K9" s="357"/>
    </row>
    <row r="10" spans="1:11">
      <c r="A10" s="375"/>
      <c r="B10" s="369"/>
      <c r="C10" s="375" t="s">
        <v>1037</v>
      </c>
      <c r="D10" s="369">
        <v>97275</v>
      </c>
      <c r="E10" s="375"/>
      <c r="F10" s="369"/>
      <c r="G10" s="375"/>
      <c r="H10" s="369"/>
      <c r="I10" s="375"/>
      <c r="J10" s="369"/>
      <c r="K10" s="357"/>
    </row>
    <row r="11" spans="1:11">
      <c r="A11" s="375"/>
      <c r="B11" s="369"/>
      <c r="C11" s="376"/>
      <c r="D11" s="369"/>
      <c r="E11" s="376"/>
      <c r="F11" s="369"/>
      <c r="G11" s="376"/>
      <c r="H11" s="369"/>
      <c r="I11" s="377"/>
      <c r="J11" s="369"/>
      <c r="K11" s="357"/>
    </row>
    <row r="12" spans="1:11">
      <c r="A12" s="375"/>
      <c r="B12" s="369"/>
      <c r="C12" s="375"/>
      <c r="D12" s="369"/>
      <c r="E12" s="378"/>
      <c r="F12" s="369"/>
      <c r="G12" s="378"/>
      <c r="H12" s="369"/>
      <c r="I12" s="378"/>
      <c r="J12" s="369"/>
      <c r="K12" s="357"/>
    </row>
    <row r="13" spans="1:11">
      <c r="A13" s="379"/>
      <c r="B13" s="369"/>
      <c r="C13" s="380"/>
      <c r="D13" s="369"/>
      <c r="E13" s="380"/>
      <c r="F13" s="369"/>
      <c r="G13" s="380"/>
      <c r="H13" s="369"/>
      <c r="I13" s="377"/>
      <c r="J13" s="369"/>
      <c r="K13" s="357"/>
    </row>
    <row r="14" spans="1:11">
      <c r="A14" s="375"/>
      <c r="B14" s="369"/>
      <c r="C14" s="378"/>
      <c r="D14" s="369"/>
      <c r="E14" s="378"/>
      <c r="F14" s="369"/>
      <c r="G14" s="378"/>
      <c r="H14" s="369"/>
      <c r="I14" s="378"/>
      <c r="J14" s="369"/>
      <c r="K14" s="357"/>
    </row>
    <row r="15" spans="1:11">
      <c r="A15" s="375"/>
      <c r="B15" s="369"/>
      <c r="C15" s="378"/>
      <c r="D15" s="369"/>
      <c r="E15" s="378"/>
      <c r="F15" s="369"/>
      <c r="G15" s="378"/>
      <c r="H15" s="369"/>
      <c r="I15" s="378"/>
      <c r="J15" s="369"/>
      <c r="K15" s="357"/>
    </row>
    <row r="16" spans="1:11">
      <c r="A16" s="375"/>
      <c r="B16" s="369"/>
      <c r="C16" s="375"/>
      <c r="D16" s="369"/>
      <c r="E16" s="375"/>
      <c r="F16" s="369"/>
      <c r="G16" s="378"/>
      <c r="H16" s="369"/>
      <c r="I16" s="375"/>
      <c r="J16" s="369"/>
      <c r="K16" s="357"/>
    </row>
    <row r="17" spans="1:12">
      <c r="A17" s="372" t="s">
        <v>165</v>
      </c>
      <c r="B17" s="371">
        <f>SUM(B9:B16)</f>
        <v>29706</v>
      </c>
      <c r="C17" s="372" t="s">
        <v>165</v>
      </c>
      <c r="D17" s="371">
        <f>SUM(D9:D16)</f>
        <v>193275</v>
      </c>
      <c r="E17" s="372" t="s">
        <v>165</v>
      </c>
      <c r="F17" s="447">
        <f>SUM(F9:F16)</f>
        <v>415850</v>
      </c>
      <c r="G17" s="372" t="s">
        <v>165</v>
      </c>
      <c r="H17" s="371">
        <f>SUM(H9:H16)</f>
        <v>217095</v>
      </c>
      <c r="I17" s="372" t="s">
        <v>165</v>
      </c>
      <c r="J17" s="371">
        <f>SUM(J9:J16)</f>
        <v>3749</v>
      </c>
      <c r="K17" s="371">
        <f>SUM(B17+D17+F17+H17+J17)</f>
        <v>859675</v>
      </c>
    </row>
    <row r="18" spans="1:12">
      <c r="A18" s="372" t="s">
        <v>166</v>
      </c>
      <c r="B18" s="371">
        <f>SUM(B7+B17)</f>
        <v>178501</v>
      </c>
      <c r="C18" s="372" t="s">
        <v>166</v>
      </c>
      <c r="D18" s="371">
        <f>SUM(D7+D17)</f>
        <v>690367</v>
      </c>
      <c r="E18" s="372" t="s">
        <v>166</v>
      </c>
      <c r="F18" s="371">
        <f>SUM(F7+F17)</f>
        <v>1617988</v>
      </c>
      <c r="G18" s="372" t="s">
        <v>166</v>
      </c>
      <c r="H18" s="371">
        <f>SUM(H7+H17)</f>
        <v>278136</v>
      </c>
      <c r="I18" s="372" t="s">
        <v>166</v>
      </c>
      <c r="J18" s="371">
        <f>SUM(J7+J17)</f>
        <v>4868</v>
      </c>
      <c r="K18" s="371">
        <f>SUM(B18+D18+F18+H18+J18)</f>
        <v>2769860</v>
      </c>
    </row>
    <row r="19" spans="1:12">
      <c r="A19" s="372" t="s">
        <v>169</v>
      </c>
      <c r="B19" s="373"/>
      <c r="C19" s="372" t="s">
        <v>169</v>
      </c>
      <c r="D19" s="374"/>
      <c r="E19" s="372" t="s">
        <v>169</v>
      </c>
      <c r="F19" s="357"/>
      <c r="G19" s="372" t="s">
        <v>169</v>
      </c>
      <c r="H19" s="125"/>
      <c r="I19" s="372" t="s">
        <v>169</v>
      </c>
      <c r="J19" s="125"/>
      <c r="K19" s="357"/>
    </row>
    <row r="20" spans="1:12">
      <c r="A20" s="375" t="s">
        <v>139</v>
      </c>
      <c r="B20" s="369">
        <v>65158</v>
      </c>
      <c r="C20" s="378" t="s">
        <v>139</v>
      </c>
      <c r="D20" s="369">
        <v>157500</v>
      </c>
      <c r="E20" s="378" t="s">
        <v>139</v>
      </c>
      <c r="F20" s="369">
        <v>770986</v>
      </c>
      <c r="G20" s="378" t="s">
        <v>1043</v>
      </c>
      <c r="H20" s="369">
        <v>132734</v>
      </c>
      <c r="I20" s="378" t="s">
        <v>139</v>
      </c>
      <c r="J20" s="369">
        <v>2220</v>
      </c>
      <c r="K20" s="357"/>
    </row>
    <row r="21" spans="1:12">
      <c r="A21" s="375"/>
      <c r="B21" s="369"/>
      <c r="C21" s="378"/>
      <c r="D21" s="369"/>
      <c r="E21" s="378" t="s">
        <v>1041</v>
      </c>
      <c r="F21" s="369">
        <v>-224952</v>
      </c>
      <c r="G21" s="378" t="s">
        <v>1038</v>
      </c>
      <c r="H21" s="369">
        <v>12407</v>
      </c>
      <c r="I21" s="378"/>
      <c r="J21" s="369"/>
      <c r="K21" s="357"/>
    </row>
    <row r="22" spans="1:12">
      <c r="A22" s="375"/>
      <c r="B22" s="369"/>
      <c r="C22" s="380"/>
      <c r="D22" s="369"/>
      <c r="E22" s="380"/>
      <c r="F22" s="369"/>
      <c r="G22" s="378" t="s">
        <v>1039</v>
      </c>
      <c r="H22" s="369">
        <v>12157</v>
      </c>
      <c r="I22" s="377"/>
      <c r="J22" s="369"/>
      <c r="K22" s="357"/>
    </row>
    <row r="23" spans="1:12">
      <c r="A23" s="375"/>
      <c r="B23" s="369"/>
      <c r="C23" s="378"/>
      <c r="D23" s="369"/>
      <c r="E23" s="378"/>
      <c r="F23" s="369"/>
      <c r="G23" s="380" t="s">
        <v>1042</v>
      </c>
      <c r="H23" s="369">
        <v>64988</v>
      </c>
      <c r="I23" s="378"/>
      <c r="J23" s="369"/>
      <c r="K23" s="357"/>
    </row>
    <row r="24" spans="1:12">
      <c r="A24" s="375"/>
      <c r="B24" s="369"/>
      <c r="C24" s="380"/>
      <c r="D24" s="369"/>
      <c r="E24" s="380"/>
      <c r="F24" s="369"/>
      <c r="G24" s="378" t="s">
        <v>1040</v>
      </c>
      <c r="H24" s="369">
        <v>-307</v>
      </c>
      <c r="I24" s="377"/>
      <c r="J24" s="369"/>
      <c r="K24" s="357"/>
    </row>
    <row r="25" spans="1:12">
      <c r="A25" s="375"/>
      <c r="B25" s="369"/>
      <c r="C25" s="378"/>
      <c r="D25" s="369"/>
      <c r="E25" s="378"/>
      <c r="F25" s="369"/>
      <c r="G25" s="378"/>
      <c r="H25" s="369"/>
      <c r="I25" s="378"/>
      <c r="J25" s="369"/>
      <c r="K25" s="357"/>
    </row>
    <row r="26" spans="1:12">
      <c r="A26" s="375"/>
      <c r="B26" s="369"/>
      <c r="C26" s="378"/>
      <c r="D26" s="369"/>
      <c r="E26" s="378"/>
      <c r="F26" s="369"/>
      <c r="G26" s="378"/>
      <c r="H26" s="369"/>
      <c r="I26" s="378"/>
      <c r="J26" s="369"/>
      <c r="K26" s="357"/>
    </row>
    <row r="27" spans="1:12">
      <c r="A27" s="375"/>
      <c r="B27" s="369"/>
      <c r="C27" s="375"/>
      <c r="D27" s="369"/>
      <c r="E27" s="375"/>
      <c r="F27" s="369"/>
      <c r="G27" s="378"/>
      <c r="H27" s="369"/>
      <c r="I27" s="378"/>
      <c r="J27" s="369"/>
      <c r="K27" s="357"/>
    </row>
    <row r="28" spans="1:12">
      <c r="A28" s="372" t="s">
        <v>170</v>
      </c>
      <c r="B28" s="371">
        <f>SUM(B20:B27)</f>
        <v>65158</v>
      </c>
      <c r="C28" s="372" t="s">
        <v>170</v>
      </c>
      <c r="D28" s="371">
        <f>SUM(D20:D27)</f>
        <v>157500</v>
      </c>
      <c r="E28" s="372" t="s">
        <v>170</v>
      </c>
      <c r="F28" s="447">
        <f>SUM(F20:F27)</f>
        <v>546034</v>
      </c>
      <c r="G28" s="372" t="s">
        <v>170</v>
      </c>
      <c r="H28" s="447">
        <f>SUM(H20:H27)</f>
        <v>221979</v>
      </c>
      <c r="I28" s="372" t="s">
        <v>170</v>
      </c>
      <c r="J28" s="371">
        <f>SUM(J20:J27)</f>
        <v>2220</v>
      </c>
      <c r="K28" s="371">
        <f>SUM(B28+D28+F28+H28+J28)</f>
        <v>992891</v>
      </c>
    </row>
    <row r="29" spans="1:12">
      <c r="A29" s="372" t="s">
        <v>20</v>
      </c>
      <c r="B29" s="371">
        <f>B18-B28</f>
        <v>113343</v>
      </c>
      <c r="C29" s="372" t="s">
        <v>20</v>
      </c>
      <c r="D29" s="371">
        <f>D18-D28</f>
        <v>532867</v>
      </c>
      <c r="E29" s="372" t="s">
        <v>20</v>
      </c>
      <c r="F29" s="371">
        <f>F18-F28</f>
        <v>1071954</v>
      </c>
      <c r="G29" s="372" t="s">
        <v>20</v>
      </c>
      <c r="H29" s="371">
        <f>H18-H28</f>
        <v>56157</v>
      </c>
      <c r="I29" s="372" t="s">
        <v>20</v>
      </c>
      <c r="J29" s="371">
        <f>J18-J28</f>
        <v>2648</v>
      </c>
      <c r="K29" s="382">
        <f>SUM(B29+D29+F29+H29+J29)</f>
        <v>1776969</v>
      </c>
      <c r="L29" s="72" t="s">
        <v>61</v>
      </c>
    </row>
    <row r="30" spans="1:12">
      <c r="A30" s="372"/>
      <c r="B30" s="413" t="str">
        <f>IF(B29&lt;0,"See Tab B","")</f>
        <v/>
      </c>
      <c r="C30" s="372"/>
      <c r="D30" s="413" t="str">
        <f>IF(D29&lt;0,"See Tab B","")</f>
        <v/>
      </c>
      <c r="E30" s="372"/>
      <c r="F30" s="413" t="str">
        <f>IF(F29&lt;0,"See Tab B","")</f>
        <v/>
      </c>
      <c r="G30" s="125"/>
      <c r="H30" s="413" t="str">
        <f>IF(H29&lt;0,"See Tab B","")</f>
        <v/>
      </c>
      <c r="I30" s="125"/>
      <c r="J30" s="413" t="str">
        <f>IF(J29&lt;0,"See Tab B","")</f>
        <v/>
      </c>
      <c r="K30" s="382">
        <f>SUM(K7+K17-K28)</f>
        <v>1776969</v>
      </c>
      <c r="L30" s="72" t="s">
        <v>61</v>
      </c>
    </row>
    <row r="31" spans="1:12">
      <c r="A31" s="125"/>
      <c r="B31" s="383"/>
      <c r="C31" s="125"/>
      <c r="D31" s="357"/>
      <c r="E31" s="125"/>
      <c r="F31" s="125"/>
      <c r="G31" s="82" t="s">
        <v>62</v>
      </c>
      <c r="H31" s="82"/>
      <c r="I31" s="82"/>
      <c r="J31" s="82"/>
      <c r="K31" s="125"/>
    </row>
    <row r="32" spans="1:12">
      <c r="A32" s="125"/>
      <c r="B32" s="383"/>
      <c r="C32" s="125"/>
      <c r="D32" s="125"/>
      <c r="E32" s="125"/>
      <c r="F32" s="125"/>
      <c r="G32" s="125"/>
      <c r="H32" s="125"/>
      <c r="I32" s="125"/>
      <c r="J32" s="125"/>
      <c r="K32" s="125"/>
    </row>
    <row r="33" spans="1:11">
      <c r="A33" s="125"/>
      <c r="B33" s="383"/>
      <c r="C33" s="125"/>
      <c r="D33" s="125"/>
      <c r="E33" s="322" t="s">
        <v>190</v>
      </c>
      <c r="F33" s="349"/>
      <c r="G33" s="125"/>
      <c r="H33" s="125"/>
      <c r="I33" s="125"/>
      <c r="J33" s="125"/>
      <c r="K33" s="125"/>
    </row>
    <row r="34" spans="1:11">
      <c r="B34" s="384"/>
    </row>
    <row r="35" spans="1:11">
      <c r="B35" s="384"/>
    </row>
    <row r="36" spans="1:11">
      <c r="B36" s="384"/>
    </row>
    <row r="37" spans="1:11">
      <c r="B37" s="384"/>
    </row>
    <row r="38" spans="1:11">
      <c r="B38" s="384"/>
    </row>
    <row r="39" spans="1:11">
      <c r="B39" s="384"/>
    </row>
    <row r="40" spans="1:11">
      <c r="B40" s="384"/>
    </row>
    <row r="41" spans="1:11">
      <c r="B41" s="384"/>
    </row>
  </sheetData>
  <sheetProtection sheet="1"/>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L41"/>
  <sheetViews>
    <sheetView tabSelected="1" topLeftCell="C1" workbookViewId="0">
      <selection activeCell="C2" sqref="C2"/>
    </sheetView>
  </sheetViews>
  <sheetFormatPr defaultColWidth="8.88671875" defaultRowHeight="15.75"/>
  <cols>
    <col min="1" max="1" width="11.5546875" style="72" customWidth="1"/>
    <col min="2" max="2" width="7.44140625" style="72" customWidth="1"/>
    <col min="3" max="3" width="11.5546875" style="72" customWidth="1"/>
    <col min="4" max="4" width="7.44140625" style="72" customWidth="1"/>
    <col min="5" max="5" width="11.5546875" style="72" customWidth="1"/>
    <col min="6" max="6" width="7.44140625" style="72" customWidth="1"/>
    <col min="7" max="7" width="11.5546875" style="72" customWidth="1"/>
    <col min="8" max="8" width="7.44140625" style="72" customWidth="1"/>
    <col min="9" max="9" width="11.5546875" style="72" customWidth="1"/>
    <col min="10" max="16384" width="8.88671875" style="72"/>
  </cols>
  <sheetData>
    <row r="1" spans="1:11">
      <c r="A1" s="144" t="str">
        <f>inputPrYr!$C$2</f>
        <v>Franklin County</v>
      </c>
      <c r="B1" s="357"/>
      <c r="C1" s="125"/>
      <c r="D1" s="125"/>
      <c r="E1" s="125"/>
      <c r="F1" s="358" t="s">
        <v>23</v>
      </c>
      <c r="G1" s="125"/>
      <c r="H1" s="125"/>
      <c r="I1" s="125"/>
      <c r="J1" s="125"/>
      <c r="K1" s="125">
        <f>inputPrYr!$C$4</f>
        <v>2013</v>
      </c>
    </row>
    <row r="2" spans="1:11">
      <c r="A2" s="125"/>
      <c r="B2" s="125"/>
      <c r="C2" s="125"/>
      <c r="D2" s="125"/>
      <c r="E2" s="125"/>
      <c r="F2" s="359" t="str">
        <f>CONCATENATE("(Only the actual budget year for ",K1-2," is to be shown)")</f>
        <v>(Only the actual budget year for 2011 is to be shown)</v>
      </c>
      <c r="G2" s="125"/>
      <c r="H2" s="125"/>
      <c r="I2" s="125"/>
      <c r="J2" s="125"/>
      <c r="K2" s="125"/>
    </row>
    <row r="3" spans="1:11">
      <c r="A3" s="125" t="s">
        <v>24</v>
      </c>
      <c r="B3" s="125"/>
      <c r="C3" s="125"/>
      <c r="D3" s="125"/>
      <c r="E3" s="125"/>
      <c r="F3" s="357"/>
      <c r="G3" s="125"/>
      <c r="H3" s="125"/>
      <c r="I3" s="125"/>
      <c r="J3" s="125"/>
      <c r="K3" s="125"/>
    </row>
    <row r="4" spans="1:11">
      <c r="A4" s="125" t="s">
        <v>14</v>
      </c>
      <c r="B4" s="125"/>
      <c r="C4" s="125" t="s">
        <v>15</v>
      </c>
      <c r="D4" s="125"/>
      <c r="E4" s="125" t="s">
        <v>16</v>
      </c>
      <c r="F4" s="357"/>
      <c r="G4" s="125" t="s">
        <v>17</v>
      </c>
      <c r="H4" s="125"/>
      <c r="I4" s="125" t="s">
        <v>18</v>
      </c>
      <c r="J4" s="125"/>
      <c r="K4" s="125"/>
    </row>
    <row r="5" spans="1:11">
      <c r="A5" s="794" t="str">
        <f>IF(inputPrYr!B74&gt;" ",(inputPrYr!B74)," ")</f>
        <v>CHIP Reserve</v>
      </c>
      <c r="B5" s="795"/>
      <c r="C5" s="794" t="str">
        <f>IF(inputPrYr!B75&gt;" ",(inputPrYr!B75)," ")</f>
        <v>Ambulance Special Equipment Fund</v>
      </c>
      <c r="D5" s="795"/>
      <c r="E5" s="794" t="str">
        <f>IF(inputPrYr!B76&gt;" ",(inputPrYr!B76)," ")</f>
        <v>Appraiser Special Equipment Fund</v>
      </c>
      <c r="F5" s="795"/>
      <c r="G5" s="794" t="str">
        <f>IF(inputPrYr!B77&gt;" ",(inputPrYr!B77)," ")</f>
        <v xml:space="preserve"> </v>
      </c>
      <c r="H5" s="795"/>
      <c r="I5" s="794" t="str">
        <f>IF(inputPrYr!B78&gt;" ",(inputPrYr!B78)," ")</f>
        <v xml:space="preserve"> </v>
      </c>
      <c r="J5" s="795"/>
      <c r="K5" s="361"/>
    </row>
    <row r="6" spans="1:11">
      <c r="A6" s="362" t="s">
        <v>19</v>
      </c>
      <c r="B6" s="363"/>
      <c r="C6" s="364" t="s">
        <v>19</v>
      </c>
      <c r="D6" s="365"/>
      <c r="E6" s="364" t="s">
        <v>19</v>
      </c>
      <c r="F6" s="360"/>
      <c r="G6" s="364" t="s">
        <v>19</v>
      </c>
      <c r="H6" s="366"/>
      <c r="I6" s="364" t="s">
        <v>19</v>
      </c>
      <c r="J6" s="125"/>
      <c r="K6" s="367" t="s">
        <v>130</v>
      </c>
    </row>
    <row r="7" spans="1:11">
      <c r="A7" s="368" t="s">
        <v>84</v>
      </c>
      <c r="B7" s="369">
        <v>340850</v>
      </c>
      <c r="C7" s="370" t="s">
        <v>84</v>
      </c>
      <c r="D7" s="369">
        <v>275132</v>
      </c>
      <c r="E7" s="370" t="s">
        <v>84</v>
      </c>
      <c r="F7" s="369">
        <v>51765.58</v>
      </c>
      <c r="G7" s="370" t="s">
        <v>84</v>
      </c>
      <c r="H7" s="369"/>
      <c r="I7" s="370" t="s">
        <v>84</v>
      </c>
      <c r="J7" s="369"/>
      <c r="K7" s="371">
        <f>SUM(B7+D7+F7+H7+J7)</f>
        <v>667747.57999999996</v>
      </c>
    </row>
    <row r="8" spans="1:11">
      <c r="A8" s="372" t="s">
        <v>282</v>
      </c>
      <c r="B8" s="373"/>
      <c r="C8" s="372" t="s">
        <v>282</v>
      </c>
      <c r="D8" s="374"/>
      <c r="E8" s="372" t="s">
        <v>282</v>
      </c>
      <c r="F8" s="357"/>
      <c r="G8" s="372" t="s">
        <v>282</v>
      </c>
      <c r="H8" s="125"/>
      <c r="I8" s="372" t="s">
        <v>282</v>
      </c>
      <c r="J8" s="125"/>
      <c r="K8" s="357"/>
    </row>
    <row r="9" spans="1:11">
      <c r="A9" s="375" t="s">
        <v>1037</v>
      </c>
      <c r="B9" s="369">
        <v>0</v>
      </c>
      <c r="C9" s="375" t="s">
        <v>1079</v>
      </c>
      <c r="D9" s="369">
        <v>50000</v>
      </c>
      <c r="E9" s="375"/>
      <c r="F9" s="369"/>
      <c r="G9" s="375"/>
      <c r="H9" s="369"/>
      <c r="I9" s="375"/>
      <c r="J9" s="369"/>
      <c r="K9" s="357"/>
    </row>
    <row r="10" spans="1:11">
      <c r="A10" s="375"/>
      <c r="B10" s="369"/>
      <c r="C10" s="375"/>
      <c r="D10" s="369"/>
      <c r="E10" s="375"/>
      <c r="F10" s="369"/>
      <c r="G10" s="375"/>
      <c r="H10" s="369"/>
      <c r="I10" s="375"/>
      <c r="J10" s="369"/>
      <c r="K10" s="357"/>
    </row>
    <row r="11" spans="1:11">
      <c r="A11" s="375"/>
      <c r="B11" s="369"/>
      <c r="C11" s="376"/>
      <c r="D11" s="369"/>
      <c r="E11" s="376"/>
      <c r="F11" s="369"/>
      <c r="G11" s="376"/>
      <c r="H11" s="369"/>
      <c r="I11" s="377"/>
      <c r="J11" s="369"/>
      <c r="K11" s="357"/>
    </row>
    <row r="12" spans="1:11">
      <c r="A12" s="375"/>
      <c r="B12" s="369"/>
      <c r="C12" s="375"/>
      <c r="D12" s="369"/>
      <c r="E12" s="378"/>
      <c r="F12" s="369"/>
      <c r="G12" s="378"/>
      <c r="H12" s="369"/>
      <c r="I12" s="378"/>
      <c r="J12" s="369"/>
      <c r="K12" s="357"/>
    </row>
    <row r="13" spans="1:11">
      <c r="A13" s="379"/>
      <c r="B13" s="369"/>
      <c r="C13" s="380"/>
      <c r="D13" s="369"/>
      <c r="E13" s="380"/>
      <c r="F13" s="369"/>
      <c r="G13" s="380"/>
      <c r="H13" s="369"/>
      <c r="I13" s="377"/>
      <c r="J13" s="369"/>
      <c r="K13" s="357"/>
    </row>
    <row r="14" spans="1:11">
      <c r="A14" s="375"/>
      <c r="B14" s="369"/>
      <c r="C14" s="378"/>
      <c r="D14" s="369"/>
      <c r="E14" s="378"/>
      <c r="F14" s="369"/>
      <c r="G14" s="378"/>
      <c r="H14" s="369"/>
      <c r="I14" s="378"/>
      <c r="J14" s="369"/>
      <c r="K14" s="357"/>
    </row>
    <row r="15" spans="1:11">
      <c r="A15" s="375"/>
      <c r="B15" s="369"/>
      <c r="C15" s="378"/>
      <c r="D15" s="369"/>
      <c r="E15" s="378"/>
      <c r="F15" s="369"/>
      <c r="G15" s="378"/>
      <c r="H15" s="369"/>
      <c r="I15" s="378"/>
      <c r="J15" s="369"/>
      <c r="K15" s="357"/>
    </row>
    <row r="16" spans="1:11">
      <c r="A16" s="375"/>
      <c r="B16" s="369"/>
      <c r="C16" s="375"/>
      <c r="D16" s="369"/>
      <c r="E16" s="375"/>
      <c r="F16" s="369"/>
      <c r="G16" s="378"/>
      <c r="H16" s="369"/>
      <c r="I16" s="375"/>
      <c r="J16" s="369"/>
      <c r="K16" s="357"/>
    </row>
    <row r="17" spans="1:12">
      <c r="A17" s="372" t="s">
        <v>165</v>
      </c>
      <c r="B17" s="371">
        <f>SUM(B9:B16)</f>
        <v>0</v>
      </c>
      <c r="C17" s="372" t="s">
        <v>165</v>
      </c>
      <c r="D17" s="371">
        <f>SUM(D9:D16)</f>
        <v>50000</v>
      </c>
      <c r="E17" s="372" t="s">
        <v>165</v>
      </c>
      <c r="F17" s="447">
        <f>SUM(F9:F16)</f>
        <v>0</v>
      </c>
      <c r="G17" s="372" t="s">
        <v>165</v>
      </c>
      <c r="H17" s="371">
        <f>SUM(H9:H16)</f>
        <v>0</v>
      </c>
      <c r="I17" s="372" t="s">
        <v>165</v>
      </c>
      <c r="J17" s="371">
        <f>SUM(J9:J16)</f>
        <v>0</v>
      </c>
      <c r="K17" s="371">
        <f>SUM(B17+D17+F17+H17+J17)</f>
        <v>50000</v>
      </c>
    </row>
    <row r="18" spans="1:12">
      <c r="A18" s="372" t="s">
        <v>166</v>
      </c>
      <c r="B18" s="371">
        <f>SUM(B7+B17)</f>
        <v>340850</v>
      </c>
      <c r="C18" s="372" t="s">
        <v>166</v>
      </c>
      <c r="D18" s="371">
        <f>SUM(D7+D17)</f>
        <v>325132</v>
      </c>
      <c r="E18" s="372" t="s">
        <v>166</v>
      </c>
      <c r="F18" s="371">
        <f>SUM(F7+F17)</f>
        <v>51765.58</v>
      </c>
      <c r="G18" s="372" t="s">
        <v>166</v>
      </c>
      <c r="H18" s="371">
        <f>SUM(H7+H17)</f>
        <v>0</v>
      </c>
      <c r="I18" s="372" t="s">
        <v>166</v>
      </c>
      <c r="J18" s="371">
        <f>SUM(J7+J17)</f>
        <v>0</v>
      </c>
      <c r="K18" s="371">
        <f>SUM(B18+D18+F18+H18+J18)</f>
        <v>717747.58</v>
      </c>
    </row>
    <row r="19" spans="1:12">
      <c r="A19" s="372" t="s">
        <v>169</v>
      </c>
      <c r="B19" s="373"/>
      <c r="C19" s="372" t="s">
        <v>169</v>
      </c>
      <c r="D19" s="374"/>
      <c r="E19" s="372" t="s">
        <v>169</v>
      </c>
      <c r="F19" s="357"/>
      <c r="G19" s="372" t="s">
        <v>169</v>
      </c>
      <c r="H19" s="125"/>
      <c r="I19" s="372" t="s">
        <v>169</v>
      </c>
      <c r="J19" s="125"/>
      <c r="K19" s="357"/>
    </row>
    <row r="20" spans="1:12">
      <c r="A20" s="375" t="s">
        <v>139</v>
      </c>
      <c r="B20" s="369">
        <v>340850</v>
      </c>
      <c r="C20" s="378" t="s">
        <v>965</v>
      </c>
      <c r="D20" s="369">
        <v>172351</v>
      </c>
      <c r="E20" s="378" t="s">
        <v>1082</v>
      </c>
      <c r="F20" s="369">
        <v>51765.58</v>
      </c>
      <c r="G20" s="378"/>
      <c r="H20" s="369"/>
      <c r="I20" s="378"/>
      <c r="J20" s="369"/>
      <c r="K20" s="357"/>
    </row>
    <row r="21" spans="1:12">
      <c r="A21" s="375"/>
      <c r="B21" s="369"/>
      <c r="C21" s="378"/>
      <c r="D21" s="369"/>
      <c r="E21" s="378"/>
      <c r="F21" s="369"/>
      <c r="G21" s="378"/>
      <c r="H21" s="369"/>
      <c r="I21" s="378"/>
      <c r="J21" s="369"/>
      <c r="K21" s="357"/>
    </row>
    <row r="22" spans="1:12">
      <c r="A22" s="375"/>
      <c r="B22" s="369"/>
      <c r="C22" s="380"/>
      <c r="D22" s="369"/>
      <c r="E22" s="380"/>
      <c r="F22" s="369"/>
      <c r="G22" s="380"/>
      <c r="H22" s="369"/>
      <c r="I22" s="377"/>
      <c r="J22" s="369"/>
      <c r="K22" s="357"/>
    </row>
    <row r="23" spans="1:12">
      <c r="A23" s="375"/>
      <c r="B23" s="369"/>
      <c r="C23" s="378"/>
      <c r="D23" s="369"/>
      <c r="E23" s="378"/>
      <c r="F23" s="369"/>
      <c r="G23" s="378"/>
      <c r="H23" s="369"/>
      <c r="I23" s="378"/>
      <c r="J23" s="369"/>
      <c r="K23" s="357"/>
    </row>
    <row r="24" spans="1:12">
      <c r="A24" s="375"/>
      <c r="B24" s="369"/>
      <c r="C24" s="380"/>
      <c r="D24" s="369"/>
      <c r="E24" s="380"/>
      <c r="F24" s="369"/>
      <c r="G24" s="380"/>
      <c r="H24" s="369"/>
      <c r="I24" s="377"/>
      <c r="J24" s="369"/>
      <c r="K24" s="357"/>
    </row>
    <row r="25" spans="1:12">
      <c r="A25" s="375"/>
      <c r="B25" s="369"/>
      <c r="C25" s="378"/>
      <c r="D25" s="369"/>
      <c r="E25" s="378"/>
      <c r="F25" s="369"/>
      <c r="G25" s="378"/>
      <c r="H25" s="369"/>
      <c r="I25" s="378"/>
      <c r="J25" s="369"/>
      <c r="K25" s="357"/>
    </row>
    <row r="26" spans="1:12">
      <c r="A26" s="375"/>
      <c r="B26" s="369"/>
      <c r="C26" s="378"/>
      <c r="D26" s="369"/>
      <c r="E26" s="378"/>
      <c r="F26" s="369"/>
      <c r="G26" s="378"/>
      <c r="H26" s="369"/>
      <c r="I26" s="378"/>
      <c r="J26" s="369"/>
      <c r="K26" s="357"/>
    </row>
    <row r="27" spans="1:12">
      <c r="A27" s="375"/>
      <c r="B27" s="369"/>
      <c r="C27" s="375"/>
      <c r="D27" s="369"/>
      <c r="E27" s="375"/>
      <c r="F27" s="369"/>
      <c r="G27" s="378"/>
      <c r="H27" s="369"/>
      <c r="I27" s="378"/>
      <c r="J27" s="369"/>
      <c r="K27" s="357"/>
    </row>
    <row r="28" spans="1:12">
      <c r="A28" s="372" t="s">
        <v>170</v>
      </c>
      <c r="B28" s="371">
        <f>SUM(B20:B27)</f>
        <v>340850</v>
      </c>
      <c r="C28" s="372" t="s">
        <v>170</v>
      </c>
      <c r="D28" s="371">
        <f>SUM(D20:D27)</f>
        <v>172351</v>
      </c>
      <c r="E28" s="372" t="s">
        <v>170</v>
      </c>
      <c r="F28" s="447">
        <f>SUM(F20:F27)</f>
        <v>51765.58</v>
      </c>
      <c r="G28" s="372" t="s">
        <v>170</v>
      </c>
      <c r="H28" s="447">
        <f>SUM(H20:H27)</f>
        <v>0</v>
      </c>
      <c r="I28" s="372" t="s">
        <v>170</v>
      </c>
      <c r="J28" s="371">
        <f>SUM(J20:J27)</f>
        <v>0</v>
      </c>
      <c r="K28" s="371">
        <f>SUM(B28+D28+F28+H28+J28)</f>
        <v>564966.57999999996</v>
      </c>
    </row>
    <row r="29" spans="1:12">
      <c r="A29" s="372" t="s">
        <v>20</v>
      </c>
      <c r="B29" s="371">
        <f>B18-B28</f>
        <v>0</v>
      </c>
      <c r="C29" s="372" t="s">
        <v>20</v>
      </c>
      <c r="D29" s="371">
        <f>D18-D28</f>
        <v>152781</v>
      </c>
      <c r="E29" s="372" t="s">
        <v>20</v>
      </c>
      <c r="F29" s="371">
        <f>F18-F28</f>
        <v>0</v>
      </c>
      <c r="G29" s="372" t="s">
        <v>20</v>
      </c>
      <c r="H29" s="371">
        <f>H18-H28</f>
        <v>0</v>
      </c>
      <c r="I29" s="372" t="s">
        <v>20</v>
      </c>
      <c r="J29" s="371">
        <f>J18-J28</f>
        <v>0</v>
      </c>
      <c r="K29" s="382">
        <f>SUM(B29+D29+F29+H29+J29)</f>
        <v>152781</v>
      </c>
      <c r="L29" s="72" t="s">
        <v>61</v>
      </c>
    </row>
    <row r="30" spans="1:12">
      <c r="A30" s="372"/>
      <c r="B30" s="413" t="str">
        <f>IF(B29&lt;0,"See Tab B","")</f>
        <v/>
      </c>
      <c r="C30" s="372"/>
      <c r="D30" s="413" t="str">
        <f>IF(D29&lt;0,"See Tab B","")</f>
        <v/>
      </c>
      <c r="E30" s="372"/>
      <c r="F30" s="413" t="str">
        <f>IF(F29&lt;0,"See Tab B","")</f>
        <v/>
      </c>
      <c r="G30" s="125"/>
      <c r="H30" s="413" t="str">
        <f>IF(H29&lt;0,"See Tab B","")</f>
        <v/>
      </c>
      <c r="I30" s="125"/>
      <c r="J30" s="413" t="str">
        <f>IF(J29&lt;0,"See Tab B","")</f>
        <v/>
      </c>
      <c r="K30" s="382">
        <f>SUM(K7+K17-K28)</f>
        <v>152781</v>
      </c>
      <c r="L30" s="72" t="s">
        <v>61</v>
      </c>
    </row>
    <row r="31" spans="1:12">
      <c r="A31" s="125"/>
      <c r="B31" s="383"/>
      <c r="C31" s="125"/>
      <c r="D31" s="357"/>
      <c r="E31" s="125"/>
      <c r="F31" s="125"/>
      <c r="G31" s="82" t="s">
        <v>62</v>
      </c>
      <c r="H31" s="82"/>
      <c r="I31" s="82"/>
      <c r="J31" s="82"/>
      <c r="K31" s="125"/>
    </row>
    <row r="32" spans="1:12">
      <c r="A32" s="125"/>
      <c r="B32" s="383"/>
      <c r="C32" s="125"/>
      <c r="D32" s="125"/>
      <c r="E32" s="125"/>
      <c r="F32" s="125"/>
      <c r="G32" s="125"/>
      <c r="H32" s="125"/>
      <c r="I32" s="125"/>
      <c r="J32" s="125"/>
      <c r="K32" s="125"/>
    </row>
    <row r="33" spans="1:11">
      <c r="A33" s="125"/>
      <c r="B33" s="383"/>
      <c r="C33" s="125"/>
      <c r="D33" s="125"/>
      <c r="E33" s="322" t="s">
        <v>190</v>
      </c>
      <c r="F33" s="349"/>
      <c r="G33" s="125"/>
      <c r="H33" s="125"/>
      <c r="I33" s="125"/>
      <c r="J33" s="125"/>
      <c r="K33" s="125"/>
    </row>
    <row r="34" spans="1:11">
      <c r="B34" s="384"/>
    </row>
    <row r="35" spans="1:11">
      <c r="B35" s="384"/>
    </row>
    <row r="36" spans="1:11">
      <c r="B36" s="384"/>
    </row>
    <row r="37" spans="1:11">
      <c r="B37" s="384"/>
    </row>
    <row r="38" spans="1:11">
      <c r="B38" s="384"/>
    </row>
    <row r="39" spans="1:11">
      <c r="B39" s="384"/>
    </row>
    <row r="40" spans="1:11">
      <c r="B40" s="384"/>
    </row>
    <row r="41" spans="1:11">
      <c r="B41" s="384"/>
    </row>
  </sheetData>
  <sheetProtection sheet="1"/>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4.xml><?xml version="1.0" encoding="utf-8"?>
<worksheet xmlns="http://schemas.openxmlformats.org/spreadsheetml/2006/main" xmlns:r="http://schemas.openxmlformats.org/officeDocument/2006/relationships">
  <dimension ref="A1:J23"/>
  <sheetViews>
    <sheetView topLeftCell="A3" workbookViewId="0">
      <selection activeCell="C18" sqref="C18"/>
    </sheetView>
  </sheetViews>
  <sheetFormatPr defaultRowHeight="15"/>
  <cols>
    <col min="1" max="1" width="13.77734375" customWidth="1"/>
    <col min="2" max="2" width="16.109375" customWidth="1"/>
  </cols>
  <sheetData>
    <row r="1" spans="1:10">
      <c r="J1" s="637" t="s">
        <v>822</v>
      </c>
    </row>
    <row r="2" spans="1:10" ht="54" customHeight="1">
      <c r="A2" s="744" t="s">
        <v>412</v>
      </c>
      <c r="B2" s="745"/>
      <c r="C2" s="745"/>
      <c r="D2" s="745"/>
      <c r="E2" s="745"/>
      <c r="F2" s="745"/>
      <c r="J2" s="637" t="s">
        <v>823</v>
      </c>
    </row>
    <row r="3" spans="1:10" ht="15.75">
      <c r="A3" s="2" t="s">
        <v>820</v>
      </c>
      <c r="B3" s="718"/>
      <c r="J3" s="637" t="s">
        <v>824</v>
      </c>
    </row>
    <row r="4" spans="1:10" ht="15.75">
      <c r="A4" s="422"/>
      <c r="B4" s="422"/>
      <c r="C4" s="422"/>
      <c r="D4" s="636" t="s">
        <v>821</v>
      </c>
      <c r="E4" s="422"/>
      <c r="F4" s="422"/>
      <c r="J4" s="637" t="s">
        <v>825</v>
      </c>
    </row>
    <row r="5" spans="1:10" ht="15.75">
      <c r="A5" s="423" t="s">
        <v>413</v>
      </c>
      <c r="B5" s="424" t="s">
        <v>933</v>
      </c>
      <c r="C5" s="425"/>
      <c r="D5" s="636" t="str">
        <f ca="1">IF(B5="","",CONCATENATE("Latest date for notice to be published in your newspaper: ",G18," ",G22,", ",G23))</f>
        <v>Latest date for notice to be published in your newspaper: July 29, 2012</v>
      </c>
      <c r="E5" s="422"/>
      <c r="F5" s="422"/>
      <c r="J5" s="637" t="s">
        <v>826</v>
      </c>
    </row>
    <row r="6" spans="1:10" ht="15.75">
      <c r="A6" s="423"/>
      <c r="B6" s="426"/>
      <c r="C6" s="427"/>
      <c r="D6" s="423"/>
      <c r="E6" s="422"/>
      <c r="F6" s="422"/>
      <c r="J6" s="637" t="s">
        <v>827</v>
      </c>
    </row>
    <row r="7" spans="1:10" ht="15.75">
      <c r="A7" s="423" t="s">
        <v>414</v>
      </c>
      <c r="B7" s="424" t="s">
        <v>934</v>
      </c>
      <c r="C7" s="428"/>
      <c r="D7" s="423"/>
      <c r="E7" s="422"/>
      <c r="F7" s="422"/>
      <c r="J7" s="637" t="s">
        <v>828</v>
      </c>
    </row>
    <row r="8" spans="1:10" ht="15.75">
      <c r="A8" s="423"/>
      <c r="B8" s="423"/>
      <c r="C8" s="423"/>
      <c r="D8" s="423"/>
      <c r="E8" s="422"/>
      <c r="F8" s="422"/>
      <c r="J8" s="637" t="s">
        <v>829</v>
      </c>
    </row>
    <row r="9" spans="1:10" ht="15.75">
      <c r="A9" s="423" t="s">
        <v>415</v>
      </c>
      <c r="B9" s="429" t="s">
        <v>935</v>
      </c>
      <c r="C9" s="429"/>
      <c r="D9" s="429"/>
      <c r="E9" s="430"/>
      <c r="F9" s="422"/>
      <c r="J9" s="637" t="s">
        <v>830</v>
      </c>
    </row>
    <row r="10" spans="1:10" ht="15.75">
      <c r="A10" s="423"/>
      <c r="B10" s="423"/>
      <c r="C10" s="423"/>
      <c r="D10" s="423"/>
      <c r="E10" s="422"/>
      <c r="F10" s="422"/>
      <c r="J10" s="637" t="s">
        <v>831</v>
      </c>
    </row>
    <row r="11" spans="1:10" ht="15.75">
      <c r="A11" s="423"/>
      <c r="B11" s="423"/>
      <c r="C11" s="423"/>
      <c r="D11" s="423"/>
      <c r="E11" s="422"/>
      <c r="F11" s="422"/>
      <c r="J11" s="637" t="s">
        <v>832</v>
      </c>
    </row>
    <row r="12" spans="1:10" ht="15.75">
      <c r="A12" s="423" t="s">
        <v>417</v>
      </c>
      <c r="B12" s="429" t="s">
        <v>936</v>
      </c>
      <c r="C12" s="429"/>
      <c r="D12" s="429"/>
      <c r="E12" s="430"/>
      <c r="F12" s="422"/>
      <c r="J12" s="637" t="s">
        <v>833</v>
      </c>
    </row>
    <row r="15" spans="1:10" ht="15.75">
      <c r="A15" s="746" t="s">
        <v>418</v>
      </c>
      <c r="B15" s="746"/>
      <c r="C15" s="423"/>
      <c r="D15" s="423"/>
      <c r="E15" s="423"/>
      <c r="F15" s="422"/>
    </row>
    <row r="16" spans="1:10" ht="15.75">
      <c r="A16" s="423"/>
      <c r="B16" s="423"/>
      <c r="C16" s="423"/>
      <c r="D16" s="423"/>
      <c r="E16" s="423"/>
      <c r="F16" s="422"/>
    </row>
    <row r="17" spans="1:7" ht="15.75">
      <c r="A17" s="423" t="s">
        <v>413</v>
      </c>
      <c r="B17" s="426" t="s">
        <v>419</v>
      </c>
      <c r="C17" s="423"/>
      <c r="D17" s="423"/>
      <c r="E17" s="423"/>
    </row>
    <row r="18" spans="1:7" ht="15.75">
      <c r="A18" s="423"/>
      <c r="B18" s="423"/>
      <c r="C18" s="423"/>
      <c r="D18" s="423"/>
      <c r="E18" s="423"/>
      <c r="G18" s="637" t="str">
        <f ca="1">IF(B5="","",INDIRECT(G19))</f>
        <v>July</v>
      </c>
    </row>
    <row r="19" spans="1:7" ht="15.75">
      <c r="A19" s="423" t="s">
        <v>414</v>
      </c>
      <c r="B19" s="423" t="s">
        <v>420</v>
      </c>
      <c r="C19" s="423"/>
      <c r="D19" s="423"/>
      <c r="E19" s="423"/>
      <c r="G19" s="638" t="str">
        <f>IF(B5="","",CONCATENATE("J",G21))</f>
        <v>J7</v>
      </c>
    </row>
    <row r="20" spans="1:7" ht="15.75">
      <c r="A20" s="423"/>
      <c r="B20" s="423"/>
      <c r="C20" s="423"/>
      <c r="D20" s="423"/>
      <c r="E20" s="423"/>
      <c r="G20" s="639">
        <f>B5-10</f>
        <v>41119</v>
      </c>
    </row>
    <row r="21" spans="1:7" ht="15.75">
      <c r="A21" s="423" t="s">
        <v>415</v>
      </c>
      <c r="B21" s="423" t="s">
        <v>416</v>
      </c>
      <c r="C21" s="423"/>
      <c r="D21" s="423"/>
      <c r="E21" s="423"/>
      <c r="G21" s="640">
        <f>IF(B5="","",MONTH(G20))</f>
        <v>7</v>
      </c>
    </row>
    <row r="22" spans="1:7" ht="15.75">
      <c r="A22" s="423"/>
      <c r="B22" s="423"/>
      <c r="C22" s="423"/>
      <c r="D22" s="423"/>
      <c r="E22" s="423"/>
      <c r="G22" s="641">
        <f>IF(B5="","",DAY(G20))</f>
        <v>29</v>
      </c>
    </row>
    <row r="23" spans="1:7" ht="15.75">
      <c r="A23" s="423" t="s">
        <v>417</v>
      </c>
      <c r="B23" s="423" t="s">
        <v>416</v>
      </c>
      <c r="C23" s="423"/>
      <c r="D23" s="423"/>
      <c r="E23" s="423"/>
      <c r="G23" s="642">
        <f>IF(B5="","",YEAR(G20))</f>
        <v>2012</v>
      </c>
    </row>
  </sheetData>
  <sheetProtection sheet="1"/>
  <mergeCells count="2">
    <mergeCell ref="A2:F2"/>
    <mergeCell ref="A15:B15"/>
  </mergeCells>
  <pageMargins left="0.7" right="0.7" top="0.75" bottom="0.75" header="0.3" footer="0.3"/>
  <pageSetup orientation="portrait" blackAndWhite="1" r:id="rId1"/>
</worksheet>
</file>

<file path=xl/worksheets/sheet40.xml><?xml version="1.0" encoding="utf-8"?>
<worksheet xmlns="http://schemas.openxmlformats.org/spreadsheetml/2006/main" xmlns:r="http://schemas.openxmlformats.org/officeDocument/2006/relationships">
  <sheetPr>
    <pageSetUpPr fitToPage="1"/>
  </sheetPr>
  <dimension ref="A1:L41"/>
  <sheetViews>
    <sheetView workbookViewId="0">
      <selection activeCell="J24" sqref="J24"/>
    </sheetView>
  </sheetViews>
  <sheetFormatPr defaultColWidth="8.88671875" defaultRowHeight="15.75"/>
  <cols>
    <col min="1" max="1" width="11.5546875" style="72" customWidth="1"/>
    <col min="2" max="2" width="7.44140625" style="72" customWidth="1"/>
    <col min="3" max="3" width="11.5546875" style="72" customWidth="1"/>
    <col min="4" max="4" width="7.44140625" style="72" customWidth="1"/>
    <col min="5" max="5" width="11.5546875" style="72" customWidth="1"/>
    <col min="6" max="6" width="7.44140625" style="72" customWidth="1"/>
    <col min="7" max="7" width="11.5546875" style="72" customWidth="1"/>
    <col min="8" max="8" width="7.44140625" style="72" customWidth="1"/>
    <col min="9" max="9" width="11.5546875" style="72" customWidth="1"/>
    <col min="10" max="16384" width="8.88671875" style="72"/>
  </cols>
  <sheetData>
    <row r="1" spans="1:11">
      <c r="A1" s="144" t="str">
        <f>inputPrYr!$C$2</f>
        <v>Franklin County</v>
      </c>
      <c r="B1" s="357"/>
      <c r="C1" s="125"/>
      <c r="D1" s="125"/>
      <c r="E1" s="125"/>
      <c r="F1" s="358" t="s">
        <v>25</v>
      </c>
      <c r="G1" s="125"/>
      <c r="H1" s="125"/>
      <c r="I1" s="125"/>
      <c r="J1" s="125"/>
      <c r="K1" s="125">
        <f>inputPrYr!$C$4</f>
        <v>2013</v>
      </c>
    </row>
    <row r="2" spans="1:11">
      <c r="A2" s="125"/>
      <c r="B2" s="125"/>
      <c r="C2" s="125"/>
      <c r="D2" s="125"/>
      <c r="E2" s="125"/>
      <c r="F2" s="359" t="str">
        <f>CONCATENATE("(Only the actual budget year for ",K1-2," is to be shown)")</f>
        <v>(Only the actual budget year for 2011 is to be shown)</v>
      </c>
      <c r="G2" s="125"/>
      <c r="H2" s="125"/>
      <c r="I2" s="125"/>
      <c r="J2" s="125"/>
      <c r="K2" s="125"/>
    </row>
    <row r="3" spans="1:11">
      <c r="A3" s="125" t="s">
        <v>26</v>
      </c>
      <c r="B3" s="125"/>
      <c r="C3" s="125"/>
      <c r="D3" s="125"/>
      <c r="E3" s="125"/>
      <c r="F3" s="357"/>
      <c r="G3" s="125"/>
      <c r="H3" s="125"/>
      <c r="I3" s="125"/>
      <c r="J3" s="125"/>
      <c r="K3" s="125"/>
    </row>
    <row r="4" spans="1:11">
      <c r="A4" s="125" t="s">
        <v>14</v>
      </c>
      <c r="B4" s="125"/>
      <c r="C4" s="125" t="s">
        <v>15</v>
      </c>
      <c r="D4" s="125"/>
      <c r="E4" s="125" t="s">
        <v>16</v>
      </c>
      <c r="F4" s="357"/>
      <c r="G4" s="125" t="s">
        <v>17</v>
      </c>
      <c r="H4" s="125"/>
      <c r="I4" s="125" t="s">
        <v>18</v>
      </c>
      <c r="J4" s="125"/>
      <c r="K4" s="125"/>
    </row>
    <row r="5" spans="1:11">
      <c r="A5" s="794" t="str">
        <f>IF(inputPrYr!B80&gt;" ",(inputPrYr!B80)," ")</f>
        <v xml:space="preserve"> </v>
      </c>
      <c r="B5" s="795"/>
      <c r="C5" s="794" t="str">
        <f>IF(inputPrYr!B81&gt;" ",(inputPrYr!B81)," ")</f>
        <v xml:space="preserve"> </v>
      </c>
      <c r="D5" s="795"/>
      <c r="E5" s="794" t="str">
        <f>IF(inputPrYr!B82&gt;" ",(inputPrYr!B82)," ")</f>
        <v xml:space="preserve"> </v>
      </c>
      <c r="F5" s="795"/>
      <c r="G5" s="794" t="str">
        <f>IF(inputPrYr!B83&gt;" ",(inputPrYr!B83)," ")</f>
        <v xml:space="preserve"> </v>
      </c>
      <c r="H5" s="795"/>
      <c r="I5" s="794" t="str">
        <f>IF(inputPrYr!B84&gt;" ",(inputPrYr!B84)," ")</f>
        <v xml:space="preserve"> </v>
      </c>
      <c r="J5" s="795"/>
      <c r="K5" s="361"/>
    </row>
    <row r="6" spans="1:11">
      <c r="A6" s="362" t="s">
        <v>19</v>
      </c>
      <c r="B6" s="363"/>
      <c r="C6" s="364" t="s">
        <v>19</v>
      </c>
      <c r="D6" s="365"/>
      <c r="E6" s="364" t="s">
        <v>19</v>
      </c>
      <c r="F6" s="360"/>
      <c r="G6" s="364" t="s">
        <v>19</v>
      </c>
      <c r="H6" s="366"/>
      <c r="I6" s="364" t="s">
        <v>19</v>
      </c>
      <c r="J6" s="125"/>
      <c r="K6" s="367" t="s">
        <v>130</v>
      </c>
    </row>
    <row r="7" spans="1:11">
      <c r="A7" s="368" t="s">
        <v>84</v>
      </c>
      <c r="B7" s="369"/>
      <c r="C7" s="370" t="s">
        <v>84</v>
      </c>
      <c r="D7" s="369"/>
      <c r="E7" s="370" t="s">
        <v>84</v>
      </c>
      <c r="F7" s="369"/>
      <c r="G7" s="370" t="s">
        <v>84</v>
      </c>
      <c r="H7" s="369"/>
      <c r="I7" s="370" t="s">
        <v>84</v>
      </c>
      <c r="J7" s="369"/>
      <c r="K7" s="371">
        <f>SUM(B7+D7+F7+H7+J7)</f>
        <v>0</v>
      </c>
    </row>
    <row r="8" spans="1:11">
      <c r="A8" s="372" t="s">
        <v>282</v>
      </c>
      <c r="B8" s="373"/>
      <c r="C8" s="372" t="s">
        <v>282</v>
      </c>
      <c r="D8" s="374"/>
      <c r="E8" s="372" t="s">
        <v>282</v>
      </c>
      <c r="F8" s="357"/>
      <c r="G8" s="372" t="s">
        <v>282</v>
      </c>
      <c r="H8" s="125"/>
      <c r="I8" s="372" t="s">
        <v>282</v>
      </c>
      <c r="J8" s="125"/>
      <c r="K8" s="357"/>
    </row>
    <row r="9" spans="1:11">
      <c r="A9" s="375"/>
      <c r="B9" s="369"/>
      <c r="C9" s="375"/>
      <c r="D9" s="369"/>
      <c r="E9" s="375"/>
      <c r="F9" s="369"/>
      <c r="G9" s="375"/>
      <c r="H9" s="369"/>
      <c r="I9" s="375"/>
      <c r="J9" s="369"/>
      <c r="K9" s="357"/>
    </row>
    <row r="10" spans="1:11">
      <c r="A10" s="375"/>
      <c r="B10" s="369"/>
      <c r="C10" s="375"/>
      <c r="D10" s="369"/>
      <c r="E10" s="375"/>
      <c r="F10" s="369"/>
      <c r="G10" s="375"/>
      <c r="H10" s="369"/>
      <c r="I10" s="375"/>
      <c r="J10" s="369"/>
      <c r="K10" s="357"/>
    </row>
    <row r="11" spans="1:11">
      <c r="A11" s="375"/>
      <c r="B11" s="369"/>
      <c r="C11" s="376"/>
      <c r="D11" s="369"/>
      <c r="E11" s="376"/>
      <c r="F11" s="369"/>
      <c r="G11" s="376"/>
      <c r="H11" s="369"/>
      <c r="I11" s="377"/>
      <c r="J11" s="369"/>
      <c r="K11" s="357"/>
    </row>
    <row r="12" spans="1:11">
      <c r="A12" s="375"/>
      <c r="B12" s="369"/>
      <c r="C12" s="375"/>
      <c r="D12" s="369"/>
      <c r="E12" s="378"/>
      <c r="F12" s="369"/>
      <c r="G12" s="378"/>
      <c r="H12" s="369"/>
      <c r="I12" s="378"/>
      <c r="J12" s="369"/>
      <c r="K12" s="357"/>
    </row>
    <row r="13" spans="1:11">
      <c r="A13" s="379"/>
      <c r="B13" s="369"/>
      <c r="C13" s="380"/>
      <c r="D13" s="369"/>
      <c r="E13" s="380"/>
      <c r="F13" s="369"/>
      <c r="G13" s="380"/>
      <c r="H13" s="369"/>
      <c r="I13" s="377"/>
      <c r="J13" s="369"/>
      <c r="K13" s="357"/>
    </row>
    <row r="14" spans="1:11">
      <c r="A14" s="375"/>
      <c r="B14" s="369"/>
      <c r="C14" s="378"/>
      <c r="D14" s="369"/>
      <c r="E14" s="378"/>
      <c r="F14" s="369"/>
      <c r="G14" s="378"/>
      <c r="H14" s="369"/>
      <c r="I14" s="378"/>
      <c r="J14" s="369"/>
      <c r="K14" s="357"/>
    </row>
    <row r="15" spans="1:11">
      <c r="A15" s="375"/>
      <c r="B15" s="369"/>
      <c r="C15" s="378"/>
      <c r="D15" s="369"/>
      <c r="E15" s="378"/>
      <c r="F15" s="369"/>
      <c r="G15" s="378"/>
      <c r="H15" s="369"/>
      <c r="I15" s="378"/>
      <c r="J15" s="369"/>
      <c r="K15" s="357"/>
    </row>
    <row r="16" spans="1:11">
      <c r="A16" s="375"/>
      <c r="B16" s="369"/>
      <c r="C16" s="375"/>
      <c r="D16" s="369"/>
      <c r="E16" s="375"/>
      <c r="F16" s="369"/>
      <c r="G16" s="378"/>
      <c r="H16" s="369"/>
      <c r="I16" s="375"/>
      <c r="J16" s="369"/>
      <c r="K16" s="357"/>
    </row>
    <row r="17" spans="1:12">
      <c r="A17" s="372" t="s">
        <v>165</v>
      </c>
      <c r="B17" s="371">
        <f>SUM(B9:B16)</f>
        <v>0</v>
      </c>
      <c r="C17" s="372" t="s">
        <v>165</v>
      </c>
      <c r="D17" s="371">
        <f>SUM(D9:D16)</f>
        <v>0</v>
      </c>
      <c r="E17" s="372" t="s">
        <v>165</v>
      </c>
      <c r="F17" s="447">
        <f>SUM(F9:F16)</f>
        <v>0</v>
      </c>
      <c r="G17" s="372" t="s">
        <v>165</v>
      </c>
      <c r="H17" s="371">
        <f>SUM(H9:H16)</f>
        <v>0</v>
      </c>
      <c r="I17" s="372" t="s">
        <v>165</v>
      </c>
      <c r="J17" s="371">
        <f>SUM(J9:J16)</f>
        <v>0</v>
      </c>
      <c r="K17" s="371">
        <f>SUM(B17+D17+F17+H17+J17)</f>
        <v>0</v>
      </c>
    </row>
    <row r="18" spans="1:12">
      <c r="A18" s="372" t="s">
        <v>166</v>
      </c>
      <c r="B18" s="371">
        <f>SUM(B7+B17)</f>
        <v>0</v>
      </c>
      <c r="C18" s="372" t="s">
        <v>166</v>
      </c>
      <c r="D18" s="371">
        <f>SUM(D7+D17)</f>
        <v>0</v>
      </c>
      <c r="E18" s="372" t="s">
        <v>166</v>
      </c>
      <c r="F18" s="371">
        <f>SUM(F7+F17)</f>
        <v>0</v>
      </c>
      <c r="G18" s="372" t="s">
        <v>166</v>
      </c>
      <c r="H18" s="371">
        <f>SUM(H7+H17)</f>
        <v>0</v>
      </c>
      <c r="I18" s="372" t="s">
        <v>166</v>
      </c>
      <c r="J18" s="371">
        <f>SUM(J7+J17)</f>
        <v>0</v>
      </c>
      <c r="K18" s="371">
        <f>SUM(B18+D18+F18+H18+J18)</f>
        <v>0</v>
      </c>
    </row>
    <row r="19" spans="1:12">
      <c r="A19" s="372" t="s">
        <v>169</v>
      </c>
      <c r="B19" s="373"/>
      <c r="C19" s="372" t="s">
        <v>169</v>
      </c>
      <c r="D19" s="374"/>
      <c r="E19" s="372" t="s">
        <v>169</v>
      </c>
      <c r="F19" s="357"/>
      <c r="G19" s="372" t="s">
        <v>169</v>
      </c>
      <c r="H19" s="125"/>
      <c r="I19" s="372" t="s">
        <v>169</v>
      </c>
      <c r="J19" s="125"/>
      <c r="K19" s="357"/>
    </row>
    <row r="20" spans="1:12">
      <c r="A20" s="375"/>
      <c r="B20" s="369"/>
      <c r="C20" s="378"/>
      <c r="D20" s="369"/>
      <c r="E20" s="378"/>
      <c r="F20" s="369"/>
      <c r="G20" s="378"/>
      <c r="H20" s="369"/>
      <c r="I20" s="378"/>
      <c r="J20" s="369"/>
      <c r="K20" s="357"/>
    </row>
    <row r="21" spans="1:12">
      <c r="A21" s="375"/>
      <c r="B21" s="369"/>
      <c r="C21" s="378"/>
      <c r="D21" s="369"/>
      <c r="E21" s="378"/>
      <c r="F21" s="369"/>
      <c r="G21" s="378"/>
      <c r="H21" s="369"/>
      <c r="I21" s="378"/>
      <c r="J21" s="369"/>
      <c r="K21" s="357"/>
    </row>
    <row r="22" spans="1:12">
      <c r="A22" s="375"/>
      <c r="B22" s="369"/>
      <c r="C22" s="380"/>
      <c r="D22" s="369"/>
      <c r="E22" s="380"/>
      <c r="F22" s="369"/>
      <c r="G22" s="380"/>
      <c r="H22" s="369"/>
      <c r="I22" s="377"/>
      <c r="J22" s="369"/>
      <c r="K22" s="357"/>
    </row>
    <row r="23" spans="1:12">
      <c r="A23" s="375"/>
      <c r="B23" s="369"/>
      <c r="C23" s="378"/>
      <c r="D23" s="369"/>
      <c r="E23" s="378"/>
      <c r="F23" s="369"/>
      <c r="G23" s="378"/>
      <c r="H23" s="369"/>
      <c r="I23" s="378"/>
      <c r="J23" s="369"/>
      <c r="K23" s="357"/>
    </row>
    <row r="24" spans="1:12">
      <c r="A24" s="375"/>
      <c r="B24" s="369"/>
      <c r="C24" s="380"/>
      <c r="D24" s="369"/>
      <c r="E24" s="380"/>
      <c r="F24" s="369"/>
      <c r="G24" s="380"/>
      <c r="H24" s="369"/>
      <c r="I24" s="377"/>
      <c r="J24" s="369"/>
      <c r="K24" s="357"/>
    </row>
    <row r="25" spans="1:12">
      <c r="A25" s="375"/>
      <c r="B25" s="369"/>
      <c r="C25" s="378"/>
      <c r="D25" s="369"/>
      <c r="E25" s="378"/>
      <c r="F25" s="369"/>
      <c r="G25" s="378"/>
      <c r="H25" s="369"/>
      <c r="I25" s="378"/>
      <c r="J25" s="369"/>
      <c r="K25" s="357"/>
    </row>
    <row r="26" spans="1:12">
      <c r="A26" s="375"/>
      <c r="B26" s="369"/>
      <c r="C26" s="378"/>
      <c r="D26" s="369"/>
      <c r="E26" s="378"/>
      <c r="F26" s="369"/>
      <c r="G26" s="378"/>
      <c r="H26" s="369"/>
      <c r="I26" s="378"/>
      <c r="J26" s="369"/>
      <c r="K26" s="357"/>
    </row>
    <row r="27" spans="1:12">
      <c r="A27" s="375"/>
      <c r="B27" s="369"/>
      <c r="C27" s="375"/>
      <c r="D27" s="369"/>
      <c r="E27" s="375"/>
      <c r="F27" s="369"/>
      <c r="G27" s="378"/>
      <c r="H27" s="369"/>
      <c r="I27" s="378"/>
      <c r="J27" s="369"/>
      <c r="K27" s="357"/>
    </row>
    <row r="28" spans="1:12">
      <c r="A28" s="372" t="s">
        <v>170</v>
      </c>
      <c r="B28" s="371">
        <f>SUM(B20:B27)</f>
        <v>0</v>
      </c>
      <c r="C28" s="372" t="s">
        <v>170</v>
      </c>
      <c r="D28" s="371">
        <f>SUM(D20:D27)</f>
        <v>0</v>
      </c>
      <c r="E28" s="372" t="s">
        <v>170</v>
      </c>
      <c r="F28" s="447">
        <f>SUM(F20:F27)</f>
        <v>0</v>
      </c>
      <c r="G28" s="372" t="s">
        <v>170</v>
      </c>
      <c r="H28" s="447">
        <f>SUM(H20:H27)</f>
        <v>0</v>
      </c>
      <c r="I28" s="372" t="s">
        <v>170</v>
      </c>
      <c r="J28" s="371">
        <f>SUM(J20:J27)</f>
        <v>0</v>
      </c>
      <c r="K28" s="371">
        <f>SUM(B28+D28+F28+H28+J28)</f>
        <v>0</v>
      </c>
    </row>
    <row r="29" spans="1:12">
      <c r="A29" s="372" t="s">
        <v>20</v>
      </c>
      <c r="B29" s="371">
        <f>B18-B28</f>
        <v>0</v>
      </c>
      <c r="C29" s="372" t="s">
        <v>20</v>
      </c>
      <c r="D29" s="371">
        <f>D18-D28</f>
        <v>0</v>
      </c>
      <c r="E29" s="372" t="s">
        <v>20</v>
      </c>
      <c r="F29" s="371">
        <f>F18-F28</f>
        <v>0</v>
      </c>
      <c r="G29" s="372" t="s">
        <v>20</v>
      </c>
      <c r="H29" s="371">
        <f>H18-H28</f>
        <v>0</v>
      </c>
      <c r="I29" s="372" t="s">
        <v>20</v>
      </c>
      <c r="J29" s="371">
        <f>J18-J28</f>
        <v>0</v>
      </c>
      <c r="K29" s="385">
        <f>SUM(B29+D29+F29+H29+J29)</f>
        <v>0</v>
      </c>
      <c r="L29" s="72" t="s">
        <v>61</v>
      </c>
    </row>
    <row r="30" spans="1:12">
      <c r="A30" s="372"/>
      <c r="B30" s="413" t="str">
        <f>IF(B29&lt;0,"See Tab B","")</f>
        <v/>
      </c>
      <c r="C30" s="372"/>
      <c r="D30" s="413" t="str">
        <f>IF(D29&lt;0,"See Tab B","")</f>
        <v/>
      </c>
      <c r="E30" s="372"/>
      <c r="F30" s="413" t="str">
        <f>IF(F29&lt;0,"See Tab B","")</f>
        <v/>
      </c>
      <c r="G30" s="125"/>
      <c r="H30" s="413" t="str">
        <f>IF(H29&lt;0,"See Tab B","")</f>
        <v/>
      </c>
      <c r="I30" s="125"/>
      <c r="J30" s="413" t="str">
        <f>IF(J29&lt;0,"See Tab B","")</f>
        <v/>
      </c>
      <c r="K30" s="382">
        <f>SUM(K7+K17-K28)</f>
        <v>0</v>
      </c>
      <c r="L30" s="72" t="s">
        <v>61</v>
      </c>
    </row>
    <row r="31" spans="1:12">
      <c r="A31" s="125"/>
      <c r="B31" s="383"/>
      <c r="C31" s="125"/>
      <c r="D31" s="357"/>
      <c r="E31" s="125"/>
      <c r="F31" s="125"/>
      <c r="G31" s="82" t="s">
        <v>62</v>
      </c>
      <c r="H31" s="82"/>
      <c r="I31" s="82"/>
      <c r="J31" s="82"/>
      <c r="K31" s="125"/>
    </row>
    <row r="32" spans="1:12">
      <c r="A32" s="125"/>
      <c r="B32" s="383"/>
      <c r="C32" s="125"/>
      <c r="D32" s="125"/>
      <c r="E32" s="125"/>
      <c r="F32" s="125"/>
      <c r="G32" s="125"/>
      <c r="H32" s="125"/>
      <c r="I32" s="125"/>
      <c r="J32" s="125"/>
      <c r="K32" s="125"/>
    </row>
    <row r="33" spans="1:11">
      <c r="A33" s="125"/>
      <c r="B33" s="383"/>
      <c r="C33" s="125"/>
      <c r="D33" s="125"/>
      <c r="E33" s="322" t="s">
        <v>190</v>
      </c>
      <c r="F33" s="349"/>
      <c r="G33" s="125"/>
      <c r="H33" s="125"/>
      <c r="I33" s="125"/>
      <c r="J33" s="125"/>
      <c r="K33" s="125"/>
    </row>
    <row r="34" spans="1:11">
      <c r="B34" s="384"/>
    </row>
    <row r="35" spans="1:11">
      <c r="B35" s="384"/>
    </row>
    <row r="36" spans="1:11">
      <c r="B36" s="384"/>
    </row>
    <row r="37" spans="1:11">
      <c r="B37" s="384"/>
    </row>
    <row r="38" spans="1:11">
      <c r="B38" s="384"/>
    </row>
    <row r="39" spans="1:11">
      <c r="B39" s="384"/>
    </row>
    <row r="40" spans="1:11">
      <c r="B40" s="384"/>
    </row>
    <row r="41" spans="1:11">
      <c r="B41" s="384"/>
    </row>
  </sheetData>
  <sheetProtection sheet="1"/>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41.xml><?xml version="1.0" encoding="utf-8"?>
<worksheet xmlns="http://schemas.openxmlformats.org/spreadsheetml/2006/main" xmlns:r="http://schemas.openxmlformats.org/officeDocument/2006/relationships">
  <dimension ref="A1:A48"/>
  <sheetViews>
    <sheetView topLeftCell="A37" workbookViewId="0">
      <selection activeCell="A42" sqref="A42"/>
    </sheetView>
  </sheetViews>
  <sheetFormatPr defaultColWidth="8.88671875" defaultRowHeight="15"/>
  <cols>
    <col min="1" max="1" width="62.44140625" style="165" customWidth="1"/>
    <col min="2" max="16384" width="8.88671875" style="165"/>
  </cols>
  <sheetData>
    <row r="1" spans="1:1" ht="18.75">
      <c r="A1" s="411" t="s">
        <v>368</v>
      </c>
    </row>
    <row r="2" spans="1:1" ht="15.75">
      <c r="A2" s="72"/>
    </row>
    <row r="3" spans="1:1" ht="54.75" customHeight="1">
      <c r="A3" s="412" t="s">
        <v>369</v>
      </c>
    </row>
    <row r="4" spans="1:1" ht="15.75">
      <c r="A4" s="538"/>
    </row>
    <row r="5" spans="1:1" ht="51" customHeight="1">
      <c r="A5" s="412" t="s">
        <v>370</v>
      </c>
    </row>
    <row r="6" spans="1:1" ht="15.75">
      <c r="A6" s="72"/>
    </row>
    <row r="7" spans="1:1" ht="51.75" customHeight="1">
      <c r="A7" s="412" t="s">
        <v>371</v>
      </c>
    </row>
    <row r="8" spans="1:1" ht="13.5" customHeight="1">
      <c r="A8" s="412"/>
    </row>
    <row r="9" spans="1:1" ht="51.75" customHeight="1">
      <c r="A9" s="487" t="s">
        <v>790</v>
      </c>
    </row>
    <row r="10" spans="1:1" ht="15.75">
      <c r="A10" s="538"/>
    </row>
    <row r="11" spans="1:1" ht="36" customHeight="1">
      <c r="A11" s="412" t="s">
        <v>372</v>
      </c>
    </row>
    <row r="12" spans="1:1" ht="15.75">
      <c r="A12" s="72"/>
    </row>
    <row r="13" spans="1:1" ht="51.75" customHeight="1">
      <c r="A13" s="412" t="s">
        <v>373</v>
      </c>
    </row>
    <row r="14" spans="1:1" ht="15.75">
      <c r="A14" s="538"/>
    </row>
    <row r="15" spans="1:1" ht="33" customHeight="1">
      <c r="A15" s="412" t="s">
        <v>374</v>
      </c>
    </row>
    <row r="16" spans="1:1" ht="15.75">
      <c r="A16" s="538"/>
    </row>
    <row r="17" spans="1:1" ht="32.25" customHeight="1">
      <c r="A17" s="412" t="s">
        <v>375</v>
      </c>
    </row>
    <row r="18" spans="1:1" ht="15.75">
      <c r="A18" s="538"/>
    </row>
    <row r="19" spans="1:1" ht="53.25" customHeight="1">
      <c r="A19" s="412" t="s">
        <v>376</v>
      </c>
    </row>
    <row r="20" spans="1:1" ht="15.75">
      <c r="A20" s="72"/>
    </row>
    <row r="21" spans="1:1" ht="50.25" customHeight="1">
      <c r="A21" s="412" t="s">
        <v>377</v>
      </c>
    </row>
    <row r="22" spans="1:1" ht="15.75">
      <c r="A22" s="72"/>
    </row>
    <row r="23" spans="1:1" ht="15.75">
      <c r="A23" s="72"/>
    </row>
    <row r="24" spans="1:1" ht="96" customHeight="1">
      <c r="A24" s="412" t="s">
        <v>378</v>
      </c>
    </row>
    <row r="25" spans="1:1" ht="15.75">
      <c r="A25" s="72"/>
    </row>
    <row r="26" spans="1:1" ht="30.75" customHeight="1">
      <c r="A26" s="75" t="s">
        <v>379</v>
      </c>
    </row>
    <row r="27" spans="1:1" ht="15.75">
      <c r="A27" s="72"/>
    </row>
    <row r="28" spans="1:1" ht="95.25" customHeight="1">
      <c r="A28" s="489" t="s">
        <v>791</v>
      </c>
    </row>
    <row r="29" spans="1:1" ht="15.75">
      <c r="A29" s="72"/>
    </row>
    <row r="30" spans="1:1" ht="34.5" customHeight="1">
      <c r="A30" s="412" t="s">
        <v>380</v>
      </c>
    </row>
    <row r="31" spans="1:1" ht="15.75">
      <c r="A31" s="72"/>
    </row>
    <row r="32" spans="1:1" ht="66" customHeight="1">
      <c r="A32" s="412" t="s">
        <v>381</v>
      </c>
    </row>
    <row r="33" spans="1:1" ht="15.75">
      <c r="A33" s="538"/>
    </row>
    <row r="34" spans="1:1" ht="57" customHeight="1">
      <c r="A34" s="412" t="s">
        <v>382</v>
      </c>
    </row>
    <row r="35" spans="1:1" ht="15.75">
      <c r="A35" s="72"/>
    </row>
    <row r="36" spans="1:1" ht="49.5" customHeight="1">
      <c r="A36" s="412" t="s">
        <v>383</v>
      </c>
    </row>
    <row r="37" spans="1:1" ht="15.75">
      <c r="A37" s="72"/>
    </row>
    <row r="38" spans="1:1" ht="74.25" customHeight="1">
      <c r="A38" s="489" t="s">
        <v>792</v>
      </c>
    </row>
    <row r="39" spans="1:1" ht="15.75">
      <c r="A39" s="72"/>
    </row>
    <row r="40" spans="1:1" ht="55.5" customHeight="1">
      <c r="A40" s="412" t="s">
        <v>384</v>
      </c>
    </row>
    <row r="41" spans="1:1" ht="15.75">
      <c r="A41" s="72"/>
    </row>
    <row r="42" spans="1:1" ht="53.25" customHeight="1">
      <c r="A42" s="412" t="s">
        <v>385</v>
      </c>
    </row>
    <row r="43" spans="1:1" ht="15.75">
      <c r="A43" s="538"/>
    </row>
    <row r="44" spans="1:1" ht="47.25" customHeight="1">
      <c r="A44" s="412" t="s">
        <v>386</v>
      </c>
    </row>
    <row r="45" spans="1:1" ht="15.75">
      <c r="A45" s="538"/>
    </row>
    <row r="46" spans="1:1" ht="49.5" customHeight="1">
      <c r="A46" s="412" t="s">
        <v>387</v>
      </c>
    </row>
    <row r="47" spans="1:1" ht="15.75">
      <c r="A47" s="538"/>
    </row>
    <row r="48" spans="1:1" ht="36" customHeight="1">
      <c r="A48" s="412" t="s">
        <v>388</v>
      </c>
    </row>
  </sheetData>
  <sheetProtection sheet="1"/>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sheetPr codeName="Sheet32">
    <pageSetUpPr fitToPage="1"/>
  </sheetPr>
  <dimension ref="A1:M79"/>
  <sheetViews>
    <sheetView topLeftCell="A49" zoomScaleNormal="100" workbookViewId="0">
      <selection activeCell="I56" sqref="I56"/>
    </sheetView>
  </sheetViews>
  <sheetFormatPr defaultColWidth="8.88671875" defaultRowHeight="15.75"/>
  <cols>
    <col min="1" max="1" width="17.77734375" style="72" customWidth="1"/>
    <col min="2" max="2" width="15.6640625" style="72" customWidth="1"/>
    <col min="3" max="3" width="9.44140625" style="72" customWidth="1"/>
    <col min="4" max="4" width="16.77734375" style="72" customWidth="1"/>
    <col min="5" max="5" width="9.77734375" style="72" customWidth="1"/>
    <col min="6" max="6" width="15.77734375" style="72" customWidth="1"/>
    <col min="7" max="7" width="13.6640625" style="72" customWidth="1"/>
    <col min="8" max="8" width="9.77734375" style="72" customWidth="1"/>
    <col min="9" max="9" width="8.88671875" style="72"/>
    <col min="10" max="10" width="12.44140625" style="72" customWidth="1"/>
    <col min="11" max="11" width="12.33203125" style="72" customWidth="1"/>
    <col min="12" max="12" width="10.5546875" style="72" customWidth="1"/>
    <col min="13" max="13" width="12.109375" style="72" customWidth="1"/>
    <col min="14" max="16384" width="8.88671875" style="72"/>
  </cols>
  <sheetData>
    <row r="1" spans="1:9">
      <c r="A1" s="85"/>
      <c r="B1" s="85"/>
      <c r="C1" s="85"/>
      <c r="D1" s="85"/>
      <c r="E1" s="85"/>
      <c r="F1" s="85"/>
      <c r="G1" s="85"/>
      <c r="H1" s="286">
        <f>inputPrYr!C4</f>
        <v>2013</v>
      </c>
    </row>
    <row r="2" spans="1:9">
      <c r="A2" s="734" t="s">
        <v>232</v>
      </c>
      <c r="B2" s="734"/>
      <c r="C2" s="734"/>
      <c r="D2" s="734"/>
      <c r="E2" s="734"/>
      <c r="F2" s="734"/>
      <c r="G2" s="734"/>
      <c r="H2" s="734"/>
      <c r="I2" s="386"/>
    </row>
    <row r="3" spans="1:9">
      <c r="A3" s="85"/>
      <c r="B3" s="85"/>
      <c r="C3" s="85"/>
      <c r="D3" s="85"/>
      <c r="E3" s="85"/>
      <c r="F3" s="85"/>
      <c r="G3" s="85"/>
      <c r="H3" s="85"/>
    </row>
    <row r="4" spans="1:9">
      <c r="A4" s="790" t="s">
        <v>263</v>
      </c>
      <c r="B4" s="790"/>
      <c r="C4" s="790"/>
      <c r="D4" s="790"/>
      <c r="E4" s="790"/>
      <c r="F4" s="790"/>
      <c r="G4" s="790"/>
      <c r="H4" s="790"/>
    </row>
    <row r="5" spans="1:9">
      <c r="A5" s="802" t="str">
        <f>inputPrYr!C2</f>
        <v>Franklin County</v>
      </c>
      <c r="B5" s="802"/>
      <c r="C5" s="802"/>
      <c r="D5" s="802"/>
      <c r="E5" s="802"/>
      <c r="F5" s="802"/>
      <c r="G5" s="802"/>
      <c r="H5" s="802"/>
    </row>
    <row r="6" spans="1:9">
      <c r="A6" s="796" t="str">
        <f>CONCATENATE("will meet on ",inputBudSum!B5," at ",inputBudSum!B7," at ",inputBudSum!B9," for the purpose of hearing and")</f>
        <v>will meet on August 8, 2012 at 7:00 p.m. at 1418 South Main, Commission Chambers, Ottawa, Kansas for the purpose of hearing and</v>
      </c>
      <c r="B6" s="796"/>
      <c r="C6" s="796"/>
      <c r="D6" s="796"/>
      <c r="E6" s="796"/>
      <c r="F6" s="796"/>
      <c r="G6" s="796"/>
      <c r="H6" s="796"/>
    </row>
    <row r="7" spans="1:9">
      <c r="A7" s="790" t="s">
        <v>653</v>
      </c>
      <c r="B7" s="790"/>
      <c r="C7" s="790"/>
      <c r="D7" s="790"/>
      <c r="E7" s="790"/>
      <c r="F7" s="790"/>
      <c r="G7" s="790"/>
      <c r="H7" s="790"/>
    </row>
    <row r="8" spans="1:9">
      <c r="A8" s="796" t="str">
        <f>CONCATENATE("Detailed budget information is available at ",inputBudSum!B12," and will be available at this hearing.")</f>
        <v>Detailed budget information is available at 1428 South Main, Suite 2, Ottawa, Kansas 66067 and will be available at this hearing.</v>
      </c>
      <c r="B8" s="796"/>
      <c r="C8" s="796"/>
      <c r="D8" s="796"/>
      <c r="E8" s="796"/>
      <c r="F8" s="796"/>
      <c r="G8" s="796"/>
      <c r="H8" s="796"/>
    </row>
    <row r="9" spans="1:9">
      <c r="A9" s="92" t="s">
        <v>233</v>
      </c>
      <c r="B9" s="93"/>
      <c r="C9" s="93"/>
      <c r="D9" s="211"/>
      <c r="E9" s="93"/>
      <c r="F9" s="93"/>
      <c r="G9" s="93"/>
      <c r="H9" s="93"/>
    </row>
    <row r="10" spans="1:9">
      <c r="A10" s="790" t="str">
        <f>CONCATENATE("Proposed Budget ",H1," Expenditures and Amount of ",H1-1," Ad Valorem Tax establish the maximum limits of the ",H1," budget.")</f>
        <v>Proposed Budget 2013 Expenditures and Amount of 2012 Ad Valorem Tax establish the maximum limits of the 2013 budget.</v>
      </c>
      <c r="B10" s="790"/>
      <c r="C10" s="790"/>
      <c r="D10" s="790"/>
      <c r="E10" s="790"/>
      <c r="F10" s="790"/>
      <c r="G10" s="790"/>
      <c r="H10" s="790"/>
    </row>
    <row r="11" spans="1:9">
      <c r="A11" s="790" t="s">
        <v>288</v>
      </c>
      <c r="B11" s="790"/>
      <c r="C11" s="790"/>
      <c r="D11" s="790"/>
      <c r="E11" s="790"/>
      <c r="F11" s="790"/>
      <c r="G11" s="790"/>
      <c r="H11" s="790"/>
    </row>
    <row r="12" spans="1:9">
      <c r="A12" s="85"/>
      <c r="B12" s="85"/>
      <c r="C12" s="85"/>
      <c r="D12" s="85"/>
      <c r="E12" s="85"/>
      <c r="F12" s="85"/>
      <c r="G12" s="85"/>
      <c r="H12" s="85"/>
      <c r="I12" s="143"/>
    </row>
    <row r="13" spans="1:9">
      <c r="A13" s="85"/>
      <c r="B13" s="387" t="str">
        <f>CONCATENATE("Prior Year Actual for ",H1-2,"")</f>
        <v>Prior Year Actual for 2011</v>
      </c>
      <c r="C13" s="214"/>
      <c r="D13" s="388" t="str">
        <f>CONCATENATE("Current Year Estimate for ",H1-1,"")</f>
        <v>Current Year Estimate for 2012</v>
      </c>
      <c r="E13" s="214"/>
      <c r="F13" s="212" t="str">
        <f>CONCATENATE("Proposed Budget Year for ",H1,"")</f>
        <v>Proposed Budget Year for 2013</v>
      </c>
      <c r="G13" s="213"/>
      <c r="H13" s="214"/>
    </row>
    <row r="14" spans="1:9" ht="18.75" customHeight="1">
      <c r="A14" s="84"/>
      <c r="B14" s="323"/>
      <c r="C14" s="215" t="s">
        <v>192</v>
      </c>
      <c r="D14" s="215"/>
      <c r="E14" s="215" t="s">
        <v>192</v>
      </c>
      <c r="F14" s="514" t="s">
        <v>674</v>
      </c>
      <c r="G14" s="761" t="str">
        <f>CONCATENATE("Amount of ",H1-1,"       Ad Valorem Tax")</f>
        <v>Amount of 2012       Ad Valorem Tax</v>
      </c>
      <c r="H14" s="215" t="s">
        <v>193</v>
      </c>
    </row>
    <row r="15" spans="1:9">
      <c r="A15" s="113" t="s">
        <v>194</v>
      </c>
      <c r="B15" s="263" t="s">
        <v>139</v>
      </c>
      <c r="C15" s="263" t="s">
        <v>195</v>
      </c>
      <c r="D15" s="263" t="s">
        <v>139</v>
      </c>
      <c r="E15" s="263" t="s">
        <v>195</v>
      </c>
      <c r="F15" s="515" t="s">
        <v>675</v>
      </c>
      <c r="G15" s="741"/>
      <c r="H15" s="263" t="s">
        <v>195</v>
      </c>
    </row>
    <row r="16" spans="1:9">
      <c r="A16" s="127" t="str">
        <f>inputPrYr!B16</f>
        <v>General</v>
      </c>
      <c r="B16" s="127">
        <f>IF(general!$C$117&lt;&gt;0,general!$C$117,"  ")</f>
        <v>6677698</v>
      </c>
      <c r="C16" s="389">
        <f>IF(inputPrYr!D90&lt;&gt;0,inputPrYr!D90,"  ")</f>
        <v>18.681999999999999</v>
      </c>
      <c r="D16" s="127">
        <f>IF(general!$D$117&lt;&gt;0,general!$D$117,"  ")</f>
        <v>7211356</v>
      </c>
      <c r="E16" s="389">
        <f>IF(inputPrYr!F16&lt;&gt;0,inputPrYr!F16,"  ")</f>
        <v>18.175999999999998</v>
      </c>
      <c r="F16" s="127">
        <f>IF(general!$E$117&lt;&gt;0,general!$E$117,"  ")</f>
        <v>8089908</v>
      </c>
      <c r="G16" s="127">
        <f>IF(general!$E$124&lt;&gt;0,general!$E$124,"  ")</f>
        <v>3680701.5</v>
      </c>
      <c r="H16" s="389">
        <f>IF(general!E124&lt;&gt;0,ROUND(G16/$F$65*1000,3),"  ")</f>
        <v>17.266999999999999</v>
      </c>
    </row>
    <row r="17" spans="1:8">
      <c r="A17" s="127" t="str">
        <f>inputPrYr!B17</f>
        <v>Debt Service</v>
      </c>
      <c r="B17" s="127">
        <f>IF('Bond &amp; Interest'!$C$50&lt;&gt;0,'Bond &amp; Interest'!$C$50,"  ")</f>
        <v>1098864</v>
      </c>
      <c r="C17" s="389">
        <f>IF(inputPrYr!D91&lt;&gt;0,inputPrYr!D91,"  ")</f>
        <v>4.6139999999999999</v>
      </c>
      <c r="D17" s="127">
        <f>IF('Bond &amp; Interest'!$D$50&lt;&gt;0,'Bond &amp; Interest'!$D$50,"  ")</f>
        <v>1100000</v>
      </c>
      <c r="E17" s="389">
        <f>IF(inputPrYr!F17&lt;&gt;0,inputPrYr!F17,"  ")</f>
        <v>4.5250000000000004</v>
      </c>
      <c r="F17" s="127">
        <f>IF('Bond &amp; Interest'!$E$50&lt;&gt;0,'Bond &amp; Interest'!$E$50,"  ")</f>
        <v>1127804</v>
      </c>
      <c r="G17" s="127">
        <f>IF('Bond &amp; Interest'!$E$57&lt;&gt;0,'Bond &amp; Interest'!$E$57,"  ")</f>
        <v>1010334</v>
      </c>
      <c r="H17" s="389">
        <f>IF('Bond &amp; Interest'!E57&lt;&gt;0,ROUND(G17/$F$65*1000,3),"  ")</f>
        <v>4.74</v>
      </c>
    </row>
    <row r="18" spans="1:8">
      <c r="A18" s="127" t="str">
        <f>inputPrYr!B18</f>
        <v>Road &amp; Bridge</v>
      </c>
      <c r="B18" s="127">
        <f>IF('Road &amp; Bridge'!$C$111&lt;&gt;0,'Road &amp; Bridge'!$C$111,"  ")</f>
        <v>4165378</v>
      </c>
      <c r="C18" s="389">
        <f>IF(inputPrYr!D92&lt;&gt;0,inputPrYr!D92,"  ")</f>
        <v>13.417</v>
      </c>
      <c r="D18" s="127">
        <f>IF('Road &amp; Bridge'!$D$111&lt;&gt;0,'Road &amp; Bridge'!$D$111,"  ")</f>
        <v>4503849</v>
      </c>
      <c r="E18" s="389">
        <f>IF(inputPrYr!F18&lt;&gt;0,inputPrYr!F18,"  ")</f>
        <v>13.506</v>
      </c>
      <c r="F18" s="127">
        <f>IF('Road &amp; Bridge'!$E$111&lt;&gt;0,'Road &amp; Bridge'!$E$111,"  ")</f>
        <v>5153308</v>
      </c>
      <c r="G18" s="127">
        <f>IF('Road &amp; Bridge'!$E$118&lt;&gt;0,'Road &amp; Bridge'!$E$118,"  ")</f>
        <v>3389622.6</v>
      </c>
      <c r="H18" s="389">
        <f>IF('Road &amp; Bridge'!E118&lt;&gt;0,ROUND(G18/$F$65*1000,3),"  ")</f>
        <v>15.901999999999999</v>
      </c>
    </row>
    <row r="19" spans="1:8">
      <c r="A19" s="127" t="str">
        <f>IF((inputPrYr!$B19&gt;" "),(inputPrYr!$B19),"  ")</f>
        <v>Special Road and Bridge</v>
      </c>
      <c r="B19" s="127">
        <f>IF('Special R&amp;B|Ambulance'!$C$33&lt;&gt;0,'Special R&amp;B|Ambulance'!$C$33,"  ")</f>
        <v>204949</v>
      </c>
      <c r="C19" s="389">
        <f>IF(inputPrYr!D93&lt;&gt;0,inputPrYr!D93,"  ")</f>
        <v>0.49299999999999999</v>
      </c>
      <c r="D19" s="127">
        <f>IF('Special R&amp;B|Ambulance'!$D$33&lt;&gt;0,'Special R&amp;B|Ambulance'!$D$33,"  ")</f>
        <v>276026</v>
      </c>
      <c r="E19" s="389">
        <f>IF(inputPrYr!F19&lt;&gt;0,inputPrYr!F19,"  ")</f>
        <v>1.248</v>
      </c>
      <c r="F19" s="127">
        <f>IF('Special R&amp;B|Ambulance'!$E$33&lt;&gt;0,'Special R&amp;B|Ambulance'!$E$33,"  ")</f>
        <v>97625</v>
      </c>
      <c r="G19" s="127" t="str">
        <f>IF('Special R&amp;B|Ambulance'!$E$40&lt;&gt;0,'Special R&amp;B|Ambulance'!$E$40,"  ")</f>
        <v xml:space="preserve">  </v>
      </c>
      <c r="H19" s="389" t="str">
        <f>IF('Special R&amp;B|Ambulance'!E40&lt;&gt;0,ROUND(G19/$F$65*1000,3),"  ")</f>
        <v xml:space="preserve">  </v>
      </c>
    </row>
    <row r="20" spans="1:8">
      <c r="A20" s="127" t="str">
        <f>IF((inputPrYr!$B20&gt;" "),(inputPrYr!$B20),"  ")</f>
        <v>Ambulance</v>
      </c>
      <c r="B20" s="127">
        <f>IF('Special R&amp;B|Ambulance'!$C$73&lt;&gt;0,'Special R&amp;B|Ambulance'!$C$73,"  ")</f>
        <v>1449178</v>
      </c>
      <c r="C20" s="389">
        <f>IF(inputPrYr!D94&lt;&gt;0,inputPrYr!D94,"  ")</f>
        <v>2.6110000000000002</v>
      </c>
      <c r="D20" s="127">
        <f>IF('Special R&amp;B|Ambulance'!$D$73&lt;&gt;0,'Special R&amp;B|Ambulance'!$D$73,"  ")</f>
        <v>1506532</v>
      </c>
      <c r="E20" s="389">
        <f>IF(inputPrYr!F20&lt;&gt;0,inputPrYr!F20,"  ")</f>
        <v>3.581</v>
      </c>
      <c r="F20" s="127">
        <f>IF('Special R&amp;B|Ambulance'!$E$73&lt;&gt;0,'Special R&amp;B|Ambulance'!$E$73,"  ")</f>
        <v>1618694</v>
      </c>
      <c r="G20" s="127">
        <f>IF('Special R&amp;B|Ambulance'!$E$80&lt;&gt;0,'Special R&amp;B|Ambulance'!$E$80,"  ")</f>
        <v>645996</v>
      </c>
      <c r="H20" s="389">
        <f>IF('Special R&amp;B|Ambulance'!E80&lt;&gt;0,ROUND(G20/$F$65*1000,3),"  ")</f>
        <v>3.0310000000000001</v>
      </c>
    </row>
    <row r="21" spans="1:8">
      <c r="A21" s="127" t="str">
        <f>IF((inputPrYr!$B21&gt;" "),(inputPrYr!$B21),"  ")</f>
        <v>Appraisal</v>
      </c>
      <c r="B21" s="127">
        <f>IF('Appraisal|County Building'!$C$33&lt;&gt;0,'Appraisal|County Building'!$C$33,"  ")</f>
        <v>48672</v>
      </c>
      <c r="C21" s="389" t="str">
        <f>IF(inputPrYr!D95&lt;&gt;0,inputPrYr!D95,"  ")</f>
        <v xml:space="preserve">  </v>
      </c>
      <c r="D21" s="127" t="str">
        <f>IF('Appraisal|County Building'!$D$33&lt;&gt;0,'Appraisal|County Building'!$D$33,"  ")</f>
        <v xml:space="preserve">  </v>
      </c>
      <c r="E21" s="389" t="str">
        <f>IF(inputPrYr!F21&lt;&gt;0,inputPrYr!F21,"  ")</f>
        <v xml:space="preserve">  </v>
      </c>
      <c r="F21" s="127" t="str">
        <f>IF('Appraisal|County Building'!$E$33&lt;&gt;0,'Appraisal|County Building'!$E$33,"  ")</f>
        <v xml:space="preserve">  </v>
      </c>
      <c r="G21" s="127" t="str">
        <f>IF('Appraisal|County Building'!$E$40&lt;&gt;0,'Appraisal|County Building'!$E$40,"  ")</f>
        <v xml:space="preserve">  </v>
      </c>
      <c r="H21" s="389" t="str">
        <f>IF('Appraisal|County Building'!$E$40&lt;&gt;0,ROUND(G21/$F$65*1000,3),"  ")</f>
        <v xml:space="preserve">  </v>
      </c>
    </row>
    <row r="22" spans="1:8">
      <c r="A22" s="127" t="str">
        <f>IF((inputPrYr!$B22&gt;" "),(inputPrYr!$B22),"  ")</f>
        <v>County Building</v>
      </c>
      <c r="B22" s="127">
        <f>IF('Appraisal|County Building'!$C$73&lt;&gt;0,'Appraisal|County Building'!$C$73,"  ")</f>
        <v>150000</v>
      </c>
      <c r="C22" s="389">
        <f>IF(inputPrYr!D96&lt;&gt;0,inputPrYr!D96,"  ")</f>
        <v>1.2170000000000001</v>
      </c>
      <c r="D22" s="127">
        <f>IF('Appraisal|County Building'!$D$73&lt;&gt;0,'Appraisal|County Building'!$D$73,"  ")</f>
        <v>166000</v>
      </c>
      <c r="E22" s="389">
        <f>IF(inputPrYr!F22&lt;&gt;0,inputPrYr!F22,"  ")</f>
        <v>0.108</v>
      </c>
      <c r="F22" s="127">
        <f>IF('Appraisal|County Building'!$E$73&lt;&gt;0,'Appraisal|County Building'!$E$73,"  ")</f>
        <v>351004</v>
      </c>
      <c r="G22" s="127">
        <f>IF('Appraisal|County Building'!$E$80&lt;&gt;0,'Appraisal|County Building'!$E$80,"  ")</f>
        <v>361800</v>
      </c>
      <c r="H22" s="389">
        <f>IF('Appraisal|County Building'!$E$80&lt;&gt;0,ROUND(G22/$F$65*1000,3),"  ")</f>
        <v>1.6970000000000001</v>
      </c>
    </row>
    <row r="23" spans="1:8">
      <c r="A23" s="127" t="str">
        <f>IF((inputPrYr!$B23&gt;" "),(inputPrYr!$B23),"  ")</f>
        <v>Election</v>
      </c>
      <c r="B23" s="127">
        <f>IF('Election|Employee Benefits'!$C$33&lt;&gt;0,'Election|Employee Benefits'!$C$33,"  ")</f>
        <v>94795</v>
      </c>
      <c r="C23" s="389">
        <f>IF(inputPrYr!D97&lt;&gt;0,inputPrYr!D97,"  ")</f>
        <v>0.47799999999999998</v>
      </c>
      <c r="D23" s="127">
        <f>IF('Election|Employee Benefits'!$D$33&lt;&gt;0,'Election|Employee Benefits'!$D$33,"  ")</f>
        <v>187441</v>
      </c>
      <c r="E23" s="389">
        <f>IF(inputPrYr!F23&lt;&gt;0,inputPrYr!F23,"  ")</f>
        <v>0.502</v>
      </c>
      <c r="F23" s="127">
        <f>IF('Election|Employee Benefits'!$E$33&lt;&gt;0,'Election|Employee Benefits'!$E$33,"  ")</f>
        <v>142695</v>
      </c>
      <c r="G23" s="127">
        <f>IF('Election|Employee Benefits'!$E$40&lt;&gt;0,'Election|Employee Benefits'!$E$40,"  ")</f>
        <v>105024</v>
      </c>
      <c r="H23" s="389">
        <f>IF('Election|Employee Benefits'!$E$40&lt;&gt;0,ROUND(G23/$F$65*1000,3),"  ")</f>
        <v>0.49299999999999999</v>
      </c>
    </row>
    <row r="24" spans="1:8">
      <c r="A24" s="127" t="str">
        <f>IF((inputPrYr!$B24&gt;" "),(inputPrYr!$B24),"  ")</f>
        <v>Employee Benefit</v>
      </c>
      <c r="B24" s="127">
        <f>IF('Election|Employee Benefits'!$C$73&lt;&gt;0,'Election|Employee Benefits'!$C$73,"  ")</f>
        <v>2741008</v>
      </c>
      <c r="C24" s="389">
        <f>IF(inputPrYr!D98&lt;&gt;0,inputPrYr!D98,"  ")</f>
        <v>10.592000000000001</v>
      </c>
      <c r="D24" s="127">
        <f>IF('Election|Employee Benefits'!$D$73&lt;&gt;0,'Election|Employee Benefits'!$D$73,"  ")</f>
        <v>3031611</v>
      </c>
      <c r="E24" s="389">
        <f>IF(inputPrYr!F24&lt;&gt;0,inputPrYr!F24,"  ")</f>
        <v>12.664</v>
      </c>
      <c r="F24" s="127">
        <f>IF('Election|Employee Benefits'!$E$73&lt;&gt;0,'Election|Employee Benefits'!$E$73,"  ")</f>
        <v>3177331</v>
      </c>
      <c r="G24" s="127">
        <f>IF('Election|Employee Benefits'!$E$80&lt;&gt;0,'Election|Employee Benefits'!$E$80,"  ")</f>
        <v>2705397</v>
      </c>
      <c r="H24" s="389">
        <f>IF('Election|Employee Benefits'!$E$80&lt;&gt;0,ROUND(G24/$F$65*1000,3),"  ")</f>
        <v>12.692</v>
      </c>
    </row>
    <row r="25" spans="1:8">
      <c r="A25" s="127" t="str">
        <f>IF((inputPrYr!$B25&gt;" "),(inputPrYr!$B25),"  ")</f>
        <v>Health Department</v>
      </c>
      <c r="B25" s="127">
        <f>IF('Health|Noxious Weed'!$C$33&lt;&gt;0,'Health|Noxious Weed'!$C$33,"  ")</f>
        <v>793675</v>
      </c>
      <c r="C25" s="389">
        <f>IF(inputPrYr!D99&lt;&gt;0,inputPrYr!D99,"  ")</f>
        <v>0.68100000000000005</v>
      </c>
      <c r="D25" s="127">
        <f>IF('Health|Noxious Weed'!$D$33&lt;&gt;0,'Health|Noxious Weed'!$D$33,"  ")</f>
        <v>846624</v>
      </c>
      <c r="E25" s="389">
        <f>IF(inputPrYr!F25&lt;&gt;0,inputPrYr!F25,"  ")</f>
        <v>1.0720000000000001</v>
      </c>
      <c r="F25" s="127">
        <f>IF('Health|Noxious Weed'!$E$33&lt;&gt;0,'Health|Noxious Weed'!$E$33,"  ")</f>
        <v>920353</v>
      </c>
      <c r="G25" s="127">
        <f>IF('Health|Noxious Weed'!$E$40&lt;&gt;0,'Health|Noxious Weed'!$E$40,"  ")</f>
        <v>409460</v>
      </c>
      <c r="H25" s="389">
        <f>IF('Health|Noxious Weed'!$E$40&lt;&gt;0,ROUND(G25/$F$65*1000,3),"  ")</f>
        <v>1.921</v>
      </c>
    </row>
    <row r="26" spans="1:8">
      <c r="A26" s="127" t="str">
        <f>IF((inputPrYr!$B26&gt;" "),(inputPrYr!$B26),"  ")</f>
        <v>Noxious Weeds</v>
      </c>
      <c r="B26" s="127">
        <f>IF('Health|Noxious Weed'!$C$73&lt;&gt;0,'Health|Noxious Weed'!$C$73,"  ")</f>
        <v>148463</v>
      </c>
      <c r="C26" s="389">
        <f>IF(inputPrYr!D100&lt;&gt;0,inputPrYr!D100,"  ")</f>
        <v>0.67400000000000004</v>
      </c>
      <c r="D26" s="127">
        <f>IF('Health|Noxious Weed'!$D$73&lt;&gt;0,'Health|Noxious Weed'!$D$73,"  ")</f>
        <v>187144</v>
      </c>
      <c r="E26" s="389">
        <f>IF(inputPrYr!F26&lt;&gt;0,inputPrYr!F26,"  ")</f>
        <v>0.80700000000000005</v>
      </c>
      <c r="F26" s="127">
        <f>IF('Health|Noxious Weed'!$E$73&lt;&gt;0,'Health|Noxious Weed'!$E$73,"  ")</f>
        <v>194705</v>
      </c>
      <c r="G26" s="127">
        <f>IF('Health|Noxious Weed'!$E$80&lt;&gt;0,'Health|Noxious Weed'!$E$80,"  ")</f>
        <v>128686</v>
      </c>
      <c r="H26" s="389">
        <f>IF('Health|Noxious Weed'!$E$80&lt;&gt;0,ROUND(G26/$F$65*1000,3),"  ")</f>
        <v>0.60399999999999998</v>
      </c>
    </row>
    <row r="27" spans="1:8">
      <c r="A27" s="127" t="str">
        <f>IF((inputPrYr!$B27&gt;" "),(inputPrYr!$B27),"  ")</f>
        <v>Special Liability</v>
      </c>
      <c r="B27" s="127">
        <f>IF('Special Liability|Conservation'!$C$33&lt;&gt;0,'Special Liability|Conservation'!$C$33,"  ")</f>
        <v>155318</v>
      </c>
      <c r="C27" s="389">
        <f>IF(inputPrYr!D101&lt;&gt;0,inputPrYr!D101,"  ")</f>
        <v>0.56200000000000006</v>
      </c>
      <c r="D27" s="127">
        <f>IF('Special Liability|Conservation'!$D$33&lt;&gt;0,'Special Liability|Conservation'!$D$33,"  ")</f>
        <v>160000</v>
      </c>
      <c r="E27" s="389">
        <f>IF(inputPrYr!F27&lt;&gt;0,inputPrYr!F27,"  ")</f>
        <v>0.54600000000000004</v>
      </c>
      <c r="F27" s="127">
        <f>IF('Special Liability|Conservation'!$E$33&lt;&gt;0,'Special Liability|Conservation'!$E$33,"  ")</f>
        <v>439376</v>
      </c>
      <c r="G27" s="127">
        <f>IF('Special Liability|Conservation'!$E$40&lt;&gt;0,'Special Liability|Conservation'!$E$40,"  ")</f>
        <v>115950</v>
      </c>
      <c r="H27" s="389">
        <f>IF('Special Liability|Conservation'!$E$40&lt;&gt;0,ROUND(G27/$F$65*1000,3),"  ")</f>
        <v>0.54400000000000004</v>
      </c>
    </row>
    <row r="28" spans="1:8">
      <c r="A28" s="127" t="str">
        <f>IF((inputPrYr!$B28&gt;" "),(inputPrYr!$B28),"  ")</f>
        <v>Conservation District</v>
      </c>
      <c r="B28" s="127">
        <f>IF('Special Liability|Conservation'!$C$73&lt;&gt;0,'Special Liability|Conservation'!$C$73,"  ")</f>
        <v>42663</v>
      </c>
      <c r="C28" s="389">
        <f>IF(inputPrYr!D102&lt;&gt;0,inputPrYr!D102,"  ")</f>
        <v>0.17399999999999999</v>
      </c>
      <c r="D28" s="127">
        <f>IF('Special Liability|Conservation'!$D$73&lt;&gt;0,'Special Liability|Conservation'!$D$73,"  ")</f>
        <v>43780</v>
      </c>
      <c r="E28" s="389">
        <f>IF(inputPrYr!F28&lt;&gt;0,inputPrYr!F28,"  ")</f>
        <v>0.193</v>
      </c>
      <c r="F28" s="127">
        <f>IF('Special Liability|Conservation'!$E$73&lt;&gt;0,'Special Liability|Conservation'!$E$73,"  ")</f>
        <v>8343</v>
      </c>
      <c r="G28" s="127" t="str">
        <f>IF('Special Liability|Conservation'!$E$80&lt;&gt;0,'Special Liability|Conservation'!$E$80,"  ")</f>
        <v xml:space="preserve">  </v>
      </c>
      <c r="H28" s="389" t="str">
        <f>IF('Special Liability|Conservation'!$E$80&lt;&gt;0,ROUND(G28/$F$65*1000,3),"  ")</f>
        <v xml:space="preserve">  </v>
      </c>
    </row>
    <row r="29" spans="1:8">
      <c r="A29" s="127" t="str">
        <f>IF((inputPrYr!$B29&gt;" "),(inputPrYr!$B29),"  ")</f>
        <v>Service for the Elderly</v>
      </c>
      <c r="B29" s="127">
        <f>IF('Elderly|Extension'!$C$33&lt;&gt;0,'Elderly|Extension'!$C$33,"  ")</f>
        <v>161377</v>
      </c>
      <c r="C29" s="389">
        <f>IF(inputPrYr!D103&lt;&gt;0,inputPrYr!D103,"  ")</f>
        <v>0.67600000000000005</v>
      </c>
      <c r="D29" s="127">
        <f>IF('Elderly|Extension'!$D$33&lt;&gt;0,'Elderly|Extension'!$D$33,"  ")</f>
        <v>185362</v>
      </c>
      <c r="E29" s="389">
        <f>IF(inputPrYr!F29&lt;&gt;0,inputPrYr!F29,"  ")</f>
        <v>0.82499999999999996</v>
      </c>
      <c r="F29" s="127">
        <f>IF('Elderly|Extension'!$E$33&lt;&gt;0,'Elderly|Extension'!$E$33,"  ")</f>
        <v>35198</v>
      </c>
      <c r="G29" s="127" t="str">
        <f>IF('Elderly|Extension'!$E$40&lt;&gt;0,'Elderly|Extension'!$E$40,"  ")</f>
        <v xml:space="preserve">  </v>
      </c>
      <c r="H29" s="389" t="str">
        <f>IF('Elderly|Extension'!$E$40&lt;&gt;0,ROUND(G29/$F$65*1000,3),"  ")</f>
        <v xml:space="preserve">  </v>
      </c>
    </row>
    <row r="30" spans="1:8">
      <c r="A30" s="127" t="str">
        <f>IF((inputPrYr!$B30&gt;" "),(inputPrYr!$B30),"  ")</f>
        <v>Extension Council</v>
      </c>
      <c r="B30" s="127">
        <f>IF('Elderly|Extension'!$C$73&lt;&gt;0,'Elderly|Extension'!$C$73,"  ")</f>
        <v>14696</v>
      </c>
      <c r="C30" s="389" t="str">
        <f>IF(inputPrYr!D104&lt;&gt;0,inputPrYr!D104,"  ")</f>
        <v xml:space="preserve">  </v>
      </c>
      <c r="D30" s="127" t="str">
        <f>IF('Elderly|Extension'!$D$73&lt;&gt;0,'Elderly|Extension'!$D$73,"  ")</f>
        <v xml:space="preserve">  </v>
      </c>
      <c r="E30" s="389" t="str">
        <f>IF(inputPrYr!F30&lt;&gt;0,inputPrYr!F30,"  ")</f>
        <v xml:space="preserve">  </v>
      </c>
      <c r="F30" s="127" t="str">
        <f>IF('Elderly|Extension'!$E$73&lt;&gt;0,'Elderly|Extension'!$E$73,"  ")</f>
        <v xml:space="preserve">  </v>
      </c>
      <c r="G30" s="127" t="str">
        <f>IF('Elderly|Extension'!$E$80&lt;&gt;0,'Elderly|Extension'!$E$80,"  ")</f>
        <v xml:space="preserve">  </v>
      </c>
      <c r="H30" s="389" t="str">
        <f>IF('Elderly|Extension'!$E$80&lt;&gt;0,ROUND(G30/$F$65*1000,3),"  ")</f>
        <v xml:space="preserve">  </v>
      </c>
    </row>
    <row r="31" spans="1:8">
      <c r="A31" s="127" t="str">
        <f>IF((inputPrYr!$B31&gt;" "),(inputPrYr!$B31),"  ")</f>
        <v>Fair Premium</v>
      </c>
      <c r="B31" s="127">
        <f>IF('Fair Prem|Fair Build'!$C$33&lt;&gt;0,'Fair Prem|Fair Build'!$C$33,"  ")</f>
        <v>6915</v>
      </c>
      <c r="C31" s="389">
        <f>IF(inputPrYr!D105&lt;&gt;0,inputPrYr!D105,"  ")</f>
        <v>2.9000000000000001E-2</v>
      </c>
      <c r="D31" s="127">
        <f>IF('Fair Prem|Fair Build'!$D$33&lt;&gt;0,'Fair Prem|Fair Build'!$D$33,"  ")</f>
        <v>7000</v>
      </c>
      <c r="E31" s="389">
        <f>IF(inputPrYr!F31&lt;&gt;0,inputPrYr!F31,"  ")</f>
        <v>3.1E-2</v>
      </c>
      <c r="F31" s="127">
        <f>IF('Fair Prem|Fair Build'!$E$33&lt;&gt;0,'Fair Prem|Fair Build'!$E$33,"  ")</f>
        <v>7017</v>
      </c>
      <c r="G31" s="127">
        <f>IF('Fair Prem|Fair Build'!$E$40&lt;&gt;0,'Fair Prem|Fair Build'!$E$40,"  ")</f>
        <v>6084</v>
      </c>
      <c r="H31" s="389">
        <f>IF('Fair Prem|Fair Build'!$E$40&lt;&gt;0,ROUND(G31/$F$65*1000,3),"  ")</f>
        <v>2.9000000000000001E-2</v>
      </c>
    </row>
    <row r="32" spans="1:8">
      <c r="A32" s="127" t="str">
        <f>IF((inputPrYr!$B32&gt;" "),(inputPrYr!$B32),"  ")</f>
        <v>Fair Building</v>
      </c>
      <c r="B32" s="127">
        <f>IF('Fair Prem|Fair Build'!$C$73&lt;&gt;0,'Fair Prem|Fair Build'!$C$73,"  ")</f>
        <v>6763</v>
      </c>
      <c r="C32" s="389">
        <f>IF(inputPrYr!D106&lt;&gt;0,inputPrYr!D106,"  ")</f>
        <v>2.9000000000000001E-2</v>
      </c>
      <c r="D32" s="127">
        <f>IF('Fair Prem|Fair Build'!$D$73&lt;&gt;0,'Fair Prem|Fair Build'!$D$73,"  ")</f>
        <v>7000</v>
      </c>
      <c r="E32" s="389">
        <f>IF(inputPrYr!F32&lt;&gt;0,inputPrYr!F32,"  ")</f>
        <v>3.1E-2</v>
      </c>
      <c r="F32" s="127">
        <f>IF('Fair Prem|Fair Build'!$E$73&lt;&gt;0,'Fair Prem|Fair Build'!$E$73,"  ")</f>
        <v>7017</v>
      </c>
      <c r="G32" s="127">
        <f>IF('Fair Prem|Fair Build'!$E$80&lt;&gt;0,'Fair Prem|Fair Build'!$E$80,"  ")</f>
        <v>6091</v>
      </c>
      <c r="H32" s="389">
        <f>IF('Fair Prem|Fair Build'!$E$80&lt;&gt;0,ROUND(G32/$F$65*1000,3),"  ")</f>
        <v>2.9000000000000001E-2</v>
      </c>
    </row>
    <row r="33" spans="1:8">
      <c r="A33" s="127" t="str">
        <f>IF((inputPrYr!$B33&gt;" "),(inputPrYr!$B33),"  ")</f>
        <v>Historical Society</v>
      </c>
      <c r="B33" s="127">
        <f>IF('Historical|Mental'!$C$33&lt;&gt;0,'Historical|Mental'!$C$33,"  ")</f>
        <v>79260</v>
      </c>
      <c r="C33" s="389">
        <f>IF(inputPrYr!D107&lt;&gt;0,inputPrYr!D107,"  ")</f>
        <v>0.33400000000000002</v>
      </c>
      <c r="D33" s="127">
        <f>IF('Historical|Mental'!$D$33&lt;&gt;0,'Historical|Mental'!$D$33,"  ")</f>
        <v>71000</v>
      </c>
      <c r="E33" s="389">
        <f>IF(inputPrYr!F33&lt;&gt;0,inputPrYr!F33,"  ")</f>
        <v>0.30199999999999999</v>
      </c>
      <c r="F33" s="127">
        <f>IF('Historical|Mental'!$E$33&lt;&gt;0,'Historical|Mental'!$E$33,"  ")</f>
        <v>71167</v>
      </c>
      <c r="G33" s="127">
        <f>IF('Historical|Mental'!$E$40&lt;&gt;0,'Historical|Mental'!$E$40,"  ")</f>
        <v>60236</v>
      </c>
      <c r="H33" s="389">
        <f>IF('Historical|Mental'!$E$40&lt;&gt;0,ROUND(G33/$F$65*1000,3),"  ")</f>
        <v>0.28299999999999997</v>
      </c>
    </row>
    <row r="34" spans="1:8">
      <c r="A34" s="127" t="str">
        <f>IF((inputPrYr!$B34&gt;" "),(inputPrYr!$B34),"  ")</f>
        <v>Mental Health</v>
      </c>
      <c r="B34" s="127">
        <f>IF('Historical|Mental'!$C$73&lt;&gt;0,'Historical|Mental'!$C$73,"  ")</f>
        <v>140608</v>
      </c>
      <c r="C34" s="389">
        <f>IF(inputPrYr!D108&lt;&gt;0,inputPrYr!D108,"  ")</f>
        <v>0.59199999999999997</v>
      </c>
      <c r="D34" s="127">
        <f>IF('Historical|Mental'!$D$73&lt;&gt;0,'Historical|Mental'!$D$73,"  ")</f>
        <v>152250</v>
      </c>
      <c r="E34" s="389">
        <f>IF(inputPrYr!F34&lt;&gt;0,inputPrYr!F34,"  ")</f>
        <v>0.67200000000000004</v>
      </c>
      <c r="F34" s="127">
        <f>IF('Historical|Mental'!$E$73&lt;&gt;0,'Historical|Mental'!$E$73,"  ")</f>
        <v>28587</v>
      </c>
      <c r="G34" s="127" t="str">
        <f>IF('Historical|Mental'!$E$80&lt;&gt;0,'Historical|Mental'!$E$80,"  ")</f>
        <v xml:space="preserve">  </v>
      </c>
      <c r="H34" s="389" t="str">
        <f>IF('Historical|Mental'!$E$80&lt;&gt;0,ROUND(G34/$F$65*1000,3),"  ")</f>
        <v xml:space="preserve">  </v>
      </c>
    </row>
    <row r="35" spans="1:8">
      <c r="A35" s="127" t="str">
        <f>IF((inputPrYr!$B35&gt;" "),(inputPrYr!$B35),"  ")</f>
        <v>Developmental Disabilities</v>
      </c>
      <c r="B35" s="127">
        <f>IF(Developmental!$C$33&lt;&gt;0,Developmental!$C$33,"  ")</f>
        <v>91402</v>
      </c>
      <c r="C35" s="389">
        <f>IF(inputPrYr!D109&lt;&gt;0,inputPrYr!D109,"  ")</f>
        <v>0.38600000000000001</v>
      </c>
      <c r="D35" s="127">
        <f>IF(Developmental!$D$33&lt;&gt;0,Developmental!$D$33,"  ")</f>
        <v>95000</v>
      </c>
      <c r="E35" s="389">
        <f>IF(inputPrYr!F35&lt;&gt;0,inputPrYr!F35,"  ")</f>
        <v>0.41799999999999998</v>
      </c>
      <c r="F35" s="127">
        <f>IF(Developmental!$E$33&lt;&gt;0,Developmental!$E$33,"  ")</f>
        <v>17878</v>
      </c>
      <c r="G35" s="127" t="str">
        <f>IF(Developmental!$E$40&lt;&gt;0,Developmental!$E$40,"  ")</f>
        <v xml:space="preserve">  </v>
      </c>
      <c r="H35" s="389" t="str">
        <f>IF(Developmental!$E$40&lt;&gt;0,ROUND(G35/$F$65*1000,3),"  ")</f>
        <v xml:space="preserve">  </v>
      </c>
    </row>
    <row r="36" spans="1:8">
      <c r="A36" s="127" t="str">
        <f>IF((inputPrYr!$B36&gt;" "),(inputPrYr!$B36),"  ")</f>
        <v xml:space="preserve">  </v>
      </c>
      <c r="B36" s="127" t="str">
        <f>IF(Developmental!$C$73&lt;&gt;0,Developmental!$C$73,"  ")</f>
        <v xml:space="preserve">  </v>
      </c>
      <c r="C36" s="389" t="str">
        <f>IF(inputPrYr!D110&lt;&gt;0,inputPrYr!D110,"  ")</f>
        <v xml:space="preserve">  </v>
      </c>
      <c r="D36" s="127" t="str">
        <f>IF(Developmental!$D$73&lt;&gt;0,Developmental!$D$73,"  ")</f>
        <v xml:space="preserve">  </v>
      </c>
      <c r="E36" s="389" t="str">
        <f>IF(inputPrYr!F36&lt;&gt;0,inputPrYr!F36,"  ")</f>
        <v xml:space="preserve">  </v>
      </c>
      <c r="F36" s="127" t="str">
        <f>IF(Developmental!$E$73&lt;&gt;0,Developmental!$E$73,"  ")</f>
        <v xml:space="preserve">  </v>
      </c>
      <c r="G36" s="127" t="str">
        <f>IF(Developmental!$E$80&lt;&gt;0,Developmental!$E$80,"  ")</f>
        <v xml:space="preserve">  </v>
      </c>
      <c r="H36" s="389" t="str">
        <f>IF(Developmental!$E$80&lt;&gt;0,ROUND(G36/$F$65*1000,3),"  ")</f>
        <v xml:space="preserve">  </v>
      </c>
    </row>
    <row r="37" spans="1:8">
      <c r="A37" s="127" t="str">
        <f>IF((inputPrYr!$B37&gt;" "),(inputPrYr!$B37),"  ")</f>
        <v xml:space="preserve">  </v>
      </c>
      <c r="B37" s="127" t="str">
        <f>IF(blank!C33&lt;&gt;0,blank!C33,"  ")</f>
        <v xml:space="preserve">  </v>
      </c>
      <c r="C37" s="389" t="str">
        <f>IF(inputPrYr!D111&lt;&gt;0,inputPrYr!D111,"  ")</f>
        <v xml:space="preserve">  </v>
      </c>
      <c r="D37" s="127" t="str">
        <f>IF(blank!D33&lt;&gt;0,blank!D33,"  ")</f>
        <v xml:space="preserve">  </v>
      </c>
      <c r="E37" s="389" t="str">
        <f>IF(inputPrYr!F37&lt;&gt;0,inputPrYr!F37,"  ")</f>
        <v xml:space="preserve">  </v>
      </c>
      <c r="F37" s="127" t="str">
        <f>IF(blank!E33&lt;&gt;0,blank!E33,"  ")</f>
        <v xml:space="preserve">  </v>
      </c>
      <c r="G37" s="127" t="str">
        <f>IF(blank!E40&lt;&gt;0,blank!E40,"  ")</f>
        <v xml:space="preserve">  </v>
      </c>
      <c r="H37" s="389" t="str">
        <f>IF(blank!E40&lt;&gt;0,ROUND(G37/$F$65*1000,3),"  ")</f>
        <v xml:space="preserve">  </v>
      </c>
    </row>
    <row r="38" spans="1:8">
      <c r="A38" s="127" t="str">
        <f>IF((inputPrYr!$B38&gt;" "),(inputPrYr!$B38),"  ")</f>
        <v xml:space="preserve">  </v>
      </c>
      <c r="B38" s="127" t="str">
        <f>IF(blank!C73&lt;&gt;0,blank!C73,"  ")</f>
        <v xml:space="preserve">  </v>
      </c>
      <c r="C38" s="389" t="str">
        <f>IF(inputPrYr!D112&lt;&gt;0,inputPrYr!D112,"  ")</f>
        <v xml:space="preserve">  </v>
      </c>
      <c r="D38" s="127" t="str">
        <f>IF(blank!D73&lt;&gt;0,blank!D73,"  ")</f>
        <v xml:space="preserve">  </v>
      </c>
      <c r="E38" s="389" t="str">
        <f>IF(inputPrYr!F38&lt;&gt;0,inputPrYr!F38,"  ")</f>
        <v xml:space="preserve">  </v>
      </c>
      <c r="F38" s="127" t="str">
        <f>IF(blank!E73&lt;&gt;0,blank!E73,"  ")</f>
        <v xml:space="preserve">  </v>
      </c>
      <c r="G38" s="127" t="str">
        <f>IF(blank!E80&lt;&gt;0,blank!E80,"  ")</f>
        <v xml:space="preserve">  </v>
      </c>
      <c r="H38" s="389" t="str">
        <f>IF(blank!E80&lt;&gt;0,ROUND(G38/$F$65*1000,3),"  ")</f>
        <v xml:space="preserve">  </v>
      </c>
    </row>
    <row r="39" spans="1:8">
      <c r="A39" s="127" t="str">
        <f>IF((inputPrYr!$B39&gt;" "),(inputPrYr!$B39),"  ")</f>
        <v xml:space="preserve">  </v>
      </c>
      <c r="B39" s="127" t="str">
        <f>IF('blank '!$C$33&lt;&gt;0,'blank '!$C$33,"  ")</f>
        <v xml:space="preserve">  </v>
      </c>
      <c r="C39" s="389" t="str">
        <f>IF(inputPrYr!D113&lt;&gt;0,inputPrYr!D113,"  ")</f>
        <v xml:space="preserve">  </v>
      </c>
      <c r="D39" s="127" t="str">
        <f>IF('blank '!$D$33&lt;&gt;0,'blank '!$D$33,"  ")</f>
        <v xml:space="preserve">  </v>
      </c>
      <c r="E39" s="389" t="str">
        <f>IF(inputPrYr!F39&lt;&gt;0,inputPrYr!F39,"  ")</f>
        <v xml:space="preserve">  </v>
      </c>
      <c r="F39" s="127" t="str">
        <f>IF('blank '!$E$33&lt;&gt;0,'blank '!$E$33,"  ")</f>
        <v xml:space="preserve">  </v>
      </c>
      <c r="G39" s="127" t="str">
        <f>IF('blank '!$E$40&lt;&gt;0,'blank '!$E$40,"  ")</f>
        <v xml:space="preserve">  </v>
      </c>
      <c r="H39" s="389" t="str">
        <f>IF('blank '!$E$40&lt;&gt;0,ROUND(G39/$F$65*1000,3),"  ")</f>
        <v xml:space="preserve">  </v>
      </c>
    </row>
    <row r="40" spans="1:8">
      <c r="A40" s="127" t="str">
        <f>IF((inputPrYr!$B40&gt;" "),(inputPrYr!$B40),"  ")</f>
        <v xml:space="preserve">  </v>
      </c>
      <c r="B40" s="127" t="str">
        <f>IF('blank '!$C$73&lt;&gt;0,'blank '!$C$73,"  ")</f>
        <v xml:space="preserve">  </v>
      </c>
      <c r="C40" s="389" t="str">
        <f>IF(inputPrYr!D114&lt;&gt;0,inputPrYr!D114,"  ")</f>
        <v xml:space="preserve">  </v>
      </c>
      <c r="D40" s="127" t="str">
        <f>IF('blank '!$D$73&lt;&gt;0,'blank '!$D$73,"  ")</f>
        <v xml:space="preserve">  </v>
      </c>
      <c r="E40" s="389" t="str">
        <f>IF(inputPrYr!F40&lt;&gt;0,inputPrYr!F40,"  ")</f>
        <v xml:space="preserve">  </v>
      </c>
      <c r="F40" s="127" t="str">
        <f>IF('blank '!$E$73&lt;&gt;0,'blank '!$E$73,"  ")</f>
        <v xml:space="preserve">  </v>
      </c>
      <c r="G40" s="127" t="str">
        <f>IF('blank '!$E$80&lt;&gt;0,'blank '!$E$80,"  ")</f>
        <v xml:space="preserve">  </v>
      </c>
      <c r="H40" s="389" t="str">
        <f>IF('blank '!$E$80&lt;&gt;0,ROUND(G40/$F$65*1000,3),"  ")</f>
        <v xml:space="preserve">  </v>
      </c>
    </row>
    <row r="41" spans="1:8">
      <c r="A41" s="127" t="str">
        <f>IF((inputPrYr!$B43&gt;" "),(inputPrYr!$B43),"  ")</f>
        <v>Solid Waste Fund</v>
      </c>
      <c r="B41" s="127">
        <f>IF('Solid Waste|Annex'!$C$29&lt;&gt;0,'Solid Waste|Annex'!$C$29,"  ")</f>
        <v>1044306</v>
      </c>
      <c r="C41" s="108"/>
      <c r="D41" s="127">
        <f>IF('Solid Waste|Annex'!$D$29&lt;&gt;0,'Solid Waste|Annex'!$D$29,"  ")</f>
        <v>1108933</v>
      </c>
      <c r="E41" s="108"/>
      <c r="F41" s="127">
        <f>IF('Solid Waste|Annex'!$E$29&lt;&gt;0,'Solid Waste|Annex'!$E$29,"  ")</f>
        <v>1182448</v>
      </c>
      <c r="G41" s="127"/>
      <c r="H41" s="104"/>
    </row>
    <row r="42" spans="1:8">
      <c r="A42" s="127" t="str">
        <f>IF((inputPrYr!$B44&gt;" "),(inputPrYr!$B44),"  ")</f>
        <v>Office Annex Fund</v>
      </c>
      <c r="B42" s="127">
        <f>IF('Solid Waste|Annex'!$C$60&lt;&gt;0,'Solid Waste|Annex'!$C$60,"  ")</f>
        <v>446299</v>
      </c>
      <c r="C42" s="108"/>
      <c r="D42" s="127">
        <f>IF('Solid Waste|Annex'!$D$60&lt;&gt;0,'Solid Waste|Annex'!$D$60,"  ")</f>
        <v>646300</v>
      </c>
      <c r="E42" s="108"/>
      <c r="F42" s="127">
        <f>IF('Solid Waste|Annex'!$E$60&lt;&gt;0,'Solid Waste|Annex'!$E$60,"  ")</f>
        <v>560060</v>
      </c>
      <c r="G42" s="127"/>
      <c r="H42" s="104"/>
    </row>
    <row r="43" spans="1:8">
      <c r="A43" s="127" t="str">
        <f>IF((inputPrYr!$B45&gt;" "),(inputPrYr!$B45),"  ")</f>
        <v>Centropolis Sewer Fund</v>
      </c>
      <c r="B43" s="127">
        <f>IF('Centropolis|Country Estate'!$C$29&lt;&gt;0,'Centropolis|Country Estate'!$C$29,"  ")</f>
        <v>26760</v>
      </c>
      <c r="C43" s="108"/>
      <c r="D43" s="127">
        <f>IF('Centropolis|Country Estate'!$D$29&lt;&gt;0,'Centropolis|Country Estate'!$D$29,"  ")</f>
        <v>41728</v>
      </c>
      <c r="E43" s="108"/>
      <c r="F43" s="127">
        <f>IF('Centropolis|Country Estate'!$E$29&lt;&gt;0,'Centropolis|Country Estate'!$E$29,"  ")</f>
        <v>40519</v>
      </c>
      <c r="G43" s="127"/>
      <c r="H43" s="104"/>
    </row>
    <row r="44" spans="1:8">
      <c r="A44" s="127" t="str">
        <f>IF((inputPrYr!$B46&gt;" "),(inputPrYr!$B46),"  ")</f>
        <v>Country Estate Benefit</v>
      </c>
      <c r="B44" s="127">
        <f>IF('Centropolis|Country Estate'!$C$60&lt;&gt;0,'Centropolis|Country Estate'!$C$60,"  ")</f>
        <v>12930</v>
      </c>
      <c r="C44" s="108"/>
      <c r="D44" s="127">
        <f>IF('Centropolis|Country Estate'!$D$60&lt;&gt;0,'Centropolis|Country Estate'!$D$60,"  ")</f>
        <v>16935</v>
      </c>
      <c r="E44" s="108"/>
      <c r="F44" s="127">
        <f>IF('Centropolis|Country Estate'!$E$60&lt;&gt;0,'Centropolis|Country Estate'!$E$60,"  ")</f>
        <v>16542</v>
      </c>
      <c r="G44" s="127"/>
      <c r="H44" s="104"/>
    </row>
    <row r="45" spans="1:8">
      <c r="A45" s="127" t="str">
        <f>IF((inputPrYr!$B47&gt;" "),(inputPrYr!$B47),"  ")</f>
        <v>Emergency Phone Equipment</v>
      </c>
      <c r="B45" s="127">
        <f>IF('911 Equipment|Wireless Phone'!$C$29&lt;&gt;0,'911 Equipment|Wireless Phone'!$C$29,"  ")</f>
        <v>59208</v>
      </c>
      <c r="C45" s="108"/>
      <c r="D45" s="127">
        <f>IF('911 Equipment|Wireless Phone'!$D$29&lt;&gt;0,'911 Equipment|Wireless Phone'!$D$29,"  ")</f>
        <v>60000</v>
      </c>
      <c r="E45" s="108"/>
      <c r="F45" s="127">
        <f>IF('911 Equipment|Wireless Phone'!$E$29&lt;&gt;0,'911 Equipment|Wireless Phone'!$E$29,"  ")</f>
        <v>259156</v>
      </c>
      <c r="G45" s="127"/>
      <c r="H45" s="104"/>
    </row>
    <row r="46" spans="1:8">
      <c r="A46" s="127" t="str">
        <f>IF((inputPrYr!$B48&gt;" "),(inputPrYr!$B48),"  ")</f>
        <v>Wireless Phone Equipment</v>
      </c>
      <c r="B46" s="127">
        <f>IF('911 Equipment|Wireless Phone'!$C$60&lt;&gt;0,'911 Equipment|Wireless Phone'!$C$60,"  ")</f>
        <v>15703</v>
      </c>
      <c r="C46" s="108"/>
      <c r="D46" s="127">
        <f>IF('911 Equipment|Wireless Phone'!$D$60&lt;&gt;0,'911 Equipment|Wireless Phone'!$D$60,"  ")</f>
        <v>15000</v>
      </c>
      <c r="E46" s="108"/>
      <c r="F46" s="127">
        <f>IF('911 Equipment|Wireless Phone'!$E$60&lt;&gt;0,'911 Equipment|Wireless Phone'!$E$60,"  ")</f>
        <v>133419</v>
      </c>
      <c r="G46" s="127"/>
      <c r="H46" s="104"/>
    </row>
    <row r="47" spans="1:8">
      <c r="A47" s="127" t="str">
        <f>IF((inputPrYr!$B49&gt;" "),(inputPrYr!$B49),"  ")</f>
        <v>Risk Management Fund</v>
      </c>
      <c r="B47" s="127">
        <f>IF('Risk Management|Special Alcohol'!$C$29&lt;&gt;0,'Risk Management|Special Alcohol'!$C$29,"  ")</f>
        <v>58936</v>
      </c>
      <c r="C47" s="108"/>
      <c r="D47" s="127">
        <f>IF('Risk Management|Special Alcohol'!$D$29&lt;&gt;0,'Risk Management|Special Alcohol'!$D$29,"  ")</f>
        <v>60000</v>
      </c>
      <c r="E47" s="108"/>
      <c r="F47" s="127">
        <f>IF('Risk Management|Special Alcohol'!$E$29&lt;&gt;0,'Risk Management|Special Alcohol'!$E$29,"  ")</f>
        <v>60000</v>
      </c>
      <c r="G47" s="127"/>
      <c r="H47" s="104"/>
    </row>
    <row r="48" spans="1:8">
      <c r="A48" s="127" t="str">
        <f>IF((inputPrYr!$B50&gt;" "),(inputPrYr!$B50),"  ")</f>
        <v>Special Alcohol Fund</v>
      </c>
      <c r="B48" s="127">
        <f>IF('Risk Management|Special Alcohol'!$C$60&lt;&gt;0,'Risk Management|Special Alcohol'!$C$60,"  ")</f>
        <v>6872</v>
      </c>
      <c r="C48" s="108"/>
      <c r="D48" s="127">
        <f>IF('Risk Management|Special Alcohol'!$D$60&lt;&gt;0,'Risk Management|Special Alcohol'!$D$60,"  ")</f>
        <v>16562</v>
      </c>
      <c r="E48" s="108"/>
      <c r="F48" s="127">
        <f>IF('Risk Management|Special Alcohol'!$E$60&lt;&gt;0,'Risk Management|Special Alcohol'!$E$60,"  ")</f>
        <v>6500</v>
      </c>
      <c r="G48" s="127"/>
      <c r="H48" s="104"/>
    </row>
    <row r="49" spans="1:13">
      <c r="A49" s="127" t="str">
        <f>IF((inputPrYr!$B51&gt;" "),(inputPrYr!$B51),"  ")</f>
        <v>Special Parks and Recreation</v>
      </c>
      <c r="B49" s="127">
        <f>IF('Special Parks|Tourism'!$C$29&lt;&gt;0,'Special Parks|Tourism'!$C$29,"  ")</f>
        <v>1500</v>
      </c>
      <c r="C49" s="108"/>
      <c r="D49" s="127">
        <f>IF('Special Parks|Tourism'!$D$29&lt;&gt;0,'Special Parks|Tourism'!$D$29,"  ")</f>
        <v>1500</v>
      </c>
      <c r="E49" s="108"/>
      <c r="F49" s="127">
        <f>IF('Special Parks|Tourism'!$E$29&lt;&gt;0,'Special Parks|Tourism'!$E$29,"  ")</f>
        <v>1962</v>
      </c>
      <c r="G49" s="127"/>
      <c r="H49" s="104"/>
    </row>
    <row r="50" spans="1:13">
      <c r="A50" s="127" t="str">
        <f>IF((inputPrYr!$B52&gt;" "),(inputPrYr!$B52),"  ")</f>
        <v>Tourism and Convention</v>
      </c>
      <c r="B50" s="127">
        <f>IF('Special Parks|Tourism'!$C$60&lt;&gt;0,'Special Parks|Tourism'!$C$60,"  ")</f>
        <v>163796</v>
      </c>
      <c r="C50" s="108"/>
      <c r="D50" s="127">
        <f>IF('Special Parks|Tourism'!$D$60&lt;&gt;0,'Special Parks|Tourism'!$D$60,"  ")</f>
        <v>150000</v>
      </c>
      <c r="E50" s="108"/>
      <c r="F50" s="127">
        <f>IF('Special Parks|Tourism'!$E$60&lt;&gt;0,'Special Parks|Tourism'!$E$60,"  ")</f>
        <v>210000</v>
      </c>
      <c r="G50" s="127"/>
      <c r="H50" s="104"/>
      <c r="J50" s="797" t="str">
        <f>CONCATENATE("Estimated Value Of One Mill For ",H1,"")</f>
        <v>Estimated Value Of One Mill For 2013</v>
      </c>
      <c r="K50" s="804"/>
      <c r="L50" s="804"/>
      <c r="M50" s="805"/>
    </row>
    <row r="51" spans="1:13">
      <c r="A51" s="127" t="str">
        <f>IF((inputPrYr!$B53&gt;" "),(inputPrYr!$B53),"  ")</f>
        <v>County Wide Phones</v>
      </c>
      <c r="B51" s="127">
        <f>IF('County Wide Phone|NW Capital'!$C$29&lt;&gt;0,'County Wide Phone|NW Capital'!$C$29,"  ")</f>
        <v>46023</v>
      </c>
      <c r="C51" s="108"/>
      <c r="D51" s="127">
        <f>IF('County Wide Phone|NW Capital'!$D$29&lt;&gt;0,'County Wide Phone|NW Capital'!$D$29,"  ")</f>
        <v>70000</v>
      </c>
      <c r="E51" s="108"/>
      <c r="F51" s="127">
        <f>IF('County Wide Phone|NW Capital'!$E$29&lt;&gt;0,'County Wide Phone|NW Capital'!$E$29,"  ")</f>
        <v>70000</v>
      </c>
      <c r="G51" s="127"/>
      <c r="H51" s="104"/>
      <c r="J51" s="520"/>
      <c r="K51" s="521"/>
      <c r="L51" s="521"/>
      <c r="M51" s="522"/>
    </row>
    <row r="52" spans="1:13">
      <c r="A52" s="127" t="str">
        <f>IF((inputPrYr!$B54&gt;" "),(inputPrYr!$B54),"  ")</f>
        <v>Noxious Weeds Capital</v>
      </c>
      <c r="B52" s="127">
        <f>IF('County Wide Phone|NW Capital'!$C$60&lt;&gt;0,'County Wide Phone|NW Capital'!$C$60,"  ")</f>
        <v>1236</v>
      </c>
      <c r="C52" s="108"/>
      <c r="D52" s="127">
        <f>IF('County Wide Phone|NW Capital'!$D$60&lt;&gt;0,'County Wide Phone|NW Capital'!$D$60,"  ")</f>
        <v>15000</v>
      </c>
      <c r="E52" s="108"/>
      <c r="F52" s="127">
        <f>IF('County Wide Phone|NW Capital'!$E$60&lt;&gt;0,'County Wide Phone|NW Capital'!$E$60,"  ")</f>
        <v>15000</v>
      </c>
      <c r="G52" s="127"/>
      <c r="H52" s="104"/>
      <c r="J52" s="523" t="s">
        <v>689</v>
      </c>
      <c r="K52" s="524"/>
      <c r="L52" s="524"/>
      <c r="M52" s="525">
        <f>ROUND(F65/1000,0)</f>
        <v>213159</v>
      </c>
    </row>
    <row r="53" spans="1:13">
      <c r="A53" s="127" t="str">
        <f>IF((inputPrYr!$B55&gt;" "),(inputPrYr!$B55),"  ")</f>
        <v>Hospital Sales Tax</v>
      </c>
      <c r="B53" s="127">
        <f>IF('Hospital Tax|911 Phone Tax'!$C$29&lt;&gt;0,'Hospital Tax|911 Phone Tax'!$C$29,"  ")</f>
        <v>1524592</v>
      </c>
      <c r="C53" s="108"/>
      <c r="D53" s="127">
        <f>IF('Hospital Tax|911 Phone Tax'!$D$29&lt;&gt;0,'Hospital Tax|911 Phone Tax'!$D$29,"  ")</f>
        <v>1500000</v>
      </c>
      <c r="E53" s="108"/>
      <c r="F53" s="127">
        <f>IF('Hospital Tax|911 Phone Tax'!$E$29&lt;&gt;0,'Hospital Tax|911 Phone Tax'!$E$29,"  ")</f>
        <v>1700000</v>
      </c>
      <c r="G53" s="127"/>
      <c r="H53" s="104"/>
    </row>
    <row r="54" spans="1:13">
      <c r="A54" s="127" t="str">
        <f>IF((inputPrYr!$B56&gt;" "),(inputPrYr!$B56),"  ")</f>
        <v>911 Phone Tax</v>
      </c>
      <c r="B54" s="127" t="str">
        <f>IF('Hospital Tax|911 Phone Tax'!$C$60&lt;&gt;0,'Hospital Tax|911 Phone Tax'!$C$60,"  ")</f>
        <v xml:space="preserve">  </v>
      </c>
      <c r="C54" s="108"/>
      <c r="D54" s="127" t="str">
        <f>IF('Hospital Tax|911 Phone Tax'!$D$60&lt;&gt;0,'Hospital Tax|911 Phone Tax'!$D$60,"  ")</f>
        <v xml:space="preserve">  </v>
      </c>
      <c r="E54" s="108"/>
      <c r="F54" s="127">
        <f>IF('Hospital Tax|911 Phone Tax'!$E$60&lt;&gt;0,'Hospital Tax|911 Phone Tax'!$E$60,"  ")</f>
        <v>100000</v>
      </c>
      <c r="G54" s="127"/>
      <c r="H54" s="104"/>
      <c r="J54" s="797" t="str">
        <f>CONCATENATE("Want The Mill Rate The Same As For ",H1-1,"?")</f>
        <v>Want The Mill Rate The Same As For 2012?</v>
      </c>
      <c r="K54" s="804"/>
      <c r="L54" s="804"/>
      <c r="M54" s="805"/>
    </row>
    <row r="55" spans="1:13">
      <c r="A55" s="127" t="str">
        <f>IF((inputPrYr!$B57&gt;" "),(inputPrYr!$B57),"  ")</f>
        <v xml:space="preserve">  </v>
      </c>
      <c r="B55" s="127" t="str">
        <f>IF('blank  '!$C$29&lt;&gt;0,'blank  '!$C$29,"  ")</f>
        <v xml:space="preserve">  </v>
      </c>
      <c r="C55" s="108"/>
      <c r="D55" s="127" t="str">
        <f>IF('blank  '!$D$29&lt;&gt;0,'blank  '!$D$29,"  ")</f>
        <v xml:space="preserve">  </v>
      </c>
      <c r="E55" s="108"/>
      <c r="F55" s="127" t="str">
        <f>IF('blank  '!$E$29&lt;&gt;0,'blank  '!$E$29,"  ")</f>
        <v xml:space="preserve">  </v>
      </c>
      <c r="G55" s="127"/>
      <c r="H55" s="104"/>
      <c r="J55" s="527"/>
      <c r="K55" s="521"/>
      <c r="L55" s="521"/>
      <c r="M55" s="528"/>
    </row>
    <row r="56" spans="1:13">
      <c r="A56" s="127" t="str">
        <f>IF((inputPrYr!$B58&gt;" "),(inputPrYr!$B58),"  ")</f>
        <v xml:space="preserve">  </v>
      </c>
      <c r="B56" s="127" t="str">
        <f>IF('blank  '!$C$60&lt;&gt;0,'blank  '!$C$60,"  ")</f>
        <v xml:space="preserve">  </v>
      </c>
      <c r="C56" s="108"/>
      <c r="D56" s="127" t="str">
        <f>IF('blank  '!$D$60&lt;&gt;0,'blank  '!$D$60,"  ")</f>
        <v xml:space="preserve">  </v>
      </c>
      <c r="E56" s="108"/>
      <c r="F56" s="127" t="str">
        <f>IF('blank  '!$E$60&lt;&gt;0,'blank  '!$E$60,"  ")</f>
        <v xml:space="preserve">  </v>
      </c>
      <c r="G56" s="127"/>
      <c r="H56" s="104"/>
      <c r="J56" s="527" t="str">
        <f>CONCATENATE("",H1-1," Mill Rate Was:")</f>
        <v>2012 Mill Rate Was:</v>
      </c>
      <c r="K56" s="521"/>
      <c r="L56" s="521"/>
      <c r="M56" s="529">
        <f>E61</f>
        <v>59.207000000000001</v>
      </c>
    </row>
    <row r="57" spans="1:13">
      <c r="A57" s="191" t="str">
        <f>IF((inputPrYr!$B62&gt;"  "),(nonbudA!$A3),"  ")</f>
        <v>Non-Budgeted Funds-A</v>
      </c>
      <c r="B57" s="127">
        <f>IF(nonbudA!$K$28&lt;&gt;0,nonbudA!$K$28,"  ")</f>
        <v>2534984</v>
      </c>
      <c r="C57" s="108"/>
      <c r="D57" s="127"/>
      <c r="E57" s="108"/>
      <c r="F57" s="127"/>
      <c r="G57" s="127"/>
      <c r="H57" s="104"/>
      <c r="J57" s="530" t="str">
        <f>CONCATENATE("",H1," Tax Levy Fund Expenditures Must Be")</f>
        <v>2013 Tax Levy Fund Expenditures Must Be</v>
      </c>
      <c r="K57" s="531"/>
      <c r="L57" s="531"/>
      <c r="M57" s="528"/>
    </row>
    <row r="58" spans="1:13">
      <c r="A58" s="191" t="str">
        <f>IF((inputPrYr!$B68&gt;"  "),(nonbudB!$A3),"  ")</f>
        <v>Non-Budgeted Funds-B</v>
      </c>
      <c r="B58" s="127">
        <f>IF(nonbudB!$K$28&lt;&gt;0,nonbudB!$K$28,"  ")</f>
        <v>992891</v>
      </c>
      <c r="C58" s="108"/>
      <c r="D58" s="127"/>
      <c r="E58" s="108"/>
      <c r="F58" s="127"/>
      <c r="G58" s="127"/>
      <c r="H58" s="104"/>
      <c r="J58" s="530" t="str">
        <f>IF(M58&gt;0,"Increased By:","")</f>
        <v/>
      </c>
      <c r="K58" s="531"/>
      <c r="L58" s="531"/>
      <c r="M58" s="618">
        <f>IF(M65&lt;0,M65*-1,0)</f>
        <v>0</v>
      </c>
    </row>
    <row r="59" spans="1:13">
      <c r="A59" s="191" t="str">
        <f>IF((inputPrYr!$B74&gt;"  "),(nonbudC!$A3),"  ")</f>
        <v>Non-Budgeted Funds-C</v>
      </c>
      <c r="B59" s="127">
        <f>IF(nonbudC!$K$28&lt;&gt;0,nonbudC!$K$28,"  ")</f>
        <v>564966.57999999996</v>
      </c>
      <c r="C59" s="108"/>
      <c r="D59" s="127"/>
      <c r="E59" s="108"/>
      <c r="F59" s="127"/>
      <c r="G59" s="127"/>
      <c r="H59" s="104"/>
      <c r="J59" s="619" t="str">
        <f>IF(M59&lt;0,"Reduced By:","")</f>
        <v>Reduced By:</v>
      </c>
      <c r="K59" s="620"/>
      <c r="L59" s="620"/>
      <c r="M59" s="621">
        <f>IF(M65&gt;0,M65*-1,0)</f>
        <v>-4877.0999999996275</v>
      </c>
    </row>
    <row r="60" spans="1:13" ht="16.5" thickBot="1">
      <c r="A60" s="191" t="str">
        <f>IF((inputPrYr!$B80&gt;"  "),(' blank'!$A3),"  ")</f>
        <v xml:space="preserve">  </v>
      </c>
      <c r="B60" s="509" t="str">
        <f>IF(' blank'!$K$28&lt;&gt;0,' blank'!$K$28,"  ")</f>
        <v xml:space="preserve">  </v>
      </c>
      <c r="C60" s="508"/>
      <c r="D60" s="509"/>
      <c r="E60" s="508"/>
      <c r="F60" s="509"/>
      <c r="G60" s="509"/>
      <c r="H60" s="507"/>
      <c r="J60" s="534"/>
      <c r="K60" s="534"/>
      <c r="L60" s="534"/>
      <c r="M60" s="534"/>
    </row>
    <row r="61" spans="1:13">
      <c r="A61" s="103" t="s">
        <v>157</v>
      </c>
      <c r="B61" s="512">
        <f>SUM(B16:B60)</f>
        <v>25772684.579999998</v>
      </c>
      <c r="C61" s="510">
        <f>SUM(C16:C40)</f>
        <v>56.241000000000007</v>
      </c>
      <c r="D61" s="512">
        <f>SUM(D16:D60)</f>
        <v>23439933</v>
      </c>
      <c r="E61" s="510">
        <f>SUM(E16:E40)</f>
        <v>59.207000000000001</v>
      </c>
      <c r="F61" s="512">
        <f>SUM(F16:F60)</f>
        <v>25843616</v>
      </c>
      <c r="G61" s="512">
        <f>SUM(G16:G40)</f>
        <v>12625382.1</v>
      </c>
      <c r="H61" s="510">
        <f>SUM(H16:H40)</f>
        <v>59.232000000000006</v>
      </c>
      <c r="J61" s="797" t="str">
        <f>CONCATENATE("Impact On Keeping The Same Mill Rate As For ",H1-1,"")</f>
        <v>Impact On Keeping The Same Mill Rate As For 2012</v>
      </c>
      <c r="K61" s="798"/>
      <c r="L61" s="798"/>
      <c r="M61" s="799"/>
    </row>
    <row r="62" spans="1:13">
      <c r="A62" s="84" t="s">
        <v>196</v>
      </c>
      <c r="B62" s="390">
        <f>transfers!C29</f>
        <v>869149</v>
      </c>
      <c r="C62" s="391"/>
      <c r="D62" s="390">
        <f>transfers!D29</f>
        <v>1048311</v>
      </c>
      <c r="E62" s="333"/>
      <c r="F62" s="390">
        <f>transfers!E29</f>
        <v>1372131</v>
      </c>
      <c r="G62" s="85"/>
      <c r="H62" s="125"/>
      <c r="J62" s="527"/>
      <c r="K62" s="521"/>
      <c r="L62" s="521"/>
      <c r="M62" s="528"/>
    </row>
    <row r="63" spans="1:13" ht="16.5" thickBot="1">
      <c r="A63" s="84" t="s">
        <v>197</v>
      </c>
      <c r="B63" s="393">
        <f>B61-B62</f>
        <v>24903535.579999998</v>
      </c>
      <c r="C63" s="85"/>
      <c r="D63" s="393">
        <f>D61-D62</f>
        <v>22391622</v>
      </c>
      <c r="E63" s="391"/>
      <c r="F63" s="393">
        <f>F61-F62</f>
        <v>24471485</v>
      </c>
      <c r="G63" s="85"/>
      <c r="H63" s="125"/>
      <c r="J63" s="527" t="str">
        <f>CONCATENATE("",H1," Ad Valorem Tax Revenue:")</f>
        <v>2013 Ad Valorem Tax Revenue:</v>
      </c>
      <c r="K63" s="521"/>
      <c r="L63" s="521"/>
      <c r="M63" s="522">
        <f>G61</f>
        <v>12625382.1</v>
      </c>
    </row>
    <row r="64" spans="1:13" ht="16.5" thickTop="1">
      <c r="A64" s="84" t="s">
        <v>198</v>
      </c>
      <c r="B64" s="512">
        <f>inputPrYr!F117</f>
        <v>11692138</v>
      </c>
      <c r="C64" s="85"/>
      <c r="D64" s="512">
        <f>inputPrYr!E41</f>
        <v>12305724</v>
      </c>
      <c r="E64" s="85"/>
      <c r="F64" s="511" t="s">
        <v>66</v>
      </c>
      <c r="G64" s="85"/>
      <c r="H64" s="125"/>
      <c r="J64" s="527" t="str">
        <f>CONCATENATE("",H1-1," Ad Valorem Tax Revenue:")</f>
        <v>2012 Ad Valorem Tax Revenue:</v>
      </c>
      <c r="K64" s="521"/>
      <c r="L64" s="521"/>
      <c r="M64" s="535">
        <f>ROUND(F65*M56/1000,0)</f>
        <v>12620505</v>
      </c>
    </row>
    <row r="65" spans="1:13">
      <c r="A65" s="84" t="s">
        <v>199</v>
      </c>
      <c r="B65" s="127">
        <f>inputPrYr!F118</f>
        <v>207921841</v>
      </c>
      <c r="C65" s="85"/>
      <c r="D65" s="127">
        <f>inputPrYr!F85</f>
        <v>207872197</v>
      </c>
      <c r="E65" s="85"/>
      <c r="F65" s="127">
        <f>inputOth!E6</f>
        <v>213159007</v>
      </c>
      <c r="G65" s="85"/>
      <c r="H65" s="125"/>
      <c r="J65" s="532" t="s">
        <v>690</v>
      </c>
      <c r="K65" s="533"/>
      <c r="L65" s="533"/>
      <c r="M65" s="525">
        <f>SUM(M63-M64)</f>
        <v>4877.0999999996275</v>
      </c>
    </row>
    <row r="66" spans="1:13">
      <c r="A66" s="85"/>
      <c r="B66" s="85"/>
      <c r="C66" s="85"/>
      <c r="D66" s="85"/>
      <c r="E66" s="85"/>
      <c r="F66" s="85"/>
      <c r="G66" s="85"/>
      <c r="H66" s="125"/>
      <c r="J66" s="526"/>
      <c r="K66" s="526"/>
      <c r="L66" s="526"/>
      <c r="M66" s="534"/>
    </row>
    <row r="67" spans="1:13">
      <c r="A67" s="84" t="s">
        <v>200</v>
      </c>
      <c r="B67" s="85"/>
      <c r="C67" s="85"/>
      <c r="D67" s="85"/>
      <c r="E67" s="85"/>
      <c r="F67" s="85"/>
      <c r="G67" s="85"/>
      <c r="H67" s="137"/>
      <c r="J67" s="797" t="s">
        <v>691</v>
      </c>
      <c r="K67" s="800"/>
      <c r="L67" s="800"/>
      <c r="M67" s="801"/>
    </row>
    <row r="68" spans="1:13">
      <c r="A68" s="84" t="s">
        <v>201</v>
      </c>
      <c r="B68" s="392">
        <f>H1-3</f>
        <v>2010</v>
      </c>
      <c r="C68" s="85"/>
      <c r="D68" s="392">
        <f>H1-2</f>
        <v>2011</v>
      </c>
      <c r="E68" s="85"/>
      <c r="F68" s="392">
        <f>H1-1</f>
        <v>2012</v>
      </c>
      <c r="G68" s="85"/>
      <c r="H68" s="137"/>
      <c r="J68" s="527"/>
      <c r="K68" s="521"/>
      <c r="L68" s="521"/>
      <c r="M68" s="528"/>
    </row>
    <row r="69" spans="1:13">
      <c r="A69" s="84" t="s">
        <v>202</v>
      </c>
      <c r="B69" s="127">
        <f>inputPrYr!D122</f>
        <v>2179615</v>
      </c>
      <c r="C69" s="85"/>
      <c r="D69" s="127">
        <f>inputPrYr!E122</f>
        <v>1926070</v>
      </c>
      <c r="E69" s="85"/>
      <c r="F69" s="127">
        <f>debt!G19</f>
        <v>1694000</v>
      </c>
      <c r="G69" s="85"/>
      <c r="H69" s="137"/>
      <c r="J69" s="527" t="str">
        <f>CONCATENATE("Current ",H1," Estimated Mill Rate:")</f>
        <v>Current 2013 Estimated Mill Rate:</v>
      </c>
      <c r="K69" s="521"/>
      <c r="L69" s="521"/>
      <c r="M69" s="529">
        <f>H61</f>
        <v>59.232000000000006</v>
      </c>
    </row>
    <row r="70" spans="1:13">
      <c r="A70" s="84" t="s">
        <v>203</v>
      </c>
      <c r="B70" s="127">
        <f>inputPrYr!D123</f>
        <v>0</v>
      </c>
      <c r="C70" s="85"/>
      <c r="D70" s="127">
        <f>inputPrYr!E123</f>
        <v>0</v>
      </c>
      <c r="E70" s="85"/>
      <c r="F70" s="127">
        <f>debt!G27</f>
        <v>0</v>
      </c>
      <c r="G70" s="85"/>
      <c r="H70" s="137"/>
      <c r="J70" s="527" t="str">
        <f>CONCATENATE("Desired ",H1," Mill Rate:")</f>
        <v>Desired 2013 Mill Rate:</v>
      </c>
      <c r="K70" s="521"/>
      <c r="L70" s="521"/>
      <c r="M70" s="536">
        <v>45</v>
      </c>
    </row>
    <row r="71" spans="1:13">
      <c r="A71" s="84" t="s">
        <v>189</v>
      </c>
      <c r="B71" s="127">
        <f>inputPrYr!D124</f>
        <v>9125117</v>
      </c>
      <c r="C71" s="85"/>
      <c r="D71" s="127">
        <f>inputPrYr!E124</f>
        <v>7239850</v>
      </c>
      <c r="E71" s="85"/>
      <c r="F71" s="127">
        <f>debt!G36</f>
        <v>6767068</v>
      </c>
      <c r="G71" s="85"/>
      <c r="H71" s="137"/>
      <c r="J71" s="527" t="str">
        <f>CONCATENATE("",H1," Ad Valorem Tax:")</f>
        <v>2013 Ad Valorem Tax:</v>
      </c>
      <c r="K71" s="521"/>
      <c r="L71" s="521"/>
      <c r="M71" s="535">
        <f>ROUND(F65*M70/1000,0)</f>
        <v>9592155</v>
      </c>
    </row>
    <row r="72" spans="1:13">
      <c r="A72" s="84" t="s">
        <v>289</v>
      </c>
      <c r="B72" s="127">
        <f>inputPrYr!D125</f>
        <v>1588637</v>
      </c>
      <c r="C72" s="85"/>
      <c r="D72" s="127">
        <f>inputPrYr!E125</f>
        <v>1251618</v>
      </c>
      <c r="E72" s="85"/>
      <c r="F72" s="127">
        <f>lpform!G37</f>
        <v>4840946</v>
      </c>
      <c r="G72" s="85"/>
      <c r="H72" s="137"/>
      <c r="J72" s="532" t="str">
        <f>CONCATENATE("",H1," Tax Levy Fund Exp. Changed By:")</f>
        <v>2013 Tax Levy Fund Exp. Changed By:</v>
      </c>
      <c r="K72" s="533"/>
      <c r="L72" s="533"/>
      <c r="M72" s="525">
        <f>IF(M70=0,0,(M71-G61))</f>
        <v>-3033227.0999999996</v>
      </c>
    </row>
    <row r="73" spans="1:13" ht="16.5" thickBot="1">
      <c r="A73" s="84" t="s">
        <v>204</v>
      </c>
      <c r="B73" s="537">
        <f>SUM(B69:B72)</f>
        <v>12893369</v>
      </c>
      <c r="C73" s="85"/>
      <c r="D73" s="537">
        <f>SUM(D69:D72)</f>
        <v>10417538</v>
      </c>
      <c r="E73" s="85"/>
      <c r="F73" s="537">
        <f>SUM(F69:F72)</f>
        <v>13302014</v>
      </c>
      <c r="G73" s="85"/>
      <c r="H73" s="137"/>
    </row>
    <row r="74" spans="1:13" ht="16.5" thickTop="1">
      <c r="A74" s="84" t="s">
        <v>205</v>
      </c>
      <c r="B74" s="85"/>
      <c r="C74" s="85"/>
      <c r="D74" s="85"/>
      <c r="E74" s="85"/>
      <c r="F74" s="85"/>
      <c r="G74" s="85"/>
      <c r="H74" s="137"/>
    </row>
    <row r="75" spans="1:13">
      <c r="A75" s="85"/>
      <c r="B75" s="85"/>
      <c r="C75" s="85"/>
      <c r="D75" s="85"/>
      <c r="E75" s="85"/>
      <c r="F75" s="85"/>
      <c r="G75" s="85"/>
      <c r="H75" s="137"/>
    </row>
    <row r="76" spans="1:13">
      <c r="A76" s="803">
        <f>inputBudSum!B3</f>
        <v>0</v>
      </c>
      <c r="B76" s="803"/>
      <c r="C76" s="85"/>
      <c r="D76" s="85"/>
      <c r="E76" s="85"/>
      <c r="F76" s="85"/>
      <c r="G76" s="85"/>
      <c r="H76" s="137"/>
    </row>
    <row r="77" spans="1:13">
      <c r="A77" s="211" t="s">
        <v>206</v>
      </c>
      <c r="B77" s="93"/>
      <c r="C77" s="85"/>
      <c r="D77" s="85"/>
      <c r="E77" s="85"/>
      <c r="F77" s="85"/>
      <c r="G77" s="85"/>
      <c r="H77" s="137"/>
    </row>
    <row r="78" spans="1:13">
      <c r="A78" s="85"/>
      <c r="B78" s="85"/>
      <c r="C78" s="85"/>
      <c r="D78" s="287" t="s">
        <v>167</v>
      </c>
      <c r="E78" s="394"/>
      <c r="F78" s="85"/>
      <c r="G78" s="85"/>
      <c r="H78" s="137"/>
    </row>
    <row r="79" spans="1:13">
      <c r="A79" s="143"/>
      <c r="D79" s="143"/>
      <c r="E79" s="143"/>
      <c r="F79" s="143"/>
      <c r="G79" s="143"/>
      <c r="H79" s="143"/>
    </row>
  </sheetData>
  <sheetProtection sheet="1" objects="1" scenarios="1"/>
  <mergeCells count="14">
    <mergeCell ref="A76:B76"/>
    <mergeCell ref="G14:G15"/>
    <mergeCell ref="J50:M50"/>
    <mergeCell ref="J54:M54"/>
    <mergeCell ref="A11:H11"/>
    <mergeCell ref="A7:H7"/>
    <mergeCell ref="A8:H8"/>
    <mergeCell ref="J61:M61"/>
    <mergeCell ref="J67:M67"/>
    <mergeCell ref="A2:H2"/>
    <mergeCell ref="A4:H4"/>
    <mergeCell ref="A5:H5"/>
    <mergeCell ref="A6:H6"/>
    <mergeCell ref="A10:H10"/>
  </mergeCells>
  <phoneticPr fontId="0" type="noConversion"/>
  <pageMargins left="1.1200000000000001" right="0.5" top="0.74" bottom="0.34" header="0.5" footer="0"/>
  <pageSetup scale="58" orientation="portrait" blackAndWhite="1" r:id="rId1"/>
  <headerFooter alignWithMargins="0">
    <oddHeader xml:space="preserve">&amp;RState of Kansas
County
</oddHeader>
  </headerFooter>
</worksheet>
</file>

<file path=xl/worksheets/sheet43.xml><?xml version="1.0" encoding="utf-8"?>
<worksheet xmlns="http://schemas.openxmlformats.org/spreadsheetml/2006/main" xmlns:r="http://schemas.openxmlformats.org/officeDocument/2006/relationships">
  <sheetPr codeName="Sheet33">
    <pageSetUpPr fitToPage="1"/>
  </sheetPr>
  <dimension ref="A1:J57"/>
  <sheetViews>
    <sheetView topLeftCell="A25" zoomScale="75" workbookViewId="0">
      <selection activeCell="E42" sqref="E42"/>
    </sheetView>
  </sheetViews>
  <sheetFormatPr defaultColWidth="8.88671875" defaultRowHeight="15.75"/>
  <cols>
    <col min="1" max="1" width="21.88671875" style="2" customWidth="1"/>
    <col min="2" max="2" width="12.77734375" style="2" customWidth="1"/>
    <col min="3" max="3" width="10.33203125" style="2" customWidth="1"/>
    <col min="4" max="4" width="12.88671875" style="2" customWidth="1"/>
    <col min="5" max="5" width="10.21875" style="2" customWidth="1"/>
    <col min="6" max="6" width="15" style="2" customWidth="1"/>
    <col min="7" max="7" width="12.77734375" style="2" customWidth="1"/>
    <col min="8" max="8" width="15.33203125" style="2" customWidth="1"/>
    <col min="9" max="9" width="9.77734375" style="2" customWidth="1"/>
    <col min="10" max="16384" width="8.88671875" style="2"/>
  </cols>
  <sheetData>
    <row r="1" spans="1:10">
      <c r="A1" s="27" t="str">
        <f>inputPrYr!C2</f>
        <v>Franklin County</v>
      </c>
      <c r="B1" s="14"/>
      <c r="C1" s="14"/>
      <c r="D1" s="14"/>
      <c r="E1" s="14"/>
      <c r="F1" s="14"/>
      <c r="G1" s="14"/>
      <c r="H1" s="14"/>
      <c r="I1" s="51">
        <f>inputPrYr!C4</f>
        <v>2013</v>
      </c>
    </row>
    <row r="2" spans="1:10">
      <c r="A2" s="14"/>
      <c r="B2" s="14"/>
      <c r="C2" s="14"/>
      <c r="D2" s="14"/>
      <c r="E2" s="14"/>
      <c r="F2" s="14"/>
      <c r="G2" s="14"/>
      <c r="H2" s="14"/>
      <c r="I2" s="13"/>
    </row>
    <row r="3" spans="1:10">
      <c r="A3" s="32" t="s">
        <v>232</v>
      </c>
      <c r="B3" s="17"/>
      <c r="C3" s="17"/>
      <c r="D3" s="17"/>
      <c r="E3" s="17"/>
      <c r="F3" s="17"/>
      <c r="G3" s="17"/>
      <c r="H3" s="17"/>
      <c r="I3" s="31"/>
      <c r="J3" s="3"/>
    </row>
    <row r="4" spans="1:10">
      <c r="A4" s="14"/>
      <c r="B4" s="18"/>
      <c r="C4" s="18"/>
      <c r="D4" s="18"/>
      <c r="E4" s="18"/>
      <c r="F4" s="18"/>
      <c r="G4" s="18"/>
      <c r="H4" s="18"/>
      <c r="I4" s="18"/>
    </row>
    <row r="5" spans="1:10">
      <c r="A5" s="14"/>
      <c r="B5" s="33" t="str">
        <f>CONCATENATE("Prior Year Actual for ",I1-2,"")</f>
        <v>Prior Year Actual for 2011</v>
      </c>
      <c r="C5" s="21"/>
      <c r="D5" s="34" t="str">
        <f>CONCATENATE("Current Year Estimate for ",I1-1,"")</f>
        <v>Current Year Estimate for 2012</v>
      </c>
      <c r="E5" s="21"/>
      <c r="F5" s="19" t="str">
        <f>CONCATENATE("Proposed Budget Year for ",I1,"")</f>
        <v>Proposed Budget Year for 2013</v>
      </c>
      <c r="G5" s="20"/>
      <c r="H5" s="20"/>
      <c r="I5" s="21"/>
    </row>
    <row r="6" spans="1:10" ht="21" customHeight="1">
      <c r="A6" s="15" t="s">
        <v>8</v>
      </c>
      <c r="B6" s="22"/>
      <c r="C6" s="22" t="s">
        <v>192</v>
      </c>
      <c r="D6" s="22"/>
      <c r="E6" s="22" t="s">
        <v>192</v>
      </c>
      <c r="F6" s="514" t="s">
        <v>674</v>
      </c>
      <c r="G6" s="764" t="str">
        <f>CONCATENATE("Amount of ",I1-1,"    Ad Valorem Tax")</f>
        <v>Amount of 2012    Ad Valorem Tax</v>
      </c>
      <c r="H6" s="764" t="str">
        <f>CONCATENATE("July 1, ",I1-1," Estimated Valuation")</f>
        <v>July 1, 2012 Estimated Valuation</v>
      </c>
      <c r="I6" s="22" t="s">
        <v>193</v>
      </c>
    </row>
    <row r="7" spans="1:10">
      <c r="A7" s="23" t="s">
        <v>9</v>
      </c>
      <c r="B7" s="29" t="s">
        <v>139</v>
      </c>
      <c r="C7" s="29" t="s">
        <v>195</v>
      </c>
      <c r="D7" s="29" t="s">
        <v>139</v>
      </c>
      <c r="E7" s="29" t="s">
        <v>195</v>
      </c>
      <c r="F7" s="515" t="s">
        <v>675</v>
      </c>
      <c r="G7" s="765"/>
      <c r="H7" s="765"/>
      <c r="I7" s="29" t="s">
        <v>195</v>
      </c>
    </row>
    <row r="8" spans="1:10">
      <c r="A8" s="9"/>
      <c r="B8" s="9"/>
      <c r="C8" s="11"/>
      <c r="D8" s="9"/>
      <c r="E8" s="11"/>
      <c r="F8" s="9"/>
      <c r="G8" s="9"/>
      <c r="H8" s="9"/>
      <c r="I8" s="59" t="str">
        <f t="shared" ref="I8:I36" si="0">IF(H8&lt;&gt;0,ROUND(G8/H8*1000,3)," ")</f>
        <v xml:space="preserve"> </v>
      </c>
    </row>
    <row r="9" spans="1:10">
      <c r="A9" s="9"/>
      <c r="B9" s="9"/>
      <c r="C9" s="11"/>
      <c r="D9" s="9"/>
      <c r="E9" s="11"/>
      <c r="F9" s="9"/>
      <c r="G9" s="9"/>
      <c r="H9" s="9"/>
      <c r="I9" s="59" t="str">
        <f t="shared" si="0"/>
        <v xml:space="preserve"> </v>
      </c>
    </row>
    <row r="10" spans="1:10">
      <c r="A10" s="9"/>
      <c r="B10" s="9"/>
      <c r="C10" s="11"/>
      <c r="D10" s="9"/>
      <c r="E10" s="11"/>
      <c r="F10" s="9"/>
      <c r="G10" s="9"/>
      <c r="H10" s="9"/>
      <c r="I10" s="59" t="str">
        <f t="shared" si="0"/>
        <v xml:space="preserve"> </v>
      </c>
    </row>
    <row r="11" spans="1:10">
      <c r="A11" s="9"/>
      <c r="B11" s="9"/>
      <c r="C11" s="11"/>
      <c r="D11" s="9"/>
      <c r="E11" s="11"/>
      <c r="F11" s="9"/>
      <c r="G11" s="9"/>
      <c r="H11" s="9"/>
      <c r="I11" s="59" t="str">
        <f t="shared" si="0"/>
        <v xml:space="preserve"> </v>
      </c>
    </row>
    <row r="12" spans="1:10">
      <c r="A12" s="9"/>
      <c r="B12" s="9"/>
      <c r="C12" s="11"/>
      <c r="D12" s="9"/>
      <c r="E12" s="11"/>
      <c r="F12" s="9"/>
      <c r="G12" s="9"/>
      <c r="H12" s="9"/>
      <c r="I12" s="59" t="str">
        <f t="shared" si="0"/>
        <v xml:space="preserve"> </v>
      </c>
    </row>
    <row r="13" spans="1:10">
      <c r="A13" s="9"/>
      <c r="B13" s="9"/>
      <c r="C13" s="11"/>
      <c r="D13" s="9"/>
      <c r="E13" s="11"/>
      <c r="F13" s="9"/>
      <c r="G13" s="9"/>
      <c r="H13" s="9"/>
      <c r="I13" s="59" t="str">
        <f t="shared" si="0"/>
        <v xml:space="preserve"> </v>
      </c>
    </row>
    <row r="14" spans="1:10">
      <c r="A14" s="9"/>
      <c r="B14" s="9"/>
      <c r="C14" s="11"/>
      <c r="D14" s="9"/>
      <c r="E14" s="11"/>
      <c r="F14" s="9"/>
      <c r="G14" s="9"/>
      <c r="H14" s="9"/>
      <c r="I14" s="59" t="str">
        <f t="shared" si="0"/>
        <v xml:space="preserve"> </v>
      </c>
    </row>
    <row r="15" spans="1:10">
      <c r="A15" s="9"/>
      <c r="B15" s="9"/>
      <c r="C15" s="11"/>
      <c r="D15" s="9"/>
      <c r="E15" s="11"/>
      <c r="F15" s="9"/>
      <c r="G15" s="9"/>
      <c r="H15" s="9"/>
      <c r="I15" s="59" t="str">
        <f t="shared" si="0"/>
        <v xml:space="preserve"> </v>
      </c>
    </row>
    <row r="16" spans="1:10">
      <c r="A16" s="9"/>
      <c r="B16" s="9"/>
      <c r="C16" s="11"/>
      <c r="D16" s="9"/>
      <c r="E16" s="11"/>
      <c r="F16" s="9"/>
      <c r="G16" s="9"/>
      <c r="H16" s="9"/>
      <c r="I16" s="59" t="str">
        <f t="shared" si="0"/>
        <v xml:space="preserve"> </v>
      </c>
    </row>
    <row r="17" spans="1:9">
      <c r="A17" s="9"/>
      <c r="B17" s="9"/>
      <c r="C17" s="11"/>
      <c r="D17" s="9"/>
      <c r="E17" s="11"/>
      <c r="F17" s="9"/>
      <c r="G17" s="9"/>
      <c r="H17" s="9"/>
      <c r="I17" s="59" t="str">
        <f t="shared" si="0"/>
        <v xml:space="preserve"> </v>
      </c>
    </row>
    <row r="18" spans="1:9">
      <c r="A18" s="9"/>
      <c r="B18" s="9"/>
      <c r="C18" s="11"/>
      <c r="D18" s="9"/>
      <c r="E18" s="11"/>
      <c r="F18" s="9"/>
      <c r="G18" s="9"/>
      <c r="H18" s="9"/>
      <c r="I18" s="59" t="str">
        <f t="shared" si="0"/>
        <v xml:space="preserve"> </v>
      </c>
    </row>
    <row r="19" spans="1:9">
      <c r="A19" s="9"/>
      <c r="B19" s="9"/>
      <c r="C19" s="11"/>
      <c r="D19" s="9"/>
      <c r="E19" s="11"/>
      <c r="F19" s="9"/>
      <c r="G19" s="9"/>
      <c r="H19" s="9"/>
      <c r="I19" s="59" t="str">
        <f t="shared" si="0"/>
        <v xml:space="preserve"> </v>
      </c>
    </row>
    <row r="20" spans="1:9">
      <c r="A20" s="9"/>
      <c r="B20" s="9"/>
      <c r="C20" s="11"/>
      <c r="D20" s="9"/>
      <c r="E20" s="11"/>
      <c r="F20" s="9"/>
      <c r="G20" s="9"/>
      <c r="H20" s="9"/>
      <c r="I20" s="59" t="str">
        <f t="shared" si="0"/>
        <v xml:space="preserve"> </v>
      </c>
    </row>
    <row r="21" spans="1:9">
      <c r="A21" s="9"/>
      <c r="B21" s="9"/>
      <c r="C21" s="11"/>
      <c r="D21" s="9"/>
      <c r="E21" s="11"/>
      <c r="F21" s="9"/>
      <c r="G21" s="9"/>
      <c r="H21" s="9"/>
      <c r="I21" s="59" t="str">
        <f t="shared" si="0"/>
        <v xml:space="preserve"> </v>
      </c>
    </row>
    <row r="22" spans="1:9">
      <c r="A22" s="9"/>
      <c r="B22" s="9"/>
      <c r="C22" s="11"/>
      <c r="D22" s="9"/>
      <c r="E22" s="11"/>
      <c r="F22" s="9"/>
      <c r="G22" s="9"/>
      <c r="H22" s="9"/>
      <c r="I22" s="59" t="str">
        <f t="shared" si="0"/>
        <v xml:space="preserve"> </v>
      </c>
    </row>
    <row r="23" spans="1:9">
      <c r="A23" s="9"/>
      <c r="B23" s="9"/>
      <c r="C23" s="11"/>
      <c r="D23" s="9"/>
      <c r="E23" s="11"/>
      <c r="F23" s="9"/>
      <c r="G23" s="9"/>
      <c r="H23" s="9"/>
      <c r="I23" s="59" t="str">
        <f t="shared" si="0"/>
        <v xml:space="preserve"> </v>
      </c>
    </row>
    <row r="24" spans="1:9">
      <c r="A24" s="9"/>
      <c r="B24" s="9"/>
      <c r="C24" s="11"/>
      <c r="D24" s="9"/>
      <c r="E24" s="11"/>
      <c r="F24" s="9"/>
      <c r="G24" s="9"/>
      <c r="H24" s="9"/>
      <c r="I24" s="59" t="str">
        <f t="shared" si="0"/>
        <v xml:space="preserve"> </v>
      </c>
    </row>
    <row r="25" spans="1:9">
      <c r="A25" s="9"/>
      <c r="B25" s="9"/>
      <c r="C25" s="11"/>
      <c r="D25" s="9"/>
      <c r="E25" s="11"/>
      <c r="F25" s="9"/>
      <c r="G25" s="9"/>
      <c r="H25" s="9"/>
      <c r="I25" s="59" t="str">
        <f t="shared" si="0"/>
        <v xml:space="preserve"> </v>
      </c>
    </row>
    <row r="26" spans="1:9">
      <c r="A26" s="9"/>
      <c r="B26" s="9"/>
      <c r="C26" s="11"/>
      <c r="D26" s="9"/>
      <c r="E26" s="11"/>
      <c r="F26" s="9"/>
      <c r="G26" s="9"/>
      <c r="H26" s="9"/>
      <c r="I26" s="59" t="str">
        <f t="shared" si="0"/>
        <v xml:space="preserve"> </v>
      </c>
    </row>
    <row r="27" spans="1:9">
      <c r="A27" s="9"/>
      <c r="B27" s="9"/>
      <c r="C27" s="11"/>
      <c r="D27" s="9"/>
      <c r="E27" s="11"/>
      <c r="F27" s="9"/>
      <c r="G27" s="9"/>
      <c r="H27" s="9"/>
      <c r="I27" s="59" t="str">
        <f t="shared" si="0"/>
        <v xml:space="preserve"> </v>
      </c>
    </row>
    <row r="28" spans="1:9">
      <c r="A28" s="9"/>
      <c r="B28" s="9"/>
      <c r="C28" s="11"/>
      <c r="D28" s="9"/>
      <c r="E28" s="11"/>
      <c r="F28" s="9"/>
      <c r="G28" s="9"/>
      <c r="H28" s="9"/>
      <c r="I28" s="59" t="str">
        <f t="shared" si="0"/>
        <v xml:space="preserve"> </v>
      </c>
    </row>
    <row r="29" spans="1:9">
      <c r="A29" s="9"/>
      <c r="B29" s="9"/>
      <c r="C29" s="11"/>
      <c r="D29" s="9"/>
      <c r="E29" s="11"/>
      <c r="F29" s="9"/>
      <c r="G29" s="9"/>
      <c r="H29" s="9"/>
      <c r="I29" s="59" t="str">
        <f t="shared" si="0"/>
        <v xml:space="preserve"> </v>
      </c>
    </row>
    <row r="30" spans="1:9">
      <c r="A30" s="9"/>
      <c r="B30" s="9"/>
      <c r="C30" s="11"/>
      <c r="D30" s="9"/>
      <c r="E30" s="11"/>
      <c r="F30" s="9"/>
      <c r="G30" s="9"/>
      <c r="H30" s="9"/>
      <c r="I30" s="59" t="str">
        <f t="shared" si="0"/>
        <v xml:space="preserve"> </v>
      </c>
    </row>
    <row r="31" spans="1:9">
      <c r="A31" s="9"/>
      <c r="B31" s="9"/>
      <c r="C31" s="11"/>
      <c r="D31" s="9"/>
      <c r="E31" s="11"/>
      <c r="F31" s="9"/>
      <c r="G31" s="9"/>
      <c r="H31" s="9"/>
      <c r="I31" s="59" t="str">
        <f t="shared" si="0"/>
        <v xml:space="preserve"> </v>
      </c>
    </row>
    <row r="32" spans="1:9">
      <c r="A32" s="9"/>
      <c r="B32" s="9"/>
      <c r="C32" s="11"/>
      <c r="D32" s="9"/>
      <c r="E32" s="11"/>
      <c r="F32" s="9"/>
      <c r="G32" s="9"/>
      <c r="H32" s="9"/>
      <c r="I32" s="59" t="str">
        <f t="shared" si="0"/>
        <v xml:space="preserve"> </v>
      </c>
    </row>
    <row r="33" spans="1:9">
      <c r="A33" s="9"/>
      <c r="B33" s="9"/>
      <c r="C33" s="11"/>
      <c r="D33" s="9"/>
      <c r="E33" s="11"/>
      <c r="F33" s="9"/>
      <c r="G33" s="9"/>
      <c r="H33" s="9"/>
      <c r="I33" s="59" t="str">
        <f t="shared" si="0"/>
        <v xml:space="preserve"> </v>
      </c>
    </row>
    <row r="34" spans="1:9">
      <c r="A34" s="9"/>
      <c r="B34" s="9"/>
      <c r="C34" s="11"/>
      <c r="D34" s="9"/>
      <c r="E34" s="11"/>
      <c r="F34" s="9"/>
      <c r="G34" s="9"/>
      <c r="H34" s="9"/>
      <c r="I34" s="59" t="str">
        <f t="shared" si="0"/>
        <v xml:space="preserve"> </v>
      </c>
    </row>
    <row r="35" spans="1:9">
      <c r="A35" s="9"/>
      <c r="B35" s="9"/>
      <c r="C35" s="11"/>
      <c r="D35" s="9"/>
      <c r="E35" s="11"/>
      <c r="F35" s="9"/>
      <c r="G35" s="9"/>
      <c r="H35" s="9"/>
      <c r="I35" s="59" t="str">
        <f t="shared" si="0"/>
        <v xml:space="preserve"> </v>
      </c>
    </row>
    <row r="36" spans="1:9">
      <c r="A36" s="9"/>
      <c r="B36" s="9"/>
      <c r="C36" s="11"/>
      <c r="D36" s="9"/>
      <c r="E36" s="11"/>
      <c r="F36" s="9"/>
      <c r="G36" s="9"/>
      <c r="H36" s="9"/>
      <c r="I36" s="59" t="str">
        <f t="shared" si="0"/>
        <v xml:space="preserve"> </v>
      </c>
    </row>
    <row r="37" spans="1:9">
      <c r="A37" s="24" t="s">
        <v>157</v>
      </c>
      <c r="B37" s="25">
        <f>SUM(B8:B36)</f>
        <v>0</v>
      </c>
      <c r="C37" s="35">
        <f>SUM(C8:C24)</f>
        <v>0</v>
      </c>
      <c r="D37" s="25">
        <f>SUM(D8:D36)</f>
        <v>0</v>
      </c>
      <c r="E37" s="35">
        <f>SUM(E8:E24)</f>
        <v>0</v>
      </c>
      <c r="F37" s="25">
        <f>SUM(F8:F36)</f>
        <v>0</v>
      </c>
      <c r="G37" s="25">
        <f>SUM(G8:G36)</f>
        <v>0</v>
      </c>
      <c r="H37" s="25"/>
      <c r="I37" s="35">
        <f>SUM(I8:I24)</f>
        <v>0</v>
      </c>
    </row>
    <row r="38" spans="1:9">
      <c r="A38" s="14"/>
      <c r="B38" s="14"/>
      <c r="C38" s="14"/>
      <c r="D38" s="14"/>
      <c r="E38" s="14"/>
      <c r="F38" s="14"/>
      <c r="G38" s="14"/>
      <c r="H38" s="14"/>
      <c r="I38" s="14"/>
    </row>
    <row r="39" spans="1:9">
      <c r="A39" s="15" t="s">
        <v>205</v>
      </c>
      <c r="B39" s="14"/>
      <c r="C39" s="14"/>
      <c r="D39" s="14"/>
      <c r="E39" s="14"/>
      <c r="F39" s="14"/>
      <c r="G39" s="14"/>
      <c r="H39" s="14"/>
      <c r="I39" s="14"/>
    </row>
    <row r="40" spans="1:9">
      <c r="A40" s="14"/>
      <c r="B40" s="14"/>
      <c r="C40" s="14"/>
      <c r="D40" s="14"/>
      <c r="E40" s="14"/>
      <c r="F40" s="14"/>
      <c r="G40" s="14"/>
      <c r="H40" s="14"/>
      <c r="I40" s="14"/>
    </row>
    <row r="41" spans="1:9">
      <c r="A41" s="26"/>
      <c r="B41" s="14"/>
      <c r="C41" s="14"/>
      <c r="D41" s="14"/>
      <c r="E41" s="14"/>
      <c r="F41" s="14"/>
      <c r="G41" s="14"/>
      <c r="H41" s="14"/>
      <c r="I41" s="14"/>
    </row>
    <row r="42" spans="1:9">
      <c r="A42" s="16" t="s">
        <v>206</v>
      </c>
      <c r="B42" s="14"/>
      <c r="C42" s="14"/>
      <c r="D42" s="14" t="s">
        <v>190</v>
      </c>
      <c r="E42" s="10"/>
      <c r="F42" s="14"/>
      <c r="G42" s="14"/>
      <c r="H42" s="14"/>
      <c r="I42" s="14"/>
    </row>
    <row r="44" spans="1:9">
      <c r="A44" s="1"/>
      <c r="B44" s="1"/>
      <c r="C44" s="1"/>
      <c r="D44" s="1"/>
      <c r="E44" s="1"/>
      <c r="F44" s="1"/>
      <c r="G44" s="1"/>
      <c r="H44" s="1"/>
      <c r="I44" s="1"/>
    </row>
    <row r="45" spans="1:9">
      <c r="A45" s="4"/>
      <c r="B45" s="1"/>
      <c r="C45" s="1"/>
      <c r="D45" s="1"/>
      <c r="E45" s="1"/>
      <c r="F45" s="1"/>
      <c r="G45" s="1"/>
      <c r="H45" s="1"/>
      <c r="I45" s="1"/>
    </row>
    <row r="46" spans="1:9">
      <c r="A46" s="4"/>
      <c r="B46" s="5"/>
      <c r="C46" s="1"/>
      <c r="D46" s="5"/>
      <c r="E46" s="1"/>
      <c r="F46" s="5"/>
      <c r="G46" s="1"/>
      <c r="H46" s="1"/>
      <c r="I46" s="1"/>
    </row>
    <row r="47" spans="1:9">
      <c r="A47" s="4"/>
      <c r="B47" s="4"/>
      <c r="C47" s="1"/>
      <c r="D47" s="4"/>
      <c r="E47" s="1"/>
      <c r="F47" s="4"/>
      <c r="G47" s="1"/>
      <c r="H47" s="1"/>
      <c r="I47" s="1"/>
    </row>
    <row r="48" spans="1:9">
      <c r="A48" s="4"/>
      <c r="B48" s="4"/>
      <c r="C48" s="1"/>
      <c r="D48" s="4"/>
      <c r="E48" s="1"/>
      <c r="F48" s="4"/>
      <c r="G48" s="1"/>
      <c r="H48" s="1"/>
      <c r="I48" s="1"/>
    </row>
    <row r="49" spans="1:9">
      <c r="A49" s="4"/>
      <c r="B49" s="4"/>
      <c r="C49" s="1"/>
      <c r="D49" s="4"/>
      <c r="E49" s="1"/>
      <c r="F49" s="4"/>
      <c r="G49" s="1"/>
      <c r="H49" s="1"/>
      <c r="I49" s="1"/>
    </row>
    <row r="50" spans="1:9">
      <c r="A50" s="4"/>
      <c r="B50" s="4"/>
      <c r="C50" s="1"/>
      <c r="D50" s="4"/>
      <c r="E50" s="1"/>
      <c r="F50" s="4"/>
      <c r="G50" s="1"/>
      <c r="H50" s="1"/>
      <c r="I50" s="1"/>
    </row>
    <row r="51" spans="1:9">
      <c r="A51" s="4"/>
      <c r="B51" s="4"/>
      <c r="C51" s="1"/>
      <c r="D51" s="4"/>
      <c r="E51" s="1"/>
      <c r="F51" s="4"/>
      <c r="G51" s="1"/>
      <c r="H51" s="1"/>
      <c r="I51" s="1"/>
    </row>
    <row r="52" spans="1:9">
      <c r="B52" s="1"/>
      <c r="C52" s="1"/>
      <c r="D52" s="1"/>
      <c r="E52" s="1"/>
      <c r="F52" s="1"/>
      <c r="G52" s="1"/>
      <c r="H52" s="1"/>
      <c r="I52" s="1"/>
    </row>
    <row r="53" spans="1:9">
      <c r="B53" s="1"/>
      <c r="C53" s="1"/>
      <c r="D53" s="1"/>
      <c r="E53" s="1"/>
      <c r="F53" s="1"/>
      <c r="G53" s="1"/>
      <c r="H53" s="1"/>
      <c r="I53" s="1"/>
    </row>
    <row r="54" spans="1:9">
      <c r="B54" s="8"/>
      <c r="C54" s="1"/>
      <c r="D54" s="1"/>
      <c r="E54" s="1"/>
      <c r="F54" s="1"/>
      <c r="G54" s="1"/>
      <c r="H54" s="1"/>
      <c r="I54" s="1"/>
    </row>
    <row r="55" spans="1:9">
      <c r="B55" s="7"/>
      <c r="C55" s="1"/>
      <c r="D55" s="1"/>
      <c r="E55" s="1"/>
      <c r="F55" s="1"/>
      <c r="G55" s="1"/>
      <c r="H55" s="1"/>
      <c r="I55" s="1"/>
    </row>
    <row r="56" spans="1:9">
      <c r="A56" s="1"/>
      <c r="B56" s="1"/>
      <c r="C56" s="1"/>
      <c r="D56" s="1"/>
      <c r="E56" s="1"/>
      <c r="F56" s="1"/>
      <c r="G56" s="1"/>
      <c r="H56" s="1"/>
      <c r="I56" s="1"/>
    </row>
    <row r="57" spans="1:9">
      <c r="A57" s="1"/>
      <c r="B57" s="1" t="s">
        <v>167</v>
      </c>
      <c r="C57" s="10"/>
      <c r="D57" s="1"/>
      <c r="E57" s="1"/>
      <c r="F57" s="1"/>
      <c r="G57" s="1"/>
      <c r="H57" s="1"/>
      <c r="I57" s="1"/>
    </row>
  </sheetData>
  <sheetProtection sheet="1" objects="1" scenarios="1"/>
  <mergeCells count="2">
    <mergeCell ref="G6:G7"/>
    <mergeCell ref="H6:H7"/>
  </mergeCells>
  <phoneticPr fontId="0" type="noConversion"/>
  <pageMargins left="1.1200000000000001" right="0.5" top="0.74" bottom="0.34" header="0.5" footer="0"/>
  <pageSetup scale="58" orientation="portrait" blackAndWhite="1" horizontalDpi="120" r:id="rId1"/>
  <headerFooter alignWithMargins="0">
    <oddHeader xml:space="preserve">&amp;RState of Kansas
County
</oddHeader>
  </headerFooter>
</worksheet>
</file>

<file path=xl/worksheets/sheet44.xml><?xml version="1.0" encoding="utf-8"?>
<worksheet xmlns="http://schemas.openxmlformats.org/spreadsheetml/2006/main" xmlns:r="http://schemas.openxmlformats.org/officeDocument/2006/relationships">
  <sheetPr>
    <pageSetUpPr fitToPage="1"/>
  </sheetPr>
  <dimension ref="A1:F52"/>
  <sheetViews>
    <sheetView workbookViewId="0">
      <selection activeCell="I56" sqref="I56"/>
    </sheetView>
  </sheetViews>
  <sheetFormatPr defaultColWidth="8.88671875" defaultRowHeight="15"/>
  <cols>
    <col min="1" max="1" width="9.21875" style="165" customWidth="1"/>
    <col min="2" max="2" width="18.5546875" style="165" customWidth="1"/>
    <col min="3" max="3" width="11.77734375" style="165" customWidth="1"/>
    <col min="4" max="4" width="12.77734375" style="165" customWidth="1"/>
    <col min="5" max="5" width="11.77734375" style="165" customWidth="1"/>
    <col min="6" max="16384" width="8.88671875" style="165"/>
  </cols>
  <sheetData>
    <row r="1" spans="1:6" ht="15.75">
      <c r="A1" s="228" t="str">
        <f>inputPrYr!C2</f>
        <v>Franklin County</v>
      </c>
      <c r="B1" s="85"/>
      <c r="C1" s="85"/>
      <c r="D1" s="85"/>
      <c r="E1" s="85"/>
      <c r="F1" s="326">
        <f>inputPrYr!C4</f>
        <v>2013</v>
      </c>
    </row>
    <row r="2" spans="1:6" ht="15.75">
      <c r="A2" s="85"/>
      <c r="B2" s="85"/>
      <c r="C2" s="85"/>
      <c r="D2" s="85"/>
      <c r="E2" s="85"/>
      <c r="F2" s="85"/>
    </row>
    <row r="3" spans="1:6" ht="15.75">
      <c r="A3" s="85"/>
      <c r="B3" s="763" t="str">
        <f>CONCATENATE("",F1," Neighborhood Revitalization Rebate")</f>
        <v>2013 Neighborhood Revitalization Rebate</v>
      </c>
      <c r="C3" s="807"/>
      <c r="D3" s="807"/>
      <c r="E3" s="807"/>
      <c r="F3" s="85"/>
    </row>
    <row r="4" spans="1:6" ht="15.75">
      <c r="A4" s="85"/>
      <c r="B4" s="85"/>
      <c r="C4" s="85"/>
      <c r="D4" s="85"/>
      <c r="E4" s="85"/>
      <c r="F4" s="85"/>
    </row>
    <row r="5" spans="1:6" ht="51" customHeight="1">
      <c r="A5" s="85"/>
      <c r="B5" s="395" t="str">
        <f>CONCATENATE("Budgeted Funds                       for ",F1,"")</f>
        <v>Budgeted Funds                       for 2013</v>
      </c>
      <c r="C5" s="395" t="str">
        <f>CONCATENATE("",F1-1," Ad Valorem before Rebate**")</f>
        <v>2012 Ad Valorem before Rebate**</v>
      </c>
      <c r="D5" s="396" t="str">
        <f>CONCATENATE("",F1-1," Mil Rate before Rebate")</f>
        <v>2012 Mil Rate before Rebate</v>
      </c>
      <c r="E5" s="397" t="str">
        <f>CONCATENATE("Estimate ",F1," NR Rebate")</f>
        <v>Estimate 2013 NR Rebate</v>
      </c>
      <c r="F5" s="137"/>
    </row>
    <row r="6" spans="1:6" ht="15.75">
      <c r="A6" s="85"/>
      <c r="B6" s="103" t="str">
        <f>inputPrYr!B16</f>
        <v>General</v>
      </c>
      <c r="C6" s="398">
        <v>3669976</v>
      </c>
      <c r="D6" s="399">
        <f>IF(C6&gt;0,C6/$D$36,"")</f>
        <v>17.217081518868213</v>
      </c>
      <c r="E6" s="279">
        <f t="shared" ref="E6:E30" si="0">IF(C6&gt;0,ROUND(D6*$D$40,0),"")</f>
        <v>10215</v>
      </c>
      <c r="F6" s="137"/>
    </row>
    <row r="7" spans="1:6" ht="15.75">
      <c r="A7" s="85"/>
      <c r="B7" s="103" t="str">
        <f>inputPrYr!B17</f>
        <v>Debt Service</v>
      </c>
      <c r="C7" s="398">
        <v>1007390</v>
      </c>
      <c r="D7" s="399">
        <f t="shared" ref="D7:D30" si="1">IF(C7&gt;0,C7/$D$36,"")</f>
        <v>4.7260025000960901</v>
      </c>
      <c r="E7" s="279">
        <f t="shared" si="0"/>
        <v>2804</v>
      </c>
      <c r="F7" s="137"/>
    </row>
    <row r="8" spans="1:6" ht="15.75">
      <c r="A8" s="85"/>
      <c r="B8" s="103" t="str">
        <f>inputPrYr!B18</f>
        <v>Road &amp; Bridge</v>
      </c>
      <c r="C8" s="398">
        <v>3379745</v>
      </c>
      <c r="D8" s="399">
        <f t="shared" si="1"/>
        <v>15.855511092712117</v>
      </c>
      <c r="E8" s="279">
        <f t="shared" si="0"/>
        <v>9407</v>
      </c>
      <c r="F8" s="137"/>
    </row>
    <row r="9" spans="1:6" ht="15.75">
      <c r="A9" s="85"/>
      <c r="B9" s="103" t="str">
        <f>inputPrYr!B19</f>
        <v>Special Road and Bridge</v>
      </c>
      <c r="C9" s="398">
        <v>0</v>
      </c>
      <c r="D9" s="399" t="str">
        <f t="shared" si="1"/>
        <v/>
      </c>
      <c r="E9" s="279" t="str">
        <f t="shared" si="0"/>
        <v/>
      </c>
      <c r="F9" s="137"/>
    </row>
    <row r="10" spans="1:6" ht="15.75">
      <c r="A10" s="85"/>
      <c r="B10" s="103" t="str">
        <f>inputPrYr!B20</f>
        <v>Ambulance</v>
      </c>
      <c r="C10" s="398">
        <v>644113</v>
      </c>
      <c r="D10" s="399">
        <f t="shared" si="1"/>
        <v>3.0217489237975292</v>
      </c>
      <c r="E10" s="279">
        <f t="shared" si="0"/>
        <v>1793</v>
      </c>
      <c r="F10" s="137"/>
    </row>
    <row r="11" spans="1:6" ht="15.75">
      <c r="A11" s="85"/>
      <c r="B11" s="103" t="str">
        <f>inputPrYr!B21</f>
        <v>Appraisal</v>
      </c>
      <c r="C11" s="398">
        <v>0</v>
      </c>
      <c r="D11" s="399" t="str">
        <f t="shared" si="1"/>
        <v/>
      </c>
      <c r="E11" s="279" t="str">
        <f t="shared" si="0"/>
        <v/>
      </c>
      <c r="F11" s="137"/>
    </row>
    <row r="12" spans="1:6" ht="15.75">
      <c r="A12" s="85"/>
      <c r="B12" s="103" t="str">
        <f>inputPrYr!B22</f>
        <v>County Building</v>
      </c>
      <c r="C12" s="400">
        <v>360745</v>
      </c>
      <c r="D12" s="399">
        <f t="shared" si="1"/>
        <v>1.692375119762122</v>
      </c>
      <c r="E12" s="279">
        <f t="shared" si="0"/>
        <v>1004</v>
      </c>
      <c r="F12" s="137"/>
    </row>
    <row r="13" spans="1:6" ht="15.75">
      <c r="A13" s="85"/>
      <c r="B13" s="103" t="str">
        <f>inputPrYr!B23</f>
        <v>Election</v>
      </c>
      <c r="C13" s="400">
        <v>104719</v>
      </c>
      <c r="D13" s="399">
        <f t="shared" si="1"/>
        <v>0.49127175751949337</v>
      </c>
      <c r="E13" s="279">
        <f t="shared" si="0"/>
        <v>291</v>
      </c>
      <c r="F13" s="137"/>
    </row>
    <row r="14" spans="1:6" ht="15.75">
      <c r="A14" s="85"/>
      <c r="B14" s="103" t="str">
        <f>inputPrYr!B24</f>
        <v>Employee Benefit</v>
      </c>
      <c r="C14" s="400">
        <v>2697514</v>
      </c>
      <c r="D14" s="399">
        <f t="shared" si="1"/>
        <v>12.654937916838765</v>
      </c>
      <c r="E14" s="279">
        <f t="shared" si="0"/>
        <v>7508</v>
      </c>
      <c r="F14" s="137"/>
    </row>
    <row r="15" spans="1:6" ht="15.75">
      <c r="A15" s="85"/>
      <c r="B15" s="103" t="str">
        <f>inputPrYr!B25</f>
        <v>Health Department</v>
      </c>
      <c r="C15" s="400">
        <v>408267</v>
      </c>
      <c r="D15" s="399">
        <f t="shared" si="1"/>
        <v>1.9153166724969777</v>
      </c>
      <c r="E15" s="279">
        <f t="shared" si="0"/>
        <v>1136</v>
      </c>
      <c r="F15" s="137"/>
    </row>
    <row r="16" spans="1:6" ht="15.75">
      <c r="A16" s="85"/>
      <c r="B16" s="103" t="str">
        <f>inputPrYr!B26</f>
        <v>Noxious Weeds</v>
      </c>
      <c r="C16" s="400">
        <v>128311</v>
      </c>
      <c r="D16" s="399">
        <f t="shared" si="1"/>
        <v>0.60194969851778302</v>
      </c>
      <c r="E16" s="279">
        <f t="shared" si="0"/>
        <v>357</v>
      </c>
      <c r="F16" s="137"/>
    </row>
    <row r="17" spans="1:6" ht="15.75">
      <c r="A17" s="85"/>
      <c r="B17" s="103" t="str">
        <f>inputPrYr!B27</f>
        <v>Special Liability</v>
      </c>
      <c r="C17" s="400">
        <v>115612</v>
      </c>
      <c r="D17" s="399">
        <f t="shared" si="1"/>
        <v>0.54237445382732519</v>
      </c>
      <c r="E17" s="279">
        <f t="shared" si="0"/>
        <v>322</v>
      </c>
      <c r="F17" s="137"/>
    </row>
    <row r="18" spans="1:6" ht="15.75">
      <c r="A18" s="85"/>
      <c r="B18" s="103" t="str">
        <f>inputPrYr!B28</f>
        <v>Conservation District</v>
      </c>
      <c r="C18" s="400">
        <v>0</v>
      </c>
      <c r="D18" s="399" t="str">
        <f t="shared" si="1"/>
        <v/>
      </c>
      <c r="E18" s="279" t="str">
        <f t="shared" si="0"/>
        <v/>
      </c>
      <c r="F18" s="137"/>
    </row>
    <row r="19" spans="1:6" ht="15.75">
      <c r="A19" s="85"/>
      <c r="B19" s="103" t="str">
        <f>inputPrYr!B29</f>
        <v>Service for the Elderly</v>
      </c>
      <c r="C19" s="400">
        <v>0</v>
      </c>
      <c r="D19" s="399" t="str">
        <f t="shared" si="1"/>
        <v/>
      </c>
      <c r="E19" s="279" t="str">
        <f t="shared" si="0"/>
        <v/>
      </c>
      <c r="F19" s="137"/>
    </row>
    <row r="20" spans="1:6" ht="15.75">
      <c r="A20" s="85"/>
      <c r="B20" s="103" t="str">
        <f>inputPrYr!B30</f>
        <v>Extension Council</v>
      </c>
      <c r="C20" s="400">
        <v>0</v>
      </c>
      <c r="D20" s="399" t="str">
        <f t="shared" si="1"/>
        <v/>
      </c>
      <c r="E20" s="279" t="str">
        <f t="shared" si="0"/>
        <v/>
      </c>
      <c r="F20" s="137"/>
    </row>
    <row r="21" spans="1:6" ht="15.75">
      <c r="A21" s="85"/>
      <c r="B21" s="103" t="str">
        <f>inputPrYr!B31</f>
        <v>Fair Premium</v>
      </c>
      <c r="C21" s="400">
        <v>6066</v>
      </c>
      <c r="D21" s="399">
        <f t="shared" si="1"/>
        <v>2.8457629285165507E-2</v>
      </c>
      <c r="E21" s="279">
        <f t="shared" si="0"/>
        <v>17</v>
      </c>
      <c r="F21" s="137"/>
    </row>
    <row r="22" spans="1:6" ht="15.75">
      <c r="A22" s="85"/>
      <c r="B22" s="103" t="str">
        <f>inputPrYr!B32</f>
        <v>Fair Building</v>
      </c>
      <c r="C22" s="400">
        <v>6073</v>
      </c>
      <c r="D22" s="399">
        <f t="shared" si="1"/>
        <v>2.8490468619981887E-2</v>
      </c>
      <c r="E22" s="279">
        <f t="shared" si="0"/>
        <v>17</v>
      </c>
      <c r="F22" s="137"/>
    </row>
    <row r="23" spans="1:6" ht="15.75">
      <c r="A23" s="85"/>
      <c r="B23" s="103" t="str">
        <f>inputPrYr!B33</f>
        <v>Historical Society</v>
      </c>
      <c r="C23" s="400">
        <v>60061</v>
      </c>
      <c r="D23" s="399">
        <f t="shared" si="1"/>
        <v>0.28176618405808201</v>
      </c>
      <c r="E23" s="279">
        <f t="shared" si="0"/>
        <v>167</v>
      </c>
      <c r="F23" s="137"/>
    </row>
    <row r="24" spans="1:6" ht="15.75">
      <c r="A24" s="85"/>
      <c r="B24" s="103" t="str">
        <f>inputPrYr!B34</f>
        <v>Mental Health</v>
      </c>
      <c r="C24" s="400">
        <v>0</v>
      </c>
      <c r="D24" s="399" t="str">
        <f t="shared" si="1"/>
        <v/>
      </c>
      <c r="E24" s="279" t="str">
        <f t="shared" si="0"/>
        <v/>
      </c>
      <c r="F24" s="137"/>
    </row>
    <row r="25" spans="1:6" ht="15.75">
      <c r="A25" s="85"/>
      <c r="B25" s="103" t="str">
        <f>inputPrYr!B35</f>
        <v>Developmental Disabilities</v>
      </c>
      <c r="C25" s="400">
        <v>0</v>
      </c>
      <c r="D25" s="399" t="str">
        <f t="shared" si="1"/>
        <v/>
      </c>
      <c r="E25" s="279" t="str">
        <f t="shared" si="0"/>
        <v/>
      </c>
      <c r="F25" s="137"/>
    </row>
    <row r="26" spans="1:6" ht="15.75">
      <c r="A26" s="85"/>
      <c r="B26" s="103">
        <f>inputPrYr!B36</f>
        <v>0</v>
      </c>
      <c r="C26" s="400"/>
      <c r="D26" s="399" t="str">
        <f t="shared" si="1"/>
        <v/>
      </c>
      <c r="E26" s="279" t="str">
        <f t="shared" si="0"/>
        <v/>
      </c>
      <c r="F26" s="137"/>
    </row>
    <row r="27" spans="1:6" ht="15.75">
      <c r="A27" s="85"/>
      <c r="B27" s="103">
        <f>inputPrYr!B37</f>
        <v>0</v>
      </c>
      <c r="C27" s="400"/>
      <c r="D27" s="399" t="str">
        <f t="shared" si="1"/>
        <v/>
      </c>
      <c r="E27" s="279" t="str">
        <f t="shared" si="0"/>
        <v/>
      </c>
      <c r="F27" s="137"/>
    </row>
    <row r="28" spans="1:6" ht="15.75">
      <c r="A28" s="85"/>
      <c r="B28" s="103">
        <f>inputPrYr!B38</f>
        <v>0</v>
      </c>
      <c r="C28" s="400"/>
      <c r="D28" s="399" t="str">
        <f t="shared" si="1"/>
        <v/>
      </c>
      <c r="E28" s="279" t="str">
        <f t="shared" si="0"/>
        <v/>
      </c>
      <c r="F28" s="137"/>
    </row>
    <row r="29" spans="1:6" ht="15.75">
      <c r="A29" s="85"/>
      <c r="B29" s="103">
        <f>inputPrYr!B39</f>
        <v>0</v>
      </c>
      <c r="C29" s="400"/>
      <c r="D29" s="399" t="str">
        <f t="shared" si="1"/>
        <v/>
      </c>
      <c r="E29" s="279" t="str">
        <f t="shared" si="0"/>
        <v/>
      </c>
      <c r="F29" s="137"/>
    </row>
    <row r="30" spans="1:6" ht="15.75">
      <c r="A30" s="85"/>
      <c r="B30" s="103">
        <f>inputPrYr!B40</f>
        <v>0</v>
      </c>
      <c r="C30" s="400"/>
      <c r="D30" s="399" t="str">
        <f t="shared" si="1"/>
        <v/>
      </c>
      <c r="E30" s="279" t="str">
        <f t="shared" si="0"/>
        <v/>
      </c>
      <c r="F30" s="137"/>
    </row>
    <row r="31" spans="1:6" ht="16.5" thickBot="1">
      <c r="A31" s="85"/>
      <c r="B31" s="108" t="s">
        <v>152</v>
      </c>
      <c r="C31" s="401">
        <f>SUM(C6:C30)</f>
        <v>12588592</v>
      </c>
      <c r="D31" s="402">
        <f>SUM(D6:D30)</f>
        <v>59.057283936399656</v>
      </c>
      <c r="E31" s="401">
        <f>SUM(E6:E30)</f>
        <v>35038</v>
      </c>
      <c r="F31" s="137"/>
    </row>
    <row r="32" spans="1:6" ht="16.5" thickTop="1">
      <c r="A32" s="85"/>
      <c r="B32" s="85"/>
      <c r="C32" s="85"/>
      <c r="D32" s="85"/>
      <c r="E32" s="85"/>
      <c r="F32" s="137"/>
    </row>
    <row r="33" spans="1:6" ht="15.75">
      <c r="A33" s="85"/>
      <c r="B33" s="85"/>
      <c r="C33" s="85"/>
      <c r="D33" s="85"/>
      <c r="E33" s="85"/>
      <c r="F33" s="137"/>
    </row>
    <row r="34" spans="1:6" ht="15.75">
      <c r="A34" s="808" t="str">
        <f>CONCATENATE("",F1-1," July 1 Valuation:")</f>
        <v>2012 July 1 Valuation:</v>
      </c>
      <c r="B34" s="783"/>
      <c r="C34" s="808"/>
      <c r="D34" s="403">
        <f>inputOth!E6</f>
        <v>213159007</v>
      </c>
      <c r="E34" s="85"/>
      <c r="F34" s="137"/>
    </row>
    <row r="35" spans="1:6" ht="15.75">
      <c r="A35" s="85"/>
      <c r="B35" s="85"/>
      <c r="C35" s="85"/>
      <c r="D35" s="85"/>
      <c r="E35" s="85"/>
      <c r="F35" s="137"/>
    </row>
    <row r="36" spans="1:6" ht="15.75">
      <c r="A36" s="85"/>
      <c r="B36" s="808" t="s">
        <v>408</v>
      </c>
      <c r="C36" s="808"/>
      <c r="D36" s="404">
        <f>IF(D34&gt;0,(D34*0.001),"")</f>
        <v>213159.00700000001</v>
      </c>
      <c r="E36" s="85"/>
      <c r="F36" s="137"/>
    </row>
    <row r="37" spans="1:6" ht="15.75">
      <c r="A37" s="85"/>
      <c r="B37" s="287"/>
      <c r="C37" s="287"/>
      <c r="D37" s="405"/>
      <c r="E37" s="85"/>
      <c r="F37" s="137"/>
    </row>
    <row r="38" spans="1:6" ht="15.75">
      <c r="A38" s="806" t="s">
        <v>409</v>
      </c>
      <c r="B38" s="755"/>
      <c r="C38" s="755"/>
      <c r="D38" s="406">
        <f>inputOth!E12</f>
        <v>593278</v>
      </c>
      <c r="E38" s="154"/>
      <c r="F38" s="154"/>
    </row>
    <row r="39" spans="1:6">
      <c r="A39" s="154"/>
      <c r="B39" s="154"/>
      <c r="C39" s="154"/>
      <c r="D39" s="407"/>
      <c r="E39" s="154"/>
      <c r="F39" s="154"/>
    </row>
    <row r="40" spans="1:6" ht="15.75">
      <c r="A40" s="154"/>
      <c r="B40" s="806" t="s">
        <v>410</v>
      </c>
      <c r="C40" s="783"/>
      <c r="D40" s="408">
        <f>IF(D38&gt;0,(D38*0.001),"")</f>
        <v>593.27800000000002</v>
      </c>
      <c r="E40" s="154"/>
      <c r="F40" s="154"/>
    </row>
    <row r="41" spans="1:6">
      <c r="A41" s="154"/>
      <c r="B41" s="154"/>
      <c r="C41" s="154"/>
      <c r="D41" s="154"/>
      <c r="E41" s="154"/>
      <c r="F41" s="154"/>
    </row>
    <row r="42" spans="1:6">
      <c r="A42" s="154"/>
      <c r="B42" s="154"/>
      <c r="C42" s="154"/>
      <c r="D42" s="154"/>
      <c r="E42" s="154"/>
      <c r="F42" s="154"/>
    </row>
    <row r="43" spans="1:6" ht="15.75">
      <c r="A43" s="28" t="str">
        <f>CONCATENATE("**This information comes from the ",F1," Budget Summary page.  See instructions tab #11 for completing")</f>
        <v>**This information comes from the 2013 Budget Summary page.  See instructions tab #11 for completing</v>
      </c>
      <c r="B43" s="154"/>
      <c r="C43" s="154"/>
      <c r="D43" s="154"/>
      <c r="E43" s="154"/>
      <c r="F43" s="154"/>
    </row>
    <row r="44" spans="1:6" ht="15.75">
      <c r="A44" s="28" t="s">
        <v>654</v>
      </c>
      <c r="B44" s="154"/>
      <c r="C44" s="154"/>
      <c r="D44" s="154"/>
      <c r="E44" s="154"/>
      <c r="F44" s="154"/>
    </row>
    <row r="45" spans="1:6" ht="15.75">
      <c r="A45" s="28"/>
      <c r="B45" s="154"/>
      <c r="C45" s="154"/>
      <c r="D45" s="154"/>
      <c r="E45" s="154"/>
      <c r="F45" s="154"/>
    </row>
    <row r="46" spans="1:6" ht="15.75">
      <c r="A46" s="28"/>
      <c r="B46" s="154"/>
      <c r="C46" s="154"/>
      <c r="D46" s="154"/>
      <c r="E46" s="154"/>
      <c r="F46" s="154"/>
    </row>
    <row r="47" spans="1:6" ht="15.75">
      <c r="A47" s="28"/>
      <c r="B47" s="154"/>
      <c r="C47" s="154"/>
      <c r="D47" s="154"/>
      <c r="E47" s="154"/>
      <c r="F47" s="154"/>
    </row>
    <row r="48" spans="1:6" ht="15.75">
      <c r="A48" s="28"/>
      <c r="B48" s="154"/>
      <c r="C48" s="154"/>
      <c r="D48" s="154"/>
      <c r="E48" s="154"/>
      <c r="F48" s="154"/>
    </row>
    <row r="49" spans="1:6">
      <c r="A49" s="154"/>
      <c r="B49" s="154"/>
      <c r="C49" s="154"/>
      <c r="D49" s="154"/>
      <c r="E49" s="154"/>
      <c r="F49" s="154"/>
    </row>
    <row r="50" spans="1:6">
      <c r="A50" s="154"/>
      <c r="B50" s="154"/>
      <c r="C50" s="154"/>
      <c r="D50" s="154"/>
      <c r="E50" s="154"/>
      <c r="F50" s="154"/>
    </row>
    <row r="51" spans="1:6" ht="15.75">
      <c r="A51" s="154"/>
      <c r="B51" s="322" t="s">
        <v>190</v>
      </c>
      <c r="C51" s="349"/>
      <c r="D51" s="154"/>
      <c r="E51" s="154"/>
      <c r="F51" s="154"/>
    </row>
    <row r="52" spans="1:6" ht="15.75">
      <c r="A52" s="137"/>
      <c r="B52" s="85"/>
      <c r="C52" s="85"/>
      <c r="D52" s="409"/>
      <c r="E52" s="137"/>
      <c r="F52" s="137"/>
    </row>
  </sheetData>
  <sheetProtection sheet="1"/>
  <mergeCells count="5">
    <mergeCell ref="B40:C40"/>
    <mergeCell ref="B3:E3"/>
    <mergeCell ref="A34:C34"/>
    <mergeCell ref="B36:C36"/>
    <mergeCell ref="A38:C38"/>
  </mergeCells>
  <phoneticPr fontId="8" type="noConversion"/>
  <pageMargins left="0.75" right="0.75" top="1" bottom="1" header="0.5" footer="0.5"/>
  <pageSetup scale="77" orientation="portrait" blackAndWhite="1" r:id="rId1"/>
  <headerFooter alignWithMargins="0">
    <oddHeader>&amp;RState of Kansas
County</oddHeader>
  </headerFooter>
</worksheet>
</file>

<file path=xl/worksheets/sheet45.xml><?xml version="1.0" encoding="utf-8"?>
<worksheet xmlns="http://schemas.openxmlformats.org/spreadsheetml/2006/main" xmlns:r="http://schemas.openxmlformats.org/officeDocument/2006/relationships">
  <sheetPr codeName="Sheet34"/>
  <dimension ref="A1:H72"/>
  <sheetViews>
    <sheetView workbookViewId="0">
      <selection activeCell="A20" sqref="A20:H21"/>
    </sheetView>
  </sheetViews>
  <sheetFormatPr defaultColWidth="9.77734375" defaultRowHeight="15.75"/>
  <cols>
    <col min="1" max="16384" width="9.77734375" style="40"/>
  </cols>
  <sheetData>
    <row r="1" spans="1:8" ht="11.25" customHeight="1">
      <c r="A1" s="36"/>
      <c r="B1" s="37"/>
      <c r="C1" s="37"/>
      <c r="D1" s="37"/>
      <c r="E1" s="37"/>
      <c r="F1" s="37"/>
      <c r="G1" s="38"/>
      <c r="H1" s="39"/>
    </row>
    <row r="2" spans="1:8" ht="15.75" customHeight="1">
      <c r="A2" s="809" t="s">
        <v>296</v>
      </c>
      <c r="B2" s="809"/>
      <c r="C2" s="809"/>
      <c r="D2" s="809"/>
      <c r="E2" s="809"/>
      <c r="F2" s="809"/>
      <c r="G2" s="809"/>
      <c r="H2" s="809"/>
    </row>
    <row r="3" spans="1:8" ht="9" customHeight="1">
      <c r="A3" s="36"/>
      <c r="B3" s="54"/>
      <c r="C3" s="54"/>
      <c r="D3" s="54"/>
      <c r="E3" s="54"/>
      <c r="F3" s="54"/>
      <c r="G3" s="41"/>
      <c r="H3" s="55"/>
    </row>
    <row r="4" spans="1:8" ht="15.75" customHeight="1">
      <c r="A4" s="810" t="s">
        <v>297</v>
      </c>
      <c r="B4" s="810"/>
      <c r="C4" s="810"/>
      <c r="D4" s="810"/>
      <c r="E4" s="810"/>
      <c r="F4" s="810"/>
      <c r="G4" s="810"/>
      <c r="H4" s="810"/>
    </row>
    <row r="5" spans="1:8" ht="9" customHeight="1">
      <c r="A5" s="42"/>
      <c r="B5" s="54"/>
      <c r="C5" s="54"/>
      <c r="D5" s="54"/>
      <c r="E5" s="54"/>
      <c r="F5" s="54"/>
      <c r="G5" s="54"/>
      <c r="H5" s="55"/>
    </row>
    <row r="6" spans="1:8" ht="15.75" customHeight="1">
      <c r="A6" s="43" t="str">
        <f>CONCATENATE("A resolution expressing the property taxation policy of the Board of ",(inputPrYr!C2)," Commissioners")</f>
        <v>A resolution expressing the property taxation policy of the Board of Franklin County Commissioners</v>
      </c>
      <c r="B6" s="54"/>
      <c r="C6" s="54"/>
      <c r="D6" s="54"/>
      <c r="E6" s="54"/>
      <c r="F6" s="54"/>
      <c r="G6" s="54"/>
      <c r="H6" s="55"/>
    </row>
    <row r="7" spans="1:8" ht="15.75" customHeight="1">
      <c r="A7" s="43" t="str">
        <f>CONCATENATE("with respect to financing the ",inputPrYr!C4," annual budget for ",(inputPrYr!E2)," .")</f>
        <v>with respect to financing the 2013 annual budget for  .</v>
      </c>
      <c r="B7" s="54"/>
      <c r="C7" s="54"/>
      <c r="D7" s="54"/>
      <c r="E7" s="54"/>
      <c r="F7" s="54"/>
      <c r="G7" s="54"/>
      <c r="H7" s="55"/>
    </row>
    <row r="8" spans="1:8" ht="9" customHeight="1">
      <c r="A8" s="36"/>
      <c r="B8" s="54"/>
      <c r="C8" s="54"/>
      <c r="D8" s="54"/>
      <c r="E8" s="54"/>
      <c r="F8" s="54"/>
      <c r="G8" s="54"/>
      <c r="H8" s="55"/>
    </row>
    <row r="9" spans="1:8" ht="15.75" customHeight="1">
      <c r="A9" s="44" t="str">
        <f>CONCATENATE("Whereas, K.S.A. 79-2925b provides that a resolution be adopted if property taxes levied to finance the ",inputPrYr!C4,"")</f>
        <v>Whereas, K.S.A. 79-2925b provides that a resolution be adopted if property taxes levied to finance the 2013</v>
      </c>
      <c r="B9" s="54"/>
      <c r="C9" s="54"/>
      <c r="D9" s="54"/>
      <c r="E9" s="54"/>
      <c r="F9" s="54"/>
      <c r="G9" s="54"/>
      <c r="H9" s="55"/>
    </row>
    <row r="10" spans="1:8" ht="15.75" customHeight="1">
      <c r="A10" s="812" t="str">
        <f>CONCATENATE("",(inputPrYr!C2)," budget exceed the amount levied to finance the ",inputPrYr!C4-1," ",(inputPrYr!C2)," ",A16,)</f>
        <v>Franklin County budget exceed the amount levied to finance the 2012 Franklin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812"/>
      <c r="C10" s="812"/>
      <c r="D10" s="812"/>
      <c r="E10" s="812"/>
      <c r="F10" s="812"/>
      <c r="G10" s="812"/>
      <c r="H10" s="812"/>
    </row>
    <row r="11" spans="1:8" ht="15.75" customHeight="1">
      <c r="A11" s="812"/>
      <c r="B11" s="812"/>
      <c r="C11" s="812"/>
      <c r="D11" s="812"/>
      <c r="E11" s="812"/>
      <c r="F11" s="812"/>
      <c r="G11" s="812"/>
      <c r="H11" s="812"/>
    </row>
    <row r="12" spans="1:8" ht="15.75" customHeight="1">
      <c r="A12" s="812"/>
      <c r="B12" s="812"/>
      <c r="C12" s="812"/>
      <c r="D12" s="812"/>
      <c r="E12" s="812"/>
      <c r="F12" s="812"/>
      <c r="G12" s="812"/>
      <c r="H12" s="812"/>
    </row>
    <row r="13" spans="1:8" ht="15.75" customHeight="1">
      <c r="A13" s="812"/>
      <c r="B13" s="812"/>
      <c r="C13" s="812"/>
      <c r="D13" s="812"/>
      <c r="E13" s="812"/>
      <c r="F13" s="812"/>
      <c r="G13" s="812"/>
      <c r="H13" s="812"/>
    </row>
    <row r="14" spans="1:8" ht="15.75" customHeight="1">
      <c r="A14" s="812"/>
      <c r="B14" s="812"/>
      <c r="C14" s="812"/>
      <c r="D14" s="812"/>
      <c r="E14" s="812"/>
      <c r="F14" s="812"/>
      <c r="G14" s="812"/>
      <c r="H14" s="812"/>
    </row>
    <row r="15" spans="1:8" ht="15.75" customHeight="1">
      <c r="A15" s="812"/>
      <c r="B15" s="812"/>
      <c r="C15" s="812"/>
      <c r="D15" s="812"/>
      <c r="E15" s="812"/>
      <c r="F15" s="812"/>
      <c r="G15" s="812"/>
      <c r="H15" s="812"/>
    </row>
    <row r="16" spans="1:8" ht="9" customHeight="1">
      <c r="A16" s="56" t="s">
        <v>324</v>
      </c>
      <c r="B16" s="54"/>
      <c r="C16" s="54"/>
      <c r="D16" s="54"/>
      <c r="E16" s="54"/>
      <c r="F16" s="54"/>
      <c r="G16" s="54"/>
      <c r="H16" s="55" t="s">
        <v>191</v>
      </c>
    </row>
    <row r="17" spans="1:8" ht="15.75" customHeight="1">
      <c r="A17" s="812" t="s">
        <v>298</v>
      </c>
      <c r="B17" s="812"/>
      <c r="C17" s="812"/>
      <c r="D17" s="812"/>
      <c r="E17" s="812"/>
      <c r="F17" s="812"/>
      <c r="G17" s="812"/>
      <c r="H17" s="812"/>
    </row>
    <row r="18" spans="1:8" ht="15.75" customHeight="1">
      <c r="A18" s="812"/>
      <c r="B18" s="812"/>
      <c r="C18" s="812"/>
      <c r="D18" s="812"/>
      <c r="E18" s="812"/>
      <c r="F18" s="812"/>
      <c r="G18" s="812"/>
      <c r="H18" s="812"/>
    </row>
    <row r="19" spans="1:8" ht="9" customHeight="1">
      <c r="A19" s="42"/>
      <c r="B19" s="54"/>
      <c r="C19" s="54"/>
      <c r="D19" s="54"/>
      <c r="E19" s="54"/>
      <c r="F19" s="54"/>
      <c r="G19" s="54"/>
      <c r="H19" s="55"/>
    </row>
    <row r="20" spans="1:8" ht="15.75" customHeight="1">
      <c r="A20" s="812" t="str">
        <f>CONCATENATE("Whereas, ",(inputPrYr!C2)," provides the essential services to protect the health, safety, and well being of the citizens of the county; and")</f>
        <v>Whereas, Franklin County provides the essential services to protect the health, safety, and well being of the citizens of the county; and</v>
      </c>
      <c r="B20" s="812"/>
      <c r="C20" s="812"/>
      <c r="D20" s="812"/>
      <c r="E20" s="812"/>
      <c r="F20" s="812"/>
      <c r="G20" s="812"/>
      <c r="H20" s="812"/>
    </row>
    <row r="21" spans="1:8" ht="15.75" customHeight="1">
      <c r="A21" s="812"/>
      <c r="B21" s="812"/>
      <c r="C21" s="812"/>
      <c r="D21" s="812"/>
      <c r="E21" s="812"/>
      <c r="F21" s="812"/>
      <c r="G21" s="812"/>
      <c r="H21" s="812"/>
    </row>
    <row r="22" spans="1:8" ht="9" customHeight="1">
      <c r="A22" s="45"/>
      <c r="B22" s="54"/>
      <c r="C22" s="54"/>
      <c r="D22" s="54"/>
      <c r="E22" s="54"/>
      <c r="F22" s="54"/>
      <c r="G22" s="54"/>
      <c r="H22" s="55"/>
    </row>
    <row r="23" spans="1:8" ht="15.75" customHeight="1">
      <c r="A23" s="45" t="s">
        <v>299</v>
      </c>
      <c r="B23" s="54"/>
      <c r="C23" s="54"/>
      <c r="D23" s="54"/>
      <c r="E23" s="54"/>
      <c r="F23" s="54"/>
      <c r="G23" s="54"/>
      <c r="H23" s="55"/>
    </row>
    <row r="24" spans="1:8" ht="9" customHeight="1">
      <c r="A24" s="42"/>
      <c r="B24" s="54"/>
      <c r="C24" s="54"/>
      <c r="D24" s="54"/>
      <c r="E24" s="54"/>
      <c r="F24" s="54"/>
      <c r="G24" s="54"/>
      <c r="H24" s="55"/>
    </row>
    <row r="25" spans="1:8" ht="15.75" customHeight="1">
      <c r="A25" s="812" t="str">
        <f>CONCATENATE("Whereas, the ",inputPrYr!C4-1," Kansas State Legislature failed to fulfill its obligations in regard to the statutory funding of demand transfers and, by significantly ", A28," ",(inputPrYr!C2),B28)</f>
        <v>Whereas, the 2012 Kansas State Legislature failed to fulfill its obligations in regard to the statutory funding of demand transfers and, by significantly limiting state revenue sharing payments to counties, has contributed to higher county property tax levies to finance the 2013 Franklin County budget.</v>
      </c>
      <c r="B25" s="812"/>
      <c r="C25" s="812"/>
      <c r="D25" s="812"/>
      <c r="E25" s="812"/>
      <c r="F25" s="812"/>
      <c r="G25" s="812"/>
      <c r="H25" s="812"/>
    </row>
    <row r="26" spans="1:8" ht="15.75" customHeight="1">
      <c r="A26" s="812"/>
      <c r="B26" s="812"/>
      <c r="C26" s="812"/>
      <c r="D26" s="812"/>
      <c r="E26" s="812"/>
      <c r="F26" s="812"/>
      <c r="G26" s="812"/>
      <c r="H26" s="812"/>
    </row>
    <row r="27" spans="1:8" ht="15.75" customHeight="1">
      <c r="A27" s="812"/>
      <c r="B27" s="812"/>
      <c r="C27" s="812"/>
      <c r="D27" s="812"/>
      <c r="E27" s="812"/>
      <c r="F27" s="812"/>
      <c r="G27" s="812"/>
      <c r="H27" s="812"/>
    </row>
    <row r="28" spans="1:8" ht="9" customHeight="1">
      <c r="A28" s="46" t="str">
        <f>CONCATENATE("limiting state revenue sharing payments to counties, has contributed to higher county property tax levies to finance the ",inputPrYr!C4,"")</f>
        <v>limiting state revenue sharing payments to counties, has contributed to higher county property tax levies to finance the 2013</v>
      </c>
      <c r="B28" s="57" t="s">
        <v>325</v>
      </c>
      <c r="C28" s="6"/>
      <c r="D28" s="6"/>
      <c r="E28" s="6"/>
      <c r="F28" s="6"/>
      <c r="G28" s="6"/>
      <c r="H28" s="58"/>
    </row>
    <row r="29" spans="1:8" ht="15.75" customHeight="1">
      <c r="A29" s="812"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 A38,)</f>
        <v xml:space="preserve">NOW, THEREFORE, BE IT RESOLVED by the Board of Franklin County Commissioners that is our desire to notify the public of the possibility of increased property taxes to finance the 2013 Franklin County budget due to the above mentioned constraints, and that all persons are invited and encouraged to attend budget meeting conducted by the Board of Franklin County Commissioners.  The date and time of budget hearings with the Board of Franklin County Commissioners will be published in the _________ (newspaper).   Interested persons can also address questions concerning the budget to __________ (office) _______ by calling ___________ between the hours of ________ a.m. to ________ p.m., Monday through Fridays, excluding holidays.  </v>
      </c>
      <c r="B29" s="812"/>
      <c r="C29" s="812"/>
      <c r="D29" s="812"/>
      <c r="E29" s="812"/>
      <c r="F29" s="812"/>
      <c r="G29" s="812"/>
      <c r="H29" s="812"/>
    </row>
    <row r="30" spans="1:8" ht="15.75" customHeight="1">
      <c r="A30" s="812"/>
      <c r="B30" s="812"/>
      <c r="C30" s="812"/>
      <c r="D30" s="812"/>
      <c r="E30" s="812"/>
      <c r="F30" s="812"/>
      <c r="G30" s="812"/>
      <c r="H30" s="812"/>
    </row>
    <row r="31" spans="1:8" ht="15.75" customHeight="1">
      <c r="A31" s="812"/>
      <c r="B31" s="812"/>
      <c r="C31" s="812"/>
      <c r="D31" s="812"/>
      <c r="E31" s="812"/>
      <c r="F31" s="812"/>
      <c r="G31" s="812"/>
      <c r="H31" s="812"/>
    </row>
    <row r="32" spans="1:8" ht="15.75" customHeight="1">
      <c r="A32" s="812"/>
      <c r="B32" s="812"/>
      <c r="C32" s="812"/>
      <c r="D32" s="812"/>
      <c r="E32" s="812"/>
      <c r="F32" s="812"/>
      <c r="G32" s="812"/>
      <c r="H32" s="812"/>
    </row>
    <row r="33" spans="1:8" ht="15.75" customHeight="1">
      <c r="A33" s="812"/>
      <c r="B33" s="812"/>
      <c r="C33" s="812"/>
      <c r="D33" s="812"/>
      <c r="E33" s="812"/>
      <c r="F33" s="812"/>
      <c r="G33" s="812"/>
      <c r="H33" s="812"/>
    </row>
    <row r="34" spans="1:8" ht="15.75" customHeight="1">
      <c r="A34" s="812"/>
      <c r="B34" s="812"/>
      <c r="C34" s="812"/>
      <c r="D34" s="812"/>
      <c r="E34" s="812"/>
      <c r="F34" s="812"/>
      <c r="G34" s="812"/>
      <c r="H34" s="812"/>
    </row>
    <row r="35" spans="1:8" ht="15.75" customHeight="1">
      <c r="A35" s="812"/>
      <c r="B35" s="812"/>
      <c r="C35" s="812"/>
      <c r="D35" s="812"/>
      <c r="E35" s="812"/>
      <c r="F35" s="812"/>
      <c r="G35" s="812"/>
      <c r="H35" s="812"/>
    </row>
    <row r="36" spans="1:8" ht="15.75" customHeight="1">
      <c r="A36" s="812"/>
      <c r="B36" s="812"/>
      <c r="C36" s="812"/>
      <c r="D36" s="812"/>
      <c r="E36" s="812"/>
      <c r="F36" s="812"/>
      <c r="G36" s="812"/>
      <c r="H36" s="812"/>
    </row>
    <row r="37" spans="1:8" ht="15.75" customHeight="1">
      <c r="A37" s="812"/>
      <c r="B37" s="812"/>
      <c r="C37" s="812"/>
      <c r="D37" s="812"/>
      <c r="E37" s="812"/>
      <c r="F37" s="812"/>
      <c r="G37" s="812"/>
      <c r="H37" s="812"/>
    </row>
    <row r="38" spans="1:8" ht="15.75" customHeight="1">
      <c r="A38" s="47" t="s">
        <v>332</v>
      </c>
      <c r="B38" s="6"/>
      <c r="C38" s="6"/>
      <c r="D38" s="6"/>
      <c r="E38" s="6"/>
      <c r="F38" s="6"/>
      <c r="G38" s="6"/>
      <c r="H38" s="58" t="s">
        <v>191</v>
      </c>
    </row>
    <row r="39" spans="1:8" ht="15.75" customHeight="1">
      <c r="A39" s="811" t="str">
        <f>CONCATENATE("                                                 Adopted this _________ day of ___________, ",inputPrYr!C4-1," by the Board of ",(inputPrYr!C2)," Commissioners.")</f>
        <v xml:space="preserve">                                                 Adopted this _________ day of ___________, 2012 by the Board of Franklin County Commissioners.</v>
      </c>
      <c r="B39" s="811"/>
      <c r="C39" s="811"/>
      <c r="D39" s="811"/>
      <c r="E39" s="811"/>
      <c r="F39" s="811"/>
      <c r="G39" s="811"/>
      <c r="H39" s="811"/>
    </row>
    <row r="40" spans="1:8" ht="15.75" customHeight="1">
      <c r="A40" s="811"/>
      <c r="B40" s="811"/>
      <c r="C40" s="811"/>
      <c r="D40" s="811"/>
      <c r="E40" s="811"/>
      <c r="F40" s="811"/>
      <c r="G40" s="811"/>
      <c r="H40" s="811"/>
    </row>
    <row r="41" spans="1:8" ht="15.75" customHeight="1">
      <c r="A41" s="6"/>
      <c r="B41" s="6"/>
      <c r="C41" s="6"/>
      <c r="D41" s="6"/>
      <c r="E41" s="813" t="s">
        <v>300</v>
      </c>
      <c r="F41" s="813"/>
      <c r="G41" s="813"/>
      <c r="H41" s="813"/>
    </row>
    <row r="42" spans="1:8" ht="15.75" customHeight="1">
      <c r="A42" s="48"/>
      <c r="B42" s="6"/>
      <c r="C42" s="6"/>
      <c r="D42" s="6"/>
      <c r="E42" s="813"/>
      <c r="F42" s="813"/>
      <c r="G42" s="813"/>
      <c r="H42" s="813"/>
    </row>
    <row r="43" spans="1:8" ht="15.75" customHeight="1">
      <c r="A43" s="6"/>
      <c r="B43" s="6"/>
      <c r="C43" s="6"/>
      <c r="D43" s="6"/>
      <c r="E43" s="813" t="s">
        <v>301</v>
      </c>
      <c r="F43" s="813"/>
      <c r="G43" s="813"/>
      <c r="H43" s="813"/>
    </row>
    <row r="44" spans="1:8" ht="15.75" customHeight="1">
      <c r="A44" s="48"/>
      <c r="B44" s="6"/>
      <c r="C44" s="6"/>
      <c r="D44" s="6"/>
      <c r="E44" s="813"/>
      <c r="F44" s="813"/>
      <c r="G44" s="813"/>
      <c r="H44" s="813"/>
    </row>
    <row r="45" spans="1:8" ht="15.75" customHeight="1">
      <c r="A45" s="6"/>
      <c r="B45" s="6"/>
      <c r="C45" s="6"/>
      <c r="D45" s="6"/>
      <c r="E45" s="813" t="s">
        <v>301</v>
      </c>
      <c r="F45" s="813"/>
      <c r="G45" s="813"/>
      <c r="H45" s="813"/>
    </row>
    <row r="46" spans="1:8" ht="15.75" customHeight="1">
      <c r="A46" s="48"/>
      <c r="B46" s="6"/>
      <c r="C46" s="6"/>
      <c r="D46" s="6"/>
      <c r="E46" s="813"/>
      <c r="F46" s="813"/>
      <c r="G46" s="813"/>
      <c r="H46" s="813"/>
    </row>
    <row r="47" spans="1:8" ht="15.75" customHeight="1">
      <c r="A47" s="6"/>
      <c r="B47" s="6"/>
      <c r="C47" s="6"/>
      <c r="D47" s="6"/>
      <c r="E47" s="813" t="s">
        <v>301</v>
      </c>
      <c r="F47" s="813"/>
      <c r="G47" s="813"/>
      <c r="H47" s="813"/>
    </row>
    <row r="48" spans="1:8" ht="15.75" customHeight="1">
      <c r="A48" s="48"/>
      <c r="B48" s="6"/>
      <c r="C48" s="6"/>
      <c r="D48" s="6"/>
      <c r="E48" s="6"/>
      <c r="F48" s="6"/>
      <c r="G48" s="6"/>
      <c r="H48" s="58"/>
    </row>
    <row r="49" spans="1:8" ht="15.75" customHeight="1">
      <c r="A49" s="48" t="s">
        <v>302</v>
      </c>
      <c r="B49" s="6"/>
      <c r="C49" s="6"/>
      <c r="D49" s="6"/>
      <c r="E49" s="6"/>
      <c r="F49" s="6"/>
      <c r="G49" s="6"/>
      <c r="H49" s="58"/>
    </row>
    <row r="50" spans="1:8" ht="15.75" customHeight="1">
      <c r="A50" s="48"/>
      <c r="B50" s="6"/>
      <c r="C50" s="6"/>
      <c r="D50" s="6"/>
      <c r="E50" s="6"/>
      <c r="F50" s="6"/>
      <c r="G50" s="48"/>
      <c r="H50" s="58"/>
    </row>
    <row r="51" spans="1:8" ht="15.75" customHeight="1">
      <c r="A51" s="49" t="s">
        <v>303</v>
      </c>
      <c r="B51" s="2"/>
      <c r="C51" s="2"/>
      <c r="D51" s="2"/>
      <c r="E51" s="2"/>
      <c r="F51" s="2"/>
      <c r="G51" s="48"/>
      <c r="H51" s="58"/>
    </row>
    <row r="52" spans="1:8" ht="15.75" customHeight="1">
      <c r="A52" s="813" t="s">
        <v>304</v>
      </c>
      <c r="B52" s="813"/>
      <c r="C52" s="813"/>
      <c r="D52" s="2"/>
      <c r="E52" s="2"/>
      <c r="F52" s="2"/>
      <c r="G52" s="48"/>
      <c r="H52" s="58"/>
    </row>
    <row r="53" spans="1:8" ht="15.75" customHeight="1">
      <c r="A53" s="49"/>
      <c r="B53" s="2"/>
      <c r="C53" s="2"/>
      <c r="D53" s="2"/>
      <c r="E53" s="2"/>
      <c r="F53" s="2"/>
      <c r="G53" s="48"/>
      <c r="H53" s="58"/>
    </row>
    <row r="54" spans="1:8" ht="15.75" customHeight="1">
      <c r="A54" s="49"/>
      <c r="B54" s="2"/>
      <c r="C54" s="2"/>
      <c r="D54" s="2"/>
      <c r="E54" s="2"/>
      <c r="F54" s="2"/>
      <c r="G54" s="48"/>
      <c r="H54" s="58"/>
    </row>
    <row r="55" spans="1:8" ht="15.75" customHeight="1">
      <c r="A55" s="50" t="s">
        <v>305</v>
      </c>
      <c r="B55" s="2"/>
      <c r="C55" s="2"/>
      <c r="D55" s="60" t="s">
        <v>190</v>
      </c>
      <c r="E55" s="10"/>
      <c r="F55" s="2"/>
      <c r="G55" s="48"/>
      <c r="H55" s="58"/>
    </row>
    <row r="56" spans="1:8" ht="15" customHeight="1">
      <c r="A56" s="58"/>
      <c r="B56" s="58"/>
      <c r="C56" s="58"/>
      <c r="D56" s="58"/>
      <c r="E56" s="58"/>
      <c r="F56" s="58"/>
      <c r="G56" s="58"/>
      <c r="H56" s="58"/>
    </row>
    <row r="57" spans="1:8" ht="15" customHeight="1">
      <c r="A57" s="58"/>
      <c r="B57" s="58"/>
      <c r="C57" s="58"/>
      <c r="D57" s="58"/>
      <c r="E57" s="58"/>
      <c r="F57" s="58"/>
      <c r="G57" s="58"/>
      <c r="H57" s="58"/>
    </row>
    <row r="58" spans="1:8" ht="15" customHeight="1"/>
    <row r="59" spans="1:8" ht="15" customHeight="1"/>
    <row r="60" spans="1:8" ht="15" customHeight="1"/>
    <row r="61" spans="1:8" ht="15" customHeight="1"/>
    <row r="62" spans="1:8" ht="15" customHeight="1"/>
    <row r="63" spans="1:8" ht="15" customHeight="1"/>
    <row r="64" spans="1:8" ht="15" customHeight="1"/>
    <row r="65" ht="15" customHeight="1"/>
    <row r="66" ht="15" customHeight="1"/>
    <row r="67" ht="15" customHeight="1"/>
    <row r="68" ht="15" customHeight="1"/>
    <row r="69" ht="15" customHeight="1"/>
    <row r="70" ht="15" customHeight="1"/>
    <row r="71" ht="15" customHeight="1"/>
    <row r="72" ht="15" customHeight="1"/>
  </sheetData>
  <sheetProtection sheet="1"/>
  <mergeCells count="16">
    <mergeCell ref="E45:H45"/>
    <mergeCell ref="E46:H46"/>
    <mergeCell ref="E47:H47"/>
    <mergeCell ref="A52:C52"/>
    <mergeCell ref="E41:H41"/>
    <mergeCell ref="E42:H42"/>
    <mergeCell ref="E43:H43"/>
    <mergeCell ref="E44:H44"/>
    <mergeCell ref="A2:H2"/>
    <mergeCell ref="A4:H4"/>
    <mergeCell ref="A39:H40"/>
    <mergeCell ref="A10:H15"/>
    <mergeCell ref="A29:H37"/>
    <mergeCell ref="A17:H18"/>
    <mergeCell ref="A20:H21"/>
    <mergeCell ref="A25:H27"/>
  </mergeCells>
  <phoneticPr fontId="10" type="noConversion"/>
  <pageMargins left="0.37" right="0.27" top="0.5" bottom="0.51" header="0.5" footer="0.5"/>
  <pageSetup orientation="portrait" r:id="rId1"/>
  <headerFooter alignWithMargins="0"/>
</worksheet>
</file>

<file path=xl/worksheets/sheet46.xml><?xml version="1.0" encoding="utf-8"?>
<worksheet xmlns="http://schemas.openxmlformats.org/spreadsheetml/2006/main" xmlns:r="http://schemas.openxmlformats.org/officeDocument/2006/relationships">
  <sheetPr>
    <tabColor rgb="FFFF0000"/>
  </sheetPr>
  <dimension ref="A3:L85"/>
  <sheetViews>
    <sheetView workbookViewId="0">
      <selection activeCell="A2" sqref="A2"/>
    </sheetView>
  </sheetViews>
  <sheetFormatPr defaultRowHeight="15"/>
  <cols>
    <col min="1" max="1" width="71.33203125" customWidth="1"/>
  </cols>
  <sheetData>
    <row r="3" spans="1:12">
      <c r="A3" s="433" t="s">
        <v>426</v>
      </c>
      <c r="B3" s="433"/>
      <c r="C3" s="433"/>
      <c r="D3" s="433"/>
      <c r="E3" s="433"/>
      <c r="F3" s="433"/>
      <c r="G3" s="433"/>
      <c r="H3" s="433"/>
      <c r="I3" s="433"/>
      <c r="J3" s="433"/>
      <c r="K3" s="433"/>
      <c r="L3" s="433"/>
    </row>
    <row r="5" spans="1:12">
      <c r="A5" s="434" t="s">
        <v>427</v>
      </c>
    </row>
    <row r="6" spans="1:12">
      <c r="A6" s="434" t="str">
        <f>CONCATENATE(inputPrYr!C4-2," 'total expenditures' exceed your ",inputPrYr!C4-2," 'budget authority.'")</f>
        <v>2011 'total expenditures' exceed your 2011 'budget authority.'</v>
      </c>
    </row>
    <row r="7" spans="1:12">
      <c r="A7" s="434"/>
    </row>
    <row r="8" spans="1:12">
      <c r="A8" s="434" t="s">
        <v>428</v>
      </c>
    </row>
    <row r="9" spans="1:12">
      <c r="A9" s="434" t="s">
        <v>429</v>
      </c>
    </row>
    <row r="10" spans="1:12">
      <c r="A10" s="434" t="s">
        <v>430</v>
      </c>
    </row>
    <row r="11" spans="1:12">
      <c r="A11" s="434"/>
    </row>
    <row r="12" spans="1:12">
      <c r="A12" s="434"/>
    </row>
    <row r="13" spans="1:12">
      <c r="A13" s="435" t="s">
        <v>431</v>
      </c>
    </row>
    <row r="15" spans="1:12">
      <c r="A15" s="434" t="s">
        <v>432</v>
      </c>
    </row>
    <row r="16" spans="1:12">
      <c r="A16" s="434" t="str">
        <f>CONCATENATE("(i.e. an audit has not been completed, or the ",inputPrYr!C4," adopted")</f>
        <v>(i.e. an audit has not been completed, or the 2013 adopted</v>
      </c>
    </row>
    <row r="17" spans="1:1">
      <c r="A17" s="434" t="s">
        <v>433</v>
      </c>
    </row>
    <row r="18" spans="1:1">
      <c r="A18" s="434" t="s">
        <v>434</v>
      </c>
    </row>
    <row r="19" spans="1:1">
      <c r="A19" s="434" t="s">
        <v>435</v>
      </c>
    </row>
    <row r="21" spans="1:1">
      <c r="A21" s="435" t="s">
        <v>436</v>
      </c>
    </row>
    <row r="22" spans="1:1">
      <c r="A22" s="435"/>
    </row>
    <row r="23" spans="1:1">
      <c r="A23" s="434" t="s">
        <v>437</v>
      </c>
    </row>
    <row r="24" spans="1:1">
      <c r="A24" s="434" t="s">
        <v>438</v>
      </c>
    </row>
    <row r="25" spans="1:1">
      <c r="A25" s="434" t="str">
        <f>CONCATENATE("particular fund.  If your ",inputPrYr!C4-2," budget was amended, did you")</f>
        <v>particular fund.  If your 2011 budget was amended, did you</v>
      </c>
    </row>
    <row r="26" spans="1:1">
      <c r="A26" s="434" t="s">
        <v>439</v>
      </c>
    </row>
    <row r="27" spans="1:1">
      <c r="A27" s="434"/>
    </row>
    <row r="28" spans="1:1">
      <c r="A28" s="434" t="str">
        <f>CONCATENATE("Next, look to see if any of your ",inputPrYr!C4-2," expenditures can be")</f>
        <v>Next, look to see if any of your 2011 expenditures can be</v>
      </c>
    </row>
    <row r="29" spans="1:1">
      <c r="A29" s="434" t="s">
        <v>440</v>
      </c>
    </row>
    <row r="30" spans="1:1">
      <c r="A30" s="434" t="s">
        <v>441</v>
      </c>
    </row>
    <row r="31" spans="1:1">
      <c r="A31" s="434" t="s">
        <v>442</v>
      </c>
    </row>
    <row r="32" spans="1:1">
      <c r="A32" s="434"/>
    </row>
    <row r="33" spans="1:1">
      <c r="A33" s="434" t="str">
        <f>CONCATENATE("Additionally, do your ",inputPrYr!C4-2," receipts contain a reimbursement")</f>
        <v>Additionally, do your 2011 receipts contain a reimbursement</v>
      </c>
    </row>
    <row r="34" spans="1:1">
      <c r="A34" s="434" t="s">
        <v>443</v>
      </c>
    </row>
    <row r="35" spans="1:1">
      <c r="A35" s="434" t="s">
        <v>444</v>
      </c>
    </row>
    <row r="36" spans="1:1">
      <c r="A36" s="434"/>
    </row>
    <row r="37" spans="1:1">
      <c r="A37" s="434" t="s">
        <v>445</v>
      </c>
    </row>
    <row r="38" spans="1:1">
      <c r="A38" s="434" t="s">
        <v>446</v>
      </c>
    </row>
    <row r="39" spans="1:1">
      <c r="A39" s="434" t="s">
        <v>447</v>
      </c>
    </row>
    <row r="40" spans="1:1">
      <c r="A40" s="434" t="s">
        <v>448</v>
      </c>
    </row>
    <row r="41" spans="1:1">
      <c r="A41" s="434" t="s">
        <v>449</v>
      </c>
    </row>
    <row r="42" spans="1:1">
      <c r="A42" s="434" t="s">
        <v>450</v>
      </c>
    </row>
    <row r="43" spans="1:1">
      <c r="A43" s="434" t="s">
        <v>451</v>
      </c>
    </row>
    <row r="44" spans="1:1">
      <c r="A44" s="434" t="s">
        <v>452</v>
      </c>
    </row>
    <row r="45" spans="1:1">
      <c r="A45" s="434"/>
    </row>
    <row r="46" spans="1:1">
      <c r="A46" s="434" t="s">
        <v>453</v>
      </c>
    </row>
    <row r="47" spans="1:1">
      <c r="A47" s="434" t="s">
        <v>454</v>
      </c>
    </row>
    <row r="48" spans="1:1">
      <c r="A48" s="434" t="s">
        <v>455</v>
      </c>
    </row>
    <row r="49" spans="1:1">
      <c r="A49" s="434"/>
    </row>
    <row r="50" spans="1:1">
      <c r="A50" s="434" t="s">
        <v>456</v>
      </c>
    </row>
    <row r="51" spans="1:1">
      <c r="A51" s="434" t="s">
        <v>457</v>
      </c>
    </row>
    <row r="52" spans="1:1">
      <c r="A52" s="434" t="s">
        <v>458</v>
      </c>
    </row>
    <row r="53" spans="1:1">
      <c r="A53" s="434"/>
    </row>
    <row r="54" spans="1:1">
      <c r="A54" s="435" t="s">
        <v>459</v>
      </c>
    </row>
    <row r="55" spans="1:1">
      <c r="A55" s="434"/>
    </row>
    <row r="56" spans="1:1">
      <c r="A56" s="434" t="s">
        <v>460</v>
      </c>
    </row>
    <row r="57" spans="1:1">
      <c r="A57" s="434" t="s">
        <v>461</v>
      </c>
    </row>
    <row r="58" spans="1:1">
      <c r="A58" s="434" t="s">
        <v>462</v>
      </c>
    </row>
    <row r="59" spans="1:1">
      <c r="A59" s="434" t="s">
        <v>463</v>
      </c>
    </row>
    <row r="60" spans="1:1">
      <c r="A60" s="434" t="s">
        <v>464</v>
      </c>
    </row>
    <row r="61" spans="1:1">
      <c r="A61" s="434" t="s">
        <v>465</v>
      </c>
    </row>
    <row r="62" spans="1:1">
      <c r="A62" s="434" t="s">
        <v>466</v>
      </c>
    </row>
    <row r="63" spans="1:1">
      <c r="A63" s="434" t="s">
        <v>467</v>
      </c>
    </row>
    <row r="64" spans="1:1">
      <c r="A64" s="434" t="s">
        <v>468</v>
      </c>
    </row>
    <row r="65" spans="1:1">
      <c r="A65" s="434" t="s">
        <v>469</v>
      </c>
    </row>
    <row r="66" spans="1:1">
      <c r="A66" s="434" t="s">
        <v>470</v>
      </c>
    </row>
    <row r="67" spans="1:1">
      <c r="A67" s="434" t="s">
        <v>471</v>
      </c>
    </row>
    <row r="68" spans="1:1">
      <c r="A68" s="434" t="s">
        <v>472</v>
      </c>
    </row>
    <row r="69" spans="1:1">
      <c r="A69" s="434"/>
    </row>
    <row r="70" spans="1:1">
      <c r="A70" s="434" t="s">
        <v>473</v>
      </c>
    </row>
    <row r="71" spans="1:1">
      <c r="A71" s="434" t="s">
        <v>474</v>
      </c>
    </row>
    <row r="72" spans="1:1">
      <c r="A72" s="434" t="s">
        <v>475</v>
      </c>
    </row>
    <row r="73" spans="1:1">
      <c r="A73" s="434"/>
    </row>
    <row r="74" spans="1:1">
      <c r="A74" s="435" t="str">
        <f>CONCATENATE("What if the ",inputPrYr!C4-2," financial records have been closed?")</f>
        <v>What if the 2011 financial records have been closed?</v>
      </c>
    </row>
    <row r="76" spans="1:1">
      <c r="A76" s="434" t="s">
        <v>476</v>
      </c>
    </row>
    <row r="77" spans="1:1">
      <c r="A77" s="434" t="str">
        <f>CONCATENATE("(i.e. an audit for ",inputPrYr!C4-2," has been completed, or the ",inputPrYr!C4)</f>
        <v>(i.e. an audit for 2011 has been completed, or the 2013</v>
      </c>
    </row>
    <row r="78" spans="1:1">
      <c r="A78" s="434" t="s">
        <v>477</v>
      </c>
    </row>
    <row r="79" spans="1:1">
      <c r="A79" s="434" t="s">
        <v>478</v>
      </c>
    </row>
    <row r="80" spans="1:1">
      <c r="A80" s="434"/>
    </row>
    <row r="81" spans="1:1">
      <c r="A81" s="434" t="s">
        <v>479</v>
      </c>
    </row>
    <row r="82" spans="1:1">
      <c r="A82" s="434" t="s">
        <v>480</v>
      </c>
    </row>
    <row r="83" spans="1:1">
      <c r="A83" s="434" t="s">
        <v>481</v>
      </c>
    </row>
    <row r="84" spans="1:1">
      <c r="A84" s="434"/>
    </row>
    <row r="85" spans="1:1">
      <c r="A85" s="434" t="s">
        <v>482</v>
      </c>
    </row>
  </sheetData>
  <sheetProtection sheet="1"/>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sheetPr>
    <tabColor rgb="FFFF0000"/>
  </sheetPr>
  <dimension ref="A3:J109"/>
  <sheetViews>
    <sheetView workbookViewId="0">
      <selection activeCell="A2" sqref="A2"/>
    </sheetView>
  </sheetViews>
  <sheetFormatPr defaultRowHeight="15"/>
  <cols>
    <col min="1" max="1" width="71.33203125" customWidth="1"/>
  </cols>
  <sheetData>
    <row r="3" spans="1:10">
      <c r="A3" s="433" t="s">
        <v>483</v>
      </c>
      <c r="B3" s="433"/>
      <c r="C3" s="433"/>
      <c r="D3" s="433"/>
      <c r="E3" s="433"/>
      <c r="F3" s="433"/>
      <c r="G3" s="433"/>
      <c r="H3" s="436"/>
      <c r="I3" s="436"/>
      <c r="J3" s="436"/>
    </row>
    <row r="5" spans="1:10">
      <c r="A5" s="434" t="s">
        <v>484</v>
      </c>
    </row>
    <row r="6" spans="1:10">
      <c r="A6" t="str">
        <f>CONCATENATE(inputPrYr!C4-2," expenditures show that you finished the year with a ")</f>
        <v xml:space="preserve">2011 expenditures show that you finished the year with a </v>
      </c>
    </row>
    <row r="7" spans="1:10">
      <c r="A7" t="s">
        <v>485</v>
      </c>
    </row>
    <row r="9" spans="1:10">
      <c r="A9" t="s">
        <v>486</v>
      </c>
    </row>
    <row r="10" spans="1:10">
      <c r="A10" t="s">
        <v>487</v>
      </c>
    </row>
    <row r="11" spans="1:10">
      <c r="A11" t="s">
        <v>488</v>
      </c>
    </row>
    <row r="13" spans="1:10">
      <c r="A13" s="435" t="s">
        <v>489</v>
      </c>
    </row>
    <row r="14" spans="1:10">
      <c r="A14" s="435"/>
    </row>
    <row r="15" spans="1:10">
      <c r="A15" s="434" t="s">
        <v>490</v>
      </c>
    </row>
    <row r="16" spans="1:10">
      <c r="A16" s="434" t="s">
        <v>491</v>
      </c>
    </row>
    <row r="17" spans="1:1">
      <c r="A17" s="434" t="s">
        <v>492</v>
      </c>
    </row>
    <row r="18" spans="1:1">
      <c r="A18" s="434"/>
    </row>
    <row r="19" spans="1:1">
      <c r="A19" s="435" t="s">
        <v>493</v>
      </c>
    </row>
    <row r="20" spans="1:1">
      <c r="A20" s="435"/>
    </row>
    <row r="21" spans="1:1">
      <c r="A21" s="434" t="s">
        <v>494</v>
      </c>
    </row>
    <row r="22" spans="1:1">
      <c r="A22" s="434" t="s">
        <v>495</v>
      </c>
    </row>
    <row r="23" spans="1:1">
      <c r="A23" s="434" t="s">
        <v>496</v>
      </c>
    </row>
    <row r="24" spans="1:1">
      <c r="A24" s="434"/>
    </row>
    <row r="25" spans="1:1">
      <c r="A25" s="435" t="s">
        <v>497</v>
      </c>
    </row>
    <row r="26" spans="1:1">
      <c r="A26" s="435"/>
    </row>
    <row r="27" spans="1:1">
      <c r="A27" s="434" t="s">
        <v>498</v>
      </c>
    </row>
    <row r="28" spans="1:1">
      <c r="A28" s="434" t="s">
        <v>499</v>
      </c>
    </row>
    <row r="29" spans="1:1">
      <c r="A29" s="434" t="s">
        <v>500</v>
      </c>
    </row>
    <row r="30" spans="1:1">
      <c r="A30" s="434"/>
    </row>
    <row r="31" spans="1:1">
      <c r="A31" s="435" t="s">
        <v>501</v>
      </c>
    </row>
    <row r="32" spans="1:1">
      <c r="A32" s="435"/>
    </row>
    <row r="33" spans="1:8">
      <c r="A33" s="434" t="str">
        <f>CONCATENATE("If your financial records for ",inputPrYr!C4-2," are not closed")</f>
        <v>If your financial records for 2011 are not closed</v>
      </c>
      <c r="B33" s="434"/>
      <c r="C33" s="434"/>
      <c r="D33" s="434"/>
      <c r="E33" s="434"/>
      <c r="F33" s="434"/>
      <c r="G33" s="434"/>
      <c r="H33" s="434"/>
    </row>
    <row r="34" spans="1:8">
      <c r="A34" s="434" t="str">
        <f>CONCATENATE("(i.e. an audit has not been completed, or the ",inputPrYr!C4," adopted ")</f>
        <v xml:space="preserve">(i.e. an audit has not been completed, or the 2013 adopted </v>
      </c>
      <c r="B34" s="434"/>
      <c r="C34" s="434"/>
      <c r="D34" s="434"/>
      <c r="E34" s="434"/>
      <c r="F34" s="434"/>
      <c r="G34" s="434"/>
      <c r="H34" s="434"/>
    </row>
    <row r="35" spans="1:8">
      <c r="A35" s="434" t="s">
        <v>502</v>
      </c>
      <c r="B35" s="434"/>
      <c r="C35" s="434"/>
      <c r="D35" s="434"/>
      <c r="E35" s="434"/>
      <c r="F35" s="434"/>
      <c r="G35" s="434"/>
      <c r="H35" s="434"/>
    </row>
    <row r="36" spans="1:8">
      <c r="A36" s="434" t="s">
        <v>503</v>
      </c>
      <c r="B36" s="434"/>
      <c r="C36" s="434"/>
      <c r="D36" s="434"/>
      <c r="E36" s="434"/>
      <c r="F36" s="434"/>
      <c r="G36" s="434"/>
      <c r="H36" s="434"/>
    </row>
    <row r="37" spans="1:8">
      <c r="A37" s="434" t="s">
        <v>504</v>
      </c>
      <c r="B37" s="434"/>
      <c r="C37" s="434"/>
      <c r="D37" s="434"/>
      <c r="E37" s="434"/>
      <c r="F37" s="434"/>
      <c r="G37" s="434"/>
      <c r="H37" s="434"/>
    </row>
    <row r="38" spans="1:8">
      <c r="A38" s="434" t="s">
        <v>505</v>
      </c>
      <c r="B38" s="434"/>
      <c r="C38" s="434"/>
      <c r="D38" s="434"/>
      <c r="E38" s="434"/>
      <c r="F38" s="434"/>
      <c r="G38" s="434"/>
      <c r="H38" s="434"/>
    </row>
    <row r="39" spans="1:8">
      <c r="A39" s="434" t="s">
        <v>506</v>
      </c>
      <c r="B39" s="434"/>
      <c r="C39" s="434"/>
      <c r="D39" s="434"/>
      <c r="E39" s="434"/>
      <c r="F39" s="434"/>
      <c r="G39" s="434"/>
      <c r="H39" s="434"/>
    </row>
    <row r="40" spans="1:8">
      <c r="A40" s="434"/>
      <c r="B40" s="434"/>
      <c r="C40" s="434"/>
      <c r="D40" s="434"/>
      <c r="E40" s="434"/>
      <c r="F40" s="434"/>
      <c r="G40" s="434"/>
      <c r="H40" s="434"/>
    </row>
    <row r="41" spans="1:8">
      <c r="A41" s="434" t="s">
        <v>507</v>
      </c>
      <c r="B41" s="434"/>
      <c r="C41" s="434"/>
      <c r="D41" s="434"/>
      <c r="E41" s="434"/>
      <c r="F41" s="434"/>
      <c r="G41" s="434"/>
      <c r="H41" s="434"/>
    </row>
    <row r="42" spans="1:8">
      <c r="A42" s="434" t="s">
        <v>508</v>
      </c>
      <c r="B42" s="434"/>
      <c r="C42" s="434"/>
      <c r="D42" s="434"/>
      <c r="E42" s="434"/>
      <c r="F42" s="434"/>
      <c r="G42" s="434"/>
      <c r="H42" s="434"/>
    </row>
    <row r="43" spans="1:8">
      <c r="A43" s="434" t="s">
        <v>509</v>
      </c>
      <c r="B43" s="434"/>
      <c r="C43" s="434"/>
      <c r="D43" s="434"/>
      <c r="E43" s="434"/>
      <c r="F43" s="434"/>
      <c r="G43" s="434"/>
      <c r="H43" s="434"/>
    </row>
    <row r="44" spans="1:8">
      <c r="A44" s="434" t="s">
        <v>510</v>
      </c>
      <c r="B44" s="434"/>
      <c r="C44" s="434"/>
      <c r="D44" s="434"/>
      <c r="E44" s="434"/>
      <c r="F44" s="434"/>
      <c r="G44" s="434"/>
      <c r="H44" s="434"/>
    </row>
    <row r="45" spans="1:8">
      <c r="A45" s="434"/>
      <c r="B45" s="434"/>
      <c r="C45" s="434"/>
      <c r="D45" s="434"/>
      <c r="E45" s="434"/>
      <c r="F45" s="434"/>
      <c r="G45" s="434"/>
      <c r="H45" s="434"/>
    </row>
    <row r="46" spans="1:8">
      <c r="A46" s="434" t="s">
        <v>511</v>
      </c>
      <c r="B46" s="434"/>
      <c r="C46" s="434"/>
      <c r="D46" s="434"/>
      <c r="E46" s="434"/>
      <c r="F46" s="434"/>
      <c r="G46" s="434"/>
      <c r="H46" s="434"/>
    </row>
    <row r="47" spans="1:8">
      <c r="A47" s="434" t="s">
        <v>512</v>
      </c>
      <c r="B47" s="434"/>
      <c r="C47" s="434"/>
      <c r="D47" s="434"/>
      <c r="E47" s="434"/>
      <c r="F47" s="434"/>
      <c r="G47" s="434"/>
      <c r="H47" s="434"/>
    </row>
    <row r="48" spans="1:8">
      <c r="A48" s="434" t="s">
        <v>513</v>
      </c>
      <c r="B48" s="434"/>
      <c r="C48" s="434"/>
      <c r="D48" s="434"/>
      <c r="E48" s="434"/>
      <c r="F48" s="434"/>
      <c r="G48" s="434"/>
      <c r="H48" s="434"/>
    </row>
    <row r="49" spans="1:8">
      <c r="A49" s="434" t="s">
        <v>514</v>
      </c>
      <c r="B49" s="434"/>
      <c r="C49" s="434"/>
      <c r="D49" s="434"/>
      <c r="E49" s="434"/>
      <c r="F49" s="434"/>
      <c r="G49" s="434"/>
      <c r="H49" s="434"/>
    </row>
    <row r="50" spans="1:8">
      <c r="A50" s="434" t="s">
        <v>515</v>
      </c>
      <c r="B50" s="434"/>
      <c r="C50" s="434"/>
      <c r="D50" s="434"/>
      <c r="E50" s="434"/>
      <c r="F50" s="434"/>
      <c r="G50" s="434"/>
      <c r="H50" s="434"/>
    </row>
    <row r="51" spans="1:8">
      <c r="A51" s="434"/>
      <c r="B51" s="434"/>
      <c r="C51" s="434"/>
      <c r="D51" s="434"/>
      <c r="E51" s="434"/>
      <c r="F51" s="434"/>
      <c r="G51" s="434"/>
      <c r="H51" s="434"/>
    </row>
    <row r="52" spans="1:8">
      <c r="A52" s="435" t="s">
        <v>516</v>
      </c>
      <c r="B52" s="435"/>
      <c r="C52" s="435"/>
      <c r="D52" s="435"/>
      <c r="E52" s="435"/>
      <c r="F52" s="435"/>
      <c r="G52" s="435"/>
      <c r="H52" s="434"/>
    </row>
    <row r="53" spans="1:8">
      <c r="A53" s="435" t="s">
        <v>517</v>
      </c>
      <c r="B53" s="435"/>
      <c r="C53" s="435"/>
      <c r="D53" s="435"/>
      <c r="E53" s="435"/>
      <c r="F53" s="435"/>
      <c r="G53" s="435"/>
      <c r="H53" s="434"/>
    </row>
    <row r="54" spans="1:8">
      <c r="A54" s="434"/>
      <c r="B54" s="434"/>
      <c r="C54" s="434"/>
      <c r="D54" s="434"/>
      <c r="E54" s="434"/>
      <c r="F54" s="434"/>
      <c r="G54" s="434"/>
      <c r="H54" s="434"/>
    </row>
    <row r="55" spans="1:8">
      <c r="A55" s="434" t="s">
        <v>518</v>
      </c>
      <c r="B55" s="434"/>
      <c r="C55" s="434"/>
      <c r="D55" s="434"/>
      <c r="E55" s="434"/>
      <c r="F55" s="434"/>
      <c r="G55" s="434"/>
      <c r="H55" s="434"/>
    </row>
    <row r="56" spans="1:8">
      <c r="A56" s="434" t="s">
        <v>519</v>
      </c>
      <c r="B56" s="434"/>
      <c r="C56" s="434"/>
      <c r="D56" s="434"/>
      <c r="E56" s="434"/>
      <c r="F56" s="434"/>
      <c r="G56" s="434"/>
      <c r="H56" s="434"/>
    </row>
    <row r="57" spans="1:8">
      <c r="A57" s="434" t="s">
        <v>520</v>
      </c>
      <c r="B57" s="434"/>
      <c r="C57" s="434"/>
      <c r="D57" s="434"/>
      <c r="E57" s="434"/>
      <c r="F57" s="434"/>
      <c r="G57" s="434"/>
      <c r="H57" s="434"/>
    </row>
    <row r="58" spans="1:8">
      <c r="A58" s="434" t="s">
        <v>521</v>
      </c>
      <c r="B58" s="434"/>
      <c r="C58" s="434"/>
      <c r="D58" s="434"/>
      <c r="E58" s="434"/>
      <c r="F58" s="434"/>
      <c r="G58" s="434"/>
      <c r="H58" s="434"/>
    </row>
    <row r="59" spans="1:8">
      <c r="A59" s="434"/>
      <c r="B59" s="434"/>
      <c r="C59" s="434"/>
      <c r="D59" s="434"/>
      <c r="E59" s="434"/>
      <c r="F59" s="434"/>
      <c r="G59" s="434"/>
      <c r="H59" s="434"/>
    </row>
    <row r="60" spans="1:8">
      <c r="A60" s="434" t="s">
        <v>522</v>
      </c>
      <c r="B60" s="434"/>
      <c r="C60" s="434"/>
      <c r="D60" s="434"/>
      <c r="E60" s="434"/>
      <c r="F60" s="434"/>
      <c r="G60" s="434"/>
      <c r="H60" s="434"/>
    </row>
    <row r="61" spans="1:8">
      <c r="A61" s="434" t="s">
        <v>523</v>
      </c>
      <c r="B61" s="434"/>
      <c r="C61" s="434"/>
      <c r="D61" s="434"/>
      <c r="E61" s="434"/>
      <c r="F61" s="434"/>
      <c r="G61" s="434"/>
      <c r="H61" s="434"/>
    </row>
    <row r="62" spans="1:8">
      <c r="A62" s="434" t="s">
        <v>524</v>
      </c>
      <c r="B62" s="434"/>
      <c r="C62" s="434"/>
      <c r="D62" s="434"/>
      <c r="E62" s="434"/>
      <c r="F62" s="434"/>
      <c r="G62" s="434"/>
      <c r="H62" s="434"/>
    </row>
    <row r="63" spans="1:8">
      <c r="A63" s="434" t="s">
        <v>525</v>
      </c>
      <c r="B63" s="434"/>
      <c r="C63" s="434"/>
      <c r="D63" s="434"/>
      <c r="E63" s="434"/>
      <c r="F63" s="434"/>
      <c r="G63" s="434"/>
      <c r="H63" s="434"/>
    </row>
    <row r="64" spans="1:8">
      <c r="A64" s="434" t="s">
        <v>526</v>
      </c>
      <c r="B64" s="434"/>
      <c r="C64" s="434"/>
      <c r="D64" s="434"/>
      <c r="E64" s="434"/>
      <c r="F64" s="434"/>
      <c r="G64" s="434"/>
      <c r="H64" s="434"/>
    </row>
    <row r="65" spans="1:8">
      <c r="A65" s="434" t="s">
        <v>527</v>
      </c>
      <c r="B65" s="434"/>
      <c r="C65" s="434"/>
      <c r="D65" s="434"/>
      <c r="E65" s="434"/>
      <c r="F65" s="434"/>
      <c r="G65" s="434"/>
      <c r="H65" s="434"/>
    </row>
    <row r="66" spans="1:8">
      <c r="A66" s="434"/>
      <c r="B66" s="434"/>
      <c r="C66" s="434"/>
      <c r="D66" s="434"/>
      <c r="E66" s="434"/>
      <c r="F66" s="434"/>
      <c r="G66" s="434"/>
      <c r="H66" s="434"/>
    </row>
    <row r="67" spans="1:8">
      <c r="A67" s="434" t="s">
        <v>528</v>
      </c>
      <c r="B67" s="434"/>
      <c r="C67" s="434"/>
      <c r="D67" s="434"/>
      <c r="E67" s="434"/>
      <c r="F67" s="434"/>
      <c r="G67" s="434"/>
      <c r="H67" s="434"/>
    </row>
    <row r="68" spans="1:8">
      <c r="A68" s="434" t="s">
        <v>529</v>
      </c>
      <c r="B68" s="434"/>
      <c r="C68" s="434"/>
      <c r="D68" s="434"/>
      <c r="E68" s="434"/>
      <c r="F68" s="434"/>
      <c r="G68" s="434"/>
      <c r="H68" s="434"/>
    </row>
    <row r="69" spans="1:8">
      <c r="A69" s="434" t="s">
        <v>530</v>
      </c>
      <c r="B69" s="434"/>
      <c r="C69" s="434"/>
      <c r="D69" s="434"/>
      <c r="E69" s="434"/>
      <c r="F69" s="434"/>
      <c r="G69" s="434"/>
      <c r="H69" s="434"/>
    </row>
    <row r="70" spans="1:8">
      <c r="A70" s="434" t="s">
        <v>531</v>
      </c>
      <c r="B70" s="434"/>
      <c r="C70" s="434"/>
      <c r="D70" s="434"/>
      <c r="E70" s="434"/>
      <c r="F70" s="434"/>
      <c r="G70" s="434"/>
      <c r="H70" s="434"/>
    </row>
    <row r="71" spans="1:8">
      <c r="A71" s="434" t="s">
        <v>532</v>
      </c>
      <c r="B71" s="434"/>
      <c r="C71" s="434"/>
      <c r="D71" s="434"/>
      <c r="E71" s="434"/>
      <c r="F71" s="434"/>
      <c r="G71" s="434"/>
      <c r="H71" s="434"/>
    </row>
    <row r="72" spans="1:8">
      <c r="A72" s="434" t="s">
        <v>533</v>
      </c>
      <c r="B72" s="434"/>
      <c r="C72" s="434"/>
      <c r="D72" s="434"/>
      <c r="E72" s="434"/>
      <c r="F72" s="434"/>
      <c r="G72" s="434"/>
      <c r="H72" s="434"/>
    </row>
    <row r="73" spans="1:8">
      <c r="A73" s="434" t="s">
        <v>534</v>
      </c>
      <c r="B73" s="434"/>
      <c r="C73" s="434"/>
      <c r="D73" s="434"/>
      <c r="E73" s="434"/>
      <c r="F73" s="434"/>
      <c r="G73" s="434"/>
      <c r="H73" s="434"/>
    </row>
    <row r="74" spans="1:8">
      <c r="A74" s="434"/>
      <c r="B74" s="434"/>
      <c r="C74" s="434"/>
      <c r="D74" s="434"/>
      <c r="E74" s="434"/>
      <c r="F74" s="434"/>
      <c r="G74" s="434"/>
      <c r="H74" s="434"/>
    </row>
    <row r="75" spans="1:8">
      <c r="A75" s="434" t="s">
        <v>535</v>
      </c>
      <c r="B75" s="434"/>
      <c r="C75" s="434"/>
      <c r="D75" s="434"/>
      <c r="E75" s="434"/>
      <c r="F75" s="434"/>
      <c r="G75" s="434"/>
      <c r="H75" s="434"/>
    </row>
    <row r="76" spans="1:8">
      <c r="A76" s="434" t="s">
        <v>536</v>
      </c>
      <c r="B76" s="434"/>
      <c r="C76" s="434"/>
      <c r="D76" s="434"/>
      <c r="E76" s="434"/>
      <c r="F76" s="434"/>
      <c r="G76" s="434"/>
      <c r="H76" s="434"/>
    </row>
    <row r="77" spans="1:8">
      <c r="A77" s="434" t="s">
        <v>537</v>
      </c>
      <c r="B77" s="434"/>
      <c r="C77" s="434"/>
      <c r="D77" s="434"/>
      <c r="E77" s="434"/>
      <c r="F77" s="434"/>
      <c r="G77" s="434"/>
      <c r="H77" s="434"/>
    </row>
    <row r="78" spans="1:8">
      <c r="A78" s="434"/>
      <c r="B78" s="434"/>
      <c r="C78" s="434"/>
      <c r="D78" s="434"/>
      <c r="E78" s="434"/>
      <c r="F78" s="434"/>
      <c r="G78" s="434"/>
      <c r="H78" s="434"/>
    </row>
    <row r="79" spans="1:8">
      <c r="A79" s="434" t="s">
        <v>482</v>
      </c>
    </row>
    <row r="80" spans="1:8">
      <c r="A80" s="435"/>
    </row>
    <row r="81" spans="1:1">
      <c r="A81" s="434"/>
    </row>
    <row r="82" spans="1:1">
      <c r="A82" s="434"/>
    </row>
    <row r="83" spans="1:1">
      <c r="A83" s="434"/>
    </row>
    <row r="84" spans="1:1">
      <c r="A84" s="434"/>
    </row>
    <row r="85" spans="1:1">
      <c r="A85" s="434"/>
    </row>
    <row r="86" spans="1:1">
      <c r="A86" s="434"/>
    </row>
    <row r="87" spans="1:1">
      <c r="A87" s="434"/>
    </row>
    <row r="88" spans="1:1">
      <c r="A88" s="434"/>
    </row>
    <row r="89" spans="1:1">
      <c r="A89" s="434"/>
    </row>
    <row r="90" spans="1:1">
      <c r="A90" s="434"/>
    </row>
    <row r="91" spans="1:1">
      <c r="A91" s="434"/>
    </row>
    <row r="92" spans="1:1">
      <c r="A92" s="434"/>
    </row>
    <row r="93" spans="1:1">
      <c r="A93" s="434"/>
    </row>
    <row r="94" spans="1:1">
      <c r="A94" s="434"/>
    </row>
    <row r="95" spans="1:1">
      <c r="A95" s="434"/>
    </row>
    <row r="96" spans="1:1">
      <c r="A96" s="434"/>
    </row>
    <row r="97" spans="1:1">
      <c r="A97" s="434"/>
    </row>
    <row r="98" spans="1:1">
      <c r="A98" s="434"/>
    </row>
    <row r="99" spans="1:1">
      <c r="A99" s="434"/>
    </row>
    <row r="100" spans="1:1">
      <c r="A100" s="434"/>
    </row>
    <row r="101" spans="1:1">
      <c r="A101" s="434"/>
    </row>
    <row r="103" spans="1:1">
      <c r="A103" s="434"/>
    </row>
    <row r="104" spans="1:1">
      <c r="A104" s="434"/>
    </row>
    <row r="105" spans="1:1">
      <c r="A105" s="434"/>
    </row>
    <row r="107" spans="1:1">
      <c r="A107" s="435"/>
    </row>
    <row r="108" spans="1:1">
      <c r="A108" s="435"/>
    </row>
    <row r="109" spans="1:1">
      <c r="A109" s="435"/>
    </row>
  </sheetData>
  <sheetProtection sheet="1"/>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sheetPr>
    <tabColor rgb="FFFF0000"/>
  </sheetPr>
  <dimension ref="A3:L75"/>
  <sheetViews>
    <sheetView workbookViewId="0">
      <selection activeCell="A2" sqref="A2"/>
    </sheetView>
  </sheetViews>
  <sheetFormatPr defaultRowHeight="15"/>
  <cols>
    <col min="1" max="1" width="71.33203125" customWidth="1"/>
  </cols>
  <sheetData>
    <row r="3" spans="1:12">
      <c r="A3" s="433" t="s">
        <v>538</v>
      </c>
      <c r="B3" s="433"/>
      <c r="C3" s="433"/>
      <c r="D3" s="433"/>
      <c r="E3" s="433"/>
      <c r="F3" s="433"/>
      <c r="G3" s="433"/>
      <c r="H3" s="433"/>
      <c r="I3" s="433"/>
      <c r="J3" s="433"/>
      <c r="K3" s="433"/>
      <c r="L3" s="433"/>
    </row>
    <row r="4" spans="1:12">
      <c r="A4" s="433"/>
      <c r="B4" s="433"/>
      <c r="C4" s="433"/>
      <c r="D4" s="433"/>
      <c r="E4" s="433"/>
      <c r="F4" s="433"/>
      <c r="G4" s="433"/>
      <c r="H4" s="433"/>
      <c r="I4" s="433"/>
      <c r="J4" s="433"/>
      <c r="K4" s="433"/>
      <c r="L4" s="433"/>
    </row>
    <row r="5" spans="1:12">
      <c r="A5" s="434" t="s">
        <v>427</v>
      </c>
      <c r="I5" s="433"/>
      <c r="J5" s="433"/>
      <c r="K5" s="433"/>
      <c r="L5" s="433"/>
    </row>
    <row r="6" spans="1:12">
      <c r="A6" s="434" t="str">
        <f>CONCATENATE("estimated ",inputPrYr!C4-1," 'total expenditures' exceed your ",inputPrYr!C4-1,"")</f>
        <v>estimated 2012 'total expenditures' exceed your 2012</v>
      </c>
      <c r="I6" s="433"/>
      <c r="J6" s="433"/>
      <c r="K6" s="433"/>
      <c r="L6" s="433"/>
    </row>
    <row r="7" spans="1:12">
      <c r="A7" s="437" t="s">
        <v>539</v>
      </c>
      <c r="I7" s="433"/>
      <c r="J7" s="433"/>
      <c r="K7" s="433"/>
      <c r="L7" s="433"/>
    </row>
    <row r="8" spans="1:12">
      <c r="A8" s="434"/>
      <c r="I8" s="433"/>
      <c r="J8" s="433"/>
      <c r="K8" s="433"/>
      <c r="L8" s="433"/>
    </row>
    <row r="9" spans="1:12">
      <c r="A9" s="434" t="s">
        <v>540</v>
      </c>
      <c r="I9" s="433"/>
      <c r="J9" s="433"/>
      <c r="K9" s="433"/>
      <c r="L9" s="433"/>
    </row>
    <row r="10" spans="1:12">
      <c r="A10" s="434" t="s">
        <v>541</v>
      </c>
      <c r="I10" s="433"/>
      <c r="J10" s="433"/>
      <c r="K10" s="433"/>
      <c r="L10" s="433"/>
    </row>
    <row r="11" spans="1:12">
      <c r="A11" s="434" t="s">
        <v>542</v>
      </c>
      <c r="I11" s="433"/>
      <c r="J11" s="433"/>
      <c r="K11" s="433"/>
      <c r="L11" s="433"/>
    </row>
    <row r="12" spans="1:12">
      <c r="A12" s="434" t="s">
        <v>543</v>
      </c>
      <c r="I12" s="433"/>
      <c r="J12" s="433"/>
      <c r="K12" s="433"/>
      <c r="L12" s="433"/>
    </row>
    <row r="13" spans="1:12">
      <c r="A13" s="434" t="s">
        <v>544</v>
      </c>
      <c r="I13" s="433"/>
      <c r="J13" s="433"/>
      <c r="K13" s="433"/>
      <c r="L13" s="433"/>
    </row>
    <row r="14" spans="1:12">
      <c r="A14" s="433"/>
      <c r="B14" s="433"/>
      <c r="C14" s="433"/>
      <c r="D14" s="433"/>
      <c r="E14" s="433"/>
      <c r="F14" s="433"/>
      <c r="G14" s="433"/>
      <c r="H14" s="433"/>
      <c r="I14" s="433"/>
      <c r="J14" s="433"/>
      <c r="K14" s="433"/>
      <c r="L14" s="433"/>
    </row>
    <row r="15" spans="1:12">
      <c r="A15" s="435" t="s">
        <v>545</v>
      </c>
    </row>
    <row r="16" spans="1:12">
      <c r="A16" s="435" t="s">
        <v>546</v>
      </c>
    </row>
    <row r="17" spans="1:7">
      <c r="A17" s="435"/>
    </row>
    <row r="18" spans="1:7">
      <c r="A18" s="434" t="s">
        <v>547</v>
      </c>
      <c r="B18" s="434"/>
      <c r="C18" s="434"/>
      <c r="D18" s="434"/>
      <c r="E18" s="434"/>
      <c r="F18" s="434"/>
      <c r="G18" s="434"/>
    </row>
    <row r="19" spans="1:7">
      <c r="A19" s="434" t="str">
        <f>CONCATENATE("your ",inputPrYr!C4-1," numbers to see what steps might be necessary to")</f>
        <v>your 2012 numbers to see what steps might be necessary to</v>
      </c>
      <c r="B19" s="434"/>
      <c r="C19" s="434"/>
      <c r="D19" s="434"/>
      <c r="E19" s="434"/>
      <c r="F19" s="434"/>
      <c r="G19" s="434"/>
    </row>
    <row r="20" spans="1:7">
      <c r="A20" s="434" t="s">
        <v>548</v>
      </c>
      <c r="B20" s="434"/>
      <c r="C20" s="434"/>
      <c r="D20" s="434"/>
      <c r="E20" s="434"/>
      <c r="F20" s="434"/>
      <c r="G20" s="434"/>
    </row>
    <row r="21" spans="1:7">
      <c r="A21" s="434" t="s">
        <v>549</v>
      </c>
      <c r="B21" s="434"/>
      <c r="C21" s="434"/>
      <c r="D21" s="434"/>
      <c r="E21" s="434"/>
      <c r="F21" s="434"/>
      <c r="G21" s="434"/>
    </row>
    <row r="22" spans="1:7">
      <c r="A22" s="434"/>
    </row>
    <row r="23" spans="1:7">
      <c r="A23" s="435" t="s">
        <v>550</v>
      </c>
    </row>
    <row r="24" spans="1:7">
      <c r="A24" s="435"/>
    </row>
    <row r="25" spans="1:7">
      <c r="A25" s="434" t="s">
        <v>551</v>
      </c>
    </row>
    <row r="26" spans="1:7">
      <c r="A26" s="434" t="s">
        <v>552</v>
      </c>
      <c r="B26" s="434"/>
      <c r="C26" s="434"/>
      <c r="D26" s="434"/>
      <c r="E26" s="434"/>
      <c r="F26" s="434"/>
    </row>
    <row r="27" spans="1:7">
      <c r="A27" s="434" t="s">
        <v>553</v>
      </c>
      <c r="B27" s="434"/>
      <c r="C27" s="434"/>
      <c r="D27" s="434"/>
      <c r="E27" s="434"/>
      <c r="F27" s="434"/>
    </row>
    <row r="28" spans="1:7">
      <c r="A28" s="434" t="s">
        <v>554</v>
      </c>
      <c r="B28" s="434"/>
      <c r="C28" s="434"/>
      <c r="D28" s="434"/>
      <c r="E28" s="434"/>
      <c r="F28" s="434"/>
    </row>
    <row r="29" spans="1:7">
      <c r="A29" s="434"/>
      <c r="B29" s="434"/>
      <c r="C29" s="434"/>
      <c r="D29" s="434"/>
      <c r="E29" s="434"/>
      <c r="F29" s="434"/>
    </row>
    <row r="30" spans="1:7">
      <c r="A30" s="435" t="s">
        <v>555</v>
      </c>
      <c r="B30" s="435"/>
      <c r="C30" s="435"/>
      <c r="D30" s="435"/>
      <c r="E30" s="435"/>
      <c r="F30" s="435"/>
      <c r="G30" s="435"/>
    </row>
    <row r="31" spans="1:7">
      <c r="A31" s="435" t="s">
        <v>556</v>
      </c>
      <c r="B31" s="435"/>
      <c r="C31" s="435"/>
      <c r="D31" s="435"/>
      <c r="E31" s="435"/>
      <c r="F31" s="435"/>
      <c r="G31" s="435"/>
    </row>
    <row r="32" spans="1:7">
      <c r="A32" s="434"/>
      <c r="B32" s="434"/>
      <c r="C32" s="434"/>
      <c r="D32" s="434"/>
      <c r="E32" s="434"/>
      <c r="F32" s="434"/>
    </row>
    <row r="33" spans="1:6">
      <c r="A33" s="438" t="str">
        <f>CONCATENATE("Well, let's look to see if any of your ",inputPrYr!C4-1," expenditures can")</f>
        <v>Well, let's look to see if any of your 2012 expenditures can</v>
      </c>
      <c r="B33" s="434"/>
      <c r="C33" s="434"/>
      <c r="D33" s="434"/>
      <c r="E33" s="434"/>
      <c r="F33" s="434"/>
    </row>
    <row r="34" spans="1:6">
      <c r="A34" s="438" t="s">
        <v>557</v>
      </c>
      <c r="B34" s="434"/>
      <c r="C34" s="434"/>
      <c r="D34" s="434"/>
      <c r="E34" s="434"/>
      <c r="F34" s="434"/>
    </row>
    <row r="35" spans="1:6">
      <c r="A35" s="438" t="s">
        <v>441</v>
      </c>
      <c r="B35" s="434"/>
      <c r="C35" s="434"/>
      <c r="D35" s="434"/>
      <c r="E35" s="434"/>
      <c r="F35" s="434"/>
    </row>
    <row r="36" spans="1:6">
      <c r="A36" s="438" t="s">
        <v>442</v>
      </c>
      <c r="B36" s="434"/>
      <c r="C36" s="434"/>
      <c r="D36" s="434"/>
      <c r="E36" s="434"/>
      <c r="F36" s="434"/>
    </row>
    <row r="37" spans="1:6">
      <c r="A37" s="438"/>
      <c r="B37" s="434"/>
      <c r="C37" s="434"/>
      <c r="D37" s="434"/>
      <c r="E37" s="434"/>
      <c r="F37" s="434"/>
    </row>
    <row r="38" spans="1:6">
      <c r="A38" s="438" t="str">
        <f>CONCATENATE("Additionally, do your ",inputPrYr!C4-1," receipts contain a reimbursement")</f>
        <v>Additionally, do your 2012 receipts contain a reimbursement</v>
      </c>
      <c r="B38" s="434"/>
      <c r="C38" s="434"/>
      <c r="D38" s="434"/>
      <c r="E38" s="434"/>
      <c r="F38" s="434"/>
    </row>
    <row r="39" spans="1:6">
      <c r="A39" s="438" t="s">
        <v>443</v>
      </c>
      <c r="B39" s="434"/>
      <c r="C39" s="434"/>
      <c r="D39" s="434"/>
      <c r="E39" s="434"/>
      <c r="F39" s="434"/>
    </row>
    <row r="40" spans="1:6">
      <c r="A40" s="438" t="s">
        <v>444</v>
      </c>
      <c r="B40" s="434"/>
      <c r="C40" s="434"/>
      <c r="D40" s="434"/>
      <c r="E40" s="434"/>
      <c r="F40" s="434"/>
    </row>
    <row r="41" spans="1:6">
      <c r="A41" s="438"/>
      <c r="B41" s="434"/>
      <c r="C41" s="434"/>
      <c r="D41" s="434"/>
      <c r="E41" s="434"/>
      <c r="F41" s="434"/>
    </row>
    <row r="42" spans="1:6">
      <c r="A42" s="438" t="s">
        <v>445</v>
      </c>
      <c r="B42" s="434"/>
      <c r="C42" s="434"/>
      <c r="D42" s="434"/>
      <c r="E42" s="434"/>
      <c r="F42" s="434"/>
    </row>
    <row r="43" spans="1:6">
      <c r="A43" s="438" t="s">
        <v>446</v>
      </c>
      <c r="B43" s="434"/>
      <c r="C43" s="434"/>
      <c r="D43" s="434"/>
      <c r="E43" s="434"/>
      <c r="F43" s="434"/>
    </row>
    <row r="44" spans="1:6">
      <c r="A44" s="438" t="s">
        <v>447</v>
      </c>
      <c r="B44" s="434"/>
      <c r="C44" s="434"/>
      <c r="D44" s="434"/>
      <c r="E44" s="434"/>
      <c r="F44" s="434"/>
    </row>
    <row r="45" spans="1:6">
      <c r="A45" s="438" t="s">
        <v>558</v>
      </c>
      <c r="B45" s="434"/>
      <c r="C45" s="434"/>
      <c r="D45" s="434"/>
      <c r="E45" s="434"/>
      <c r="F45" s="434"/>
    </row>
    <row r="46" spans="1:6">
      <c r="A46" s="438" t="s">
        <v>449</v>
      </c>
      <c r="B46" s="434"/>
      <c r="C46" s="434"/>
      <c r="D46" s="434"/>
      <c r="E46" s="434"/>
      <c r="F46" s="434"/>
    </row>
    <row r="47" spans="1:6">
      <c r="A47" s="438" t="s">
        <v>559</v>
      </c>
      <c r="B47" s="434"/>
      <c r="C47" s="434"/>
      <c r="D47" s="434"/>
      <c r="E47" s="434"/>
      <c r="F47" s="434"/>
    </row>
    <row r="48" spans="1:6">
      <c r="A48" s="438" t="s">
        <v>560</v>
      </c>
      <c r="B48" s="434"/>
      <c r="C48" s="434"/>
      <c r="D48" s="434"/>
      <c r="E48" s="434"/>
      <c r="F48" s="434"/>
    </row>
    <row r="49" spans="1:6">
      <c r="A49" s="438" t="s">
        <v>452</v>
      </c>
      <c r="B49" s="434"/>
      <c r="C49" s="434"/>
      <c r="D49" s="434"/>
      <c r="E49" s="434"/>
      <c r="F49" s="434"/>
    </row>
    <row r="50" spans="1:6">
      <c r="A50" s="438"/>
      <c r="B50" s="434"/>
      <c r="C50" s="434"/>
      <c r="D50" s="434"/>
      <c r="E50" s="434"/>
      <c r="F50" s="434"/>
    </row>
    <row r="51" spans="1:6">
      <c r="A51" s="438" t="s">
        <v>453</v>
      </c>
      <c r="B51" s="434"/>
      <c r="C51" s="434"/>
      <c r="D51" s="434"/>
      <c r="E51" s="434"/>
      <c r="F51" s="434"/>
    </row>
    <row r="52" spans="1:6">
      <c r="A52" s="438" t="s">
        <v>454</v>
      </c>
      <c r="B52" s="434"/>
      <c r="C52" s="434"/>
      <c r="D52" s="434"/>
      <c r="E52" s="434"/>
      <c r="F52" s="434"/>
    </row>
    <row r="53" spans="1:6">
      <c r="A53" s="438" t="s">
        <v>455</v>
      </c>
      <c r="B53" s="434"/>
      <c r="C53" s="434"/>
      <c r="D53" s="434"/>
      <c r="E53" s="434"/>
      <c r="F53" s="434"/>
    </row>
    <row r="54" spans="1:6">
      <c r="A54" s="438"/>
      <c r="B54" s="434"/>
      <c r="C54" s="434"/>
      <c r="D54" s="434"/>
      <c r="E54" s="434"/>
      <c r="F54" s="434"/>
    </row>
    <row r="55" spans="1:6">
      <c r="A55" s="438" t="s">
        <v>561</v>
      </c>
      <c r="B55" s="434"/>
      <c r="C55" s="434"/>
      <c r="D55" s="434"/>
      <c r="E55" s="434"/>
      <c r="F55" s="434"/>
    </row>
    <row r="56" spans="1:6">
      <c r="A56" s="438" t="s">
        <v>562</v>
      </c>
      <c r="B56" s="434"/>
      <c r="C56" s="434"/>
      <c r="D56" s="434"/>
      <c r="E56" s="434"/>
      <c r="F56" s="434"/>
    </row>
    <row r="57" spans="1:6">
      <c r="A57" s="438" t="s">
        <v>563</v>
      </c>
      <c r="B57" s="434"/>
      <c r="C57" s="434"/>
      <c r="D57" s="434"/>
      <c r="E57" s="434"/>
      <c r="F57" s="434"/>
    </row>
    <row r="58" spans="1:6">
      <c r="A58" s="438" t="s">
        <v>564</v>
      </c>
      <c r="B58" s="434"/>
      <c r="C58" s="434"/>
      <c r="D58" s="434"/>
      <c r="E58" s="434"/>
      <c r="F58" s="434"/>
    </row>
    <row r="59" spans="1:6">
      <c r="A59" s="438" t="s">
        <v>565</v>
      </c>
      <c r="B59" s="434"/>
      <c r="C59" s="434"/>
      <c r="D59" s="434"/>
      <c r="E59" s="434"/>
      <c r="F59" s="434"/>
    </row>
    <row r="60" spans="1:6">
      <c r="A60" s="438"/>
      <c r="B60" s="434"/>
      <c r="C60" s="434"/>
      <c r="D60" s="434"/>
      <c r="E60" s="434"/>
      <c r="F60" s="434"/>
    </row>
    <row r="61" spans="1:6">
      <c r="A61" s="439" t="s">
        <v>566</v>
      </c>
      <c r="B61" s="434"/>
      <c r="C61" s="434"/>
      <c r="D61" s="434"/>
      <c r="E61" s="434"/>
      <c r="F61" s="434"/>
    </row>
    <row r="62" spans="1:6">
      <c r="A62" s="439" t="s">
        <v>567</v>
      </c>
      <c r="B62" s="434"/>
      <c r="C62" s="434"/>
      <c r="D62" s="434"/>
      <c r="E62" s="434"/>
      <c r="F62" s="434"/>
    </row>
    <row r="63" spans="1:6">
      <c r="A63" s="439" t="s">
        <v>568</v>
      </c>
      <c r="B63" s="434"/>
      <c r="C63" s="434"/>
      <c r="D63" s="434"/>
      <c r="E63" s="434"/>
      <c r="F63" s="434"/>
    </row>
    <row r="64" spans="1:6">
      <c r="A64" s="439" t="s">
        <v>569</v>
      </c>
    </row>
    <row r="65" spans="1:1">
      <c r="A65" s="439" t="s">
        <v>570</v>
      </c>
    </row>
    <row r="66" spans="1:1">
      <c r="A66" s="439" t="s">
        <v>571</v>
      </c>
    </row>
    <row r="68" spans="1:1">
      <c r="A68" s="434" t="s">
        <v>572</v>
      </c>
    </row>
    <row r="69" spans="1:1">
      <c r="A69" s="434" t="s">
        <v>573</v>
      </c>
    </row>
    <row r="70" spans="1:1">
      <c r="A70" s="434" t="s">
        <v>574</v>
      </c>
    </row>
    <row r="71" spans="1:1">
      <c r="A71" s="434" t="s">
        <v>575</v>
      </c>
    </row>
    <row r="72" spans="1:1">
      <c r="A72" s="434" t="s">
        <v>576</v>
      </c>
    </row>
    <row r="73" spans="1:1">
      <c r="A73" s="434" t="s">
        <v>577</v>
      </c>
    </row>
    <row r="75" spans="1:1">
      <c r="A75" s="434" t="s">
        <v>482</v>
      </c>
    </row>
  </sheetData>
  <sheetProtection sheet="1"/>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sheetPr>
    <tabColor rgb="FFFF0000"/>
  </sheetPr>
  <dimension ref="A3:G106"/>
  <sheetViews>
    <sheetView workbookViewId="0">
      <selection activeCell="A2" sqref="A2"/>
    </sheetView>
  </sheetViews>
  <sheetFormatPr defaultRowHeight="15"/>
  <cols>
    <col min="1" max="1" width="71.33203125" customWidth="1"/>
  </cols>
  <sheetData>
    <row r="3" spans="1:7">
      <c r="A3" s="433" t="s">
        <v>578</v>
      </c>
      <c r="B3" s="433"/>
      <c r="C3" s="433"/>
      <c r="D3" s="433"/>
      <c r="E3" s="433"/>
      <c r="F3" s="433"/>
      <c r="G3" s="433"/>
    </row>
    <row r="4" spans="1:7">
      <c r="A4" s="433"/>
      <c r="B4" s="433"/>
      <c r="C4" s="433"/>
      <c r="D4" s="433"/>
      <c r="E4" s="433"/>
      <c r="F4" s="433"/>
      <c r="G4" s="433"/>
    </row>
    <row r="5" spans="1:7">
      <c r="A5" s="434" t="s">
        <v>484</v>
      </c>
    </row>
    <row r="6" spans="1:7">
      <c r="A6" s="434" t="str">
        <f>CONCATENATE(inputPrYr!C4-1," estimated expenditures show that at the end of this year")</f>
        <v>2012 estimated expenditures show that at the end of this year</v>
      </c>
    </row>
    <row r="7" spans="1:7">
      <c r="A7" s="434" t="s">
        <v>579</v>
      </c>
    </row>
    <row r="8" spans="1:7">
      <c r="A8" s="434" t="s">
        <v>580</v>
      </c>
    </row>
    <row r="10" spans="1:7">
      <c r="A10" t="s">
        <v>486</v>
      </c>
    </row>
    <row r="11" spans="1:7">
      <c r="A11" t="s">
        <v>487</v>
      </c>
    </row>
    <row r="12" spans="1:7">
      <c r="A12" t="s">
        <v>488</v>
      </c>
    </row>
    <row r="13" spans="1:7">
      <c r="A13" s="433"/>
      <c r="B13" s="433"/>
      <c r="C13" s="433"/>
      <c r="D13" s="433"/>
      <c r="E13" s="433"/>
      <c r="F13" s="433"/>
      <c r="G13" s="433"/>
    </row>
    <row r="14" spans="1:7">
      <c r="A14" s="435" t="s">
        <v>581</v>
      </c>
    </row>
    <row r="15" spans="1:7">
      <c r="A15" s="434"/>
    </row>
    <row r="16" spans="1:7">
      <c r="A16" s="434" t="s">
        <v>582</v>
      </c>
    </row>
    <row r="17" spans="1:7">
      <c r="A17" s="434" t="s">
        <v>583</v>
      </c>
    </row>
    <row r="18" spans="1:7">
      <c r="A18" s="434" t="s">
        <v>584</v>
      </c>
    </row>
    <row r="19" spans="1:7">
      <c r="A19" s="434"/>
    </row>
    <row r="20" spans="1:7">
      <c r="A20" s="434" t="s">
        <v>585</v>
      </c>
    </row>
    <row r="21" spans="1:7">
      <c r="A21" s="434" t="s">
        <v>586</v>
      </c>
    </row>
    <row r="22" spans="1:7">
      <c r="A22" s="434" t="s">
        <v>587</v>
      </c>
    </row>
    <row r="23" spans="1:7">
      <c r="A23" s="434" t="s">
        <v>588</v>
      </c>
    </row>
    <row r="24" spans="1:7">
      <c r="A24" s="434"/>
    </row>
    <row r="25" spans="1:7">
      <c r="A25" s="435" t="s">
        <v>550</v>
      </c>
    </row>
    <row r="26" spans="1:7">
      <c r="A26" s="435"/>
    </row>
    <row r="27" spans="1:7">
      <c r="A27" s="434" t="s">
        <v>551</v>
      </c>
    </row>
    <row r="28" spans="1:7">
      <c r="A28" s="434" t="s">
        <v>552</v>
      </c>
      <c r="B28" s="434"/>
      <c r="C28" s="434"/>
      <c r="D28" s="434"/>
      <c r="E28" s="434"/>
      <c r="F28" s="434"/>
    </row>
    <row r="29" spans="1:7">
      <c r="A29" s="434" t="s">
        <v>553</v>
      </c>
      <c r="B29" s="434"/>
      <c r="C29" s="434"/>
      <c r="D29" s="434"/>
      <c r="E29" s="434"/>
      <c r="F29" s="434"/>
    </row>
    <row r="30" spans="1:7">
      <c r="A30" s="434" t="s">
        <v>554</v>
      </c>
      <c r="B30" s="434"/>
      <c r="C30" s="434"/>
      <c r="D30" s="434"/>
      <c r="E30" s="434"/>
      <c r="F30" s="434"/>
    </row>
    <row r="31" spans="1:7">
      <c r="A31" s="434"/>
    </row>
    <row r="32" spans="1:7">
      <c r="A32" s="435" t="s">
        <v>555</v>
      </c>
      <c r="B32" s="435"/>
      <c r="C32" s="435"/>
      <c r="D32" s="435"/>
      <c r="E32" s="435"/>
      <c r="F32" s="435"/>
      <c r="G32" s="435"/>
    </row>
    <row r="33" spans="1:7">
      <c r="A33" s="435" t="s">
        <v>556</v>
      </c>
      <c r="B33" s="435"/>
      <c r="C33" s="435"/>
      <c r="D33" s="435"/>
      <c r="E33" s="435"/>
      <c r="F33" s="435"/>
      <c r="G33" s="435"/>
    </row>
    <row r="34" spans="1:7">
      <c r="A34" s="435"/>
      <c r="B34" s="435"/>
      <c r="C34" s="435"/>
      <c r="D34" s="435"/>
      <c r="E34" s="435"/>
      <c r="F34" s="435"/>
      <c r="G34" s="435"/>
    </row>
    <row r="35" spans="1:7">
      <c r="A35" s="434" t="s">
        <v>589</v>
      </c>
      <c r="B35" s="434"/>
      <c r="C35" s="434"/>
      <c r="D35" s="434"/>
      <c r="E35" s="434"/>
      <c r="F35" s="434"/>
      <c r="G35" s="434"/>
    </row>
    <row r="36" spans="1:7">
      <c r="A36" s="434" t="s">
        <v>590</v>
      </c>
      <c r="B36" s="434"/>
      <c r="C36" s="434"/>
      <c r="D36" s="434"/>
      <c r="E36" s="434"/>
      <c r="F36" s="434"/>
      <c r="G36" s="434"/>
    </row>
    <row r="37" spans="1:7">
      <c r="A37" s="434" t="s">
        <v>591</v>
      </c>
      <c r="B37" s="434"/>
      <c r="C37" s="434"/>
      <c r="D37" s="434"/>
      <c r="E37" s="434"/>
      <c r="F37" s="434"/>
      <c r="G37" s="434"/>
    </row>
    <row r="38" spans="1:7">
      <c r="A38" s="434" t="s">
        <v>592</v>
      </c>
      <c r="B38" s="434"/>
      <c r="C38" s="434"/>
      <c r="D38" s="434"/>
      <c r="E38" s="434"/>
      <c r="F38" s="434"/>
      <c r="G38" s="434"/>
    </row>
    <row r="39" spans="1:7">
      <c r="A39" s="434" t="s">
        <v>593</v>
      </c>
      <c r="B39" s="434"/>
      <c r="C39" s="434"/>
      <c r="D39" s="434"/>
      <c r="E39" s="434"/>
      <c r="F39" s="434"/>
      <c r="G39" s="434"/>
    </row>
    <row r="40" spans="1:7">
      <c r="A40" s="435"/>
      <c r="B40" s="435"/>
      <c r="C40" s="435"/>
      <c r="D40" s="435"/>
      <c r="E40" s="435"/>
      <c r="F40" s="435"/>
      <c r="G40" s="435"/>
    </row>
    <row r="41" spans="1:7">
      <c r="A41" s="438" t="str">
        <f>CONCATENATE("So, let's look to see if any of your ",inputPrYr!C4-1," expenditures can")</f>
        <v>So, let's look to see if any of your 2012 expenditures can</v>
      </c>
      <c r="B41" s="434"/>
      <c r="C41" s="434"/>
      <c r="D41" s="434"/>
      <c r="E41" s="434"/>
      <c r="F41" s="434"/>
    </row>
    <row r="42" spans="1:7">
      <c r="A42" s="438" t="s">
        <v>557</v>
      </c>
      <c r="B42" s="434"/>
      <c r="C42" s="434"/>
      <c r="D42" s="434"/>
      <c r="E42" s="434"/>
      <c r="F42" s="434"/>
    </row>
    <row r="43" spans="1:7">
      <c r="A43" s="438" t="s">
        <v>441</v>
      </c>
      <c r="B43" s="434"/>
      <c r="C43" s="434"/>
      <c r="D43" s="434"/>
      <c r="E43" s="434"/>
      <c r="F43" s="434"/>
    </row>
    <row r="44" spans="1:7">
      <c r="A44" s="438" t="s">
        <v>442</v>
      </c>
      <c r="B44" s="434"/>
      <c r="C44" s="434"/>
      <c r="D44" s="434"/>
      <c r="E44" s="434"/>
      <c r="F44" s="434"/>
    </row>
    <row r="45" spans="1:7">
      <c r="A45" s="434"/>
    </row>
    <row r="46" spans="1:7">
      <c r="A46" s="438" t="str">
        <f>CONCATENATE("Additionally, do your ",inputPrYr!C4-1," receipts contain a reimbursement")</f>
        <v>Additionally, do your 2012 receipts contain a reimbursement</v>
      </c>
      <c r="B46" s="434"/>
      <c r="C46" s="434"/>
      <c r="D46" s="434"/>
      <c r="E46" s="434"/>
      <c r="F46" s="434"/>
    </row>
    <row r="47" spans="1:7">
      <c r="A47" s="438" t="s">
        <v>443</v>
      </c>
      <c r="B47" s="434"/>
      <c r="C47" s="434"/>
      <c r="D47" s="434"/>
      <c r="E47" s="434"/>
      <c r="F47" s="434"/>
    </row>
    <row r="48" spans="1:7">
      <c r="A48" s="438" t="s">
        <v>444</v>
      </c>
      <c r="B48" s="434"/>
      <c r="C48" s="434"/>
      <c r="D48" s="434"/>
      <c r="E48" s="434"/>
      <c r="F48" s="434"/>
    </row>
    <row r="49" spans="1:7">
      <c r="A49" s="434"/>
      <c r="B49" s="434"/>
      <c r="C49" s="434"/>
      <c r="D49" s="434"/>
      <c r="E49" s="434"/>
      <c r="F49" s="434"/>
      <c r="G49" s="434"/>
    </row>
    <row r="50" spans="1:7">
      <c r="A50" s="434" t="s">
        <v>511</v>
      </c>
      <c r="B50" s="434"/>
      <c r="C50" s="434"/>
      <c r="D50" s="434"/>
      <c r="E50" s="434"/>
      <c r="F50" s="434"/>
      <c r="G50" s="434"/>
    </row>
    <row r="51" spans="1:7">
      <c r="A51" s="434" t="s">
        <v>512</v>
      </c>
      <c r="B51" s="434"/>
      <c r="C51" s="434"/>
      <c r="D51" s="434"/>
      <c r="E51" s="434"/>
      <c r="F51" s="434"/>
      <c r="G51" s="434"/>
    </row>
    <row r="52" spans="1:7">
      <c r="A52" s="434" t="s">
        <v>513</v>
      </c>
      <c r="B52" s="434"/>
      <c r="C52" s="434"/>
      <c r="D52" s="434"/>
      <c r="E52" s="434"/>
      <c r="F52" s="434"/>
      <c r="G52" s="434"/>
    </row>
    <row r="53" spans="1:7">
      <c r="A53" s="434" t="s">
        <v>514</v>
      </c>
      <c r="B53" s="434"/>
      <c r="C53" s="434"/>
      <c r="D53" s="434"/>
      <c r="E53" s="434"/>
      <c r="F53" s="434"/>
      <c r="G53" s="434"/>
    </row>
    <row r="54" spans="1:7">
      <c r="A54" s="434" t="s">
        <v>515</v>
      </c>
      <c r="B54" s="434"/>
      <c r="C54" s="434"/>
      <c r="D54" s="434"/>
      <c r="E54" s="434"/>
      <c r="F54" s="434"/>
      <c r="G54" s="434"/>
    </row>
    <row r="55" spans="1:7">
      <c r="A55" s="434"/>
      <c r="B55" s="434"/>
      <c r="C55" s="434"/>
      <c r="D55" s="434"/>
      <c r="E55" s="434"/>
      <c r="F55" s="434"/>
      <c r="G55" s="434"/>
    </row>
    <row r="56" spans="1:7">
      <c r="A56" s="438" t="s">
        <v>453</v>
      </c>
      <c r="B56" s="434"/>
      <c r="C56" s="434"/>
      <c r="D56" s="434"/>
      <c r="E56" s="434"/>
      <c r="F56" s="434"/>
    </row>
    <row r="57" spans="1:7">
      <c r="A57" s="438" t="s">
        <v>454</v>
      </c>
      <c r="B57" s="434"/>
      <c r="C57" s="434"/>
      <c r="D57" s="434"/>
      <c r="E57" s="434"/>
      <c r="F57" s="434"/>
    </row>
    <row r="58" spans="1:7">
      <c r="A58" s="438" t="s">
        <v>455</v>
      </c>
      <c r="B58" s="434"/>
      <c r="C58" s="434"/>
      <c r="D58" s="434"/>
      <c r="E58" s="434"/>
      <c r="F58" s="434"/>
    </row>
    <row r="59" spans="1:7">
      <c r="A59" s="438"/>
      <c r="B59" s="434"/>
      <c r="C59" s="434"/>
      <c r="D59" s="434"/>
      <c r="E59" s="434"/>
      <c r="F59" s="434"/>
    </row>
    <row r="60" spans="1:7">
      <c r="A60" s="434" t="s">
        <v>594</v>
      </c>
      <c r="B60" s="434"/>
      <c r="C60" s="434"/>
      <c r="D60" s="434"/>
      <c r="E60" s="434"/>
      <c r="F60" s="434"/>
      <c r="G60" s="434"/>
    </row>
    <row r="61" spans="1:7">
      <c r="A61" s="434" t="s">
        <v>595</v>
      </c>
      <c r="B61" s="434"/>
      <c r="C61" s="434"/>
      <c r="D61" s="434"/>
      <c r="E61" s="434"/>
      <c r="F61" s="434"/>
      <c r="G61" s="434"/>
    </row>
    <row r="62" spans="1:7">
      <c r="A62" s="434" t="s">
        <v>596</v>
      </c>
      <c r="B62" s="434"/>
      <c r="C62" s="434"/>
      <c r="D62" s="434"/>
      <c r="E62" s="434"/>
      <c r="F62" s="434"/>
      <c r="G62" s="434"/>
    </row>
    <row r="63" spans="1:7">
      <c r="A63" s="434" t="s">
        <v>597</v>
      </c>
      <c r="B63" s="434"/>
      <c r="C63" s="434"/>
      <c r="D63" s="434"/>
      <c r="E63" s="434"/>
      <c r="F63" s="434"/>
      <c r="G63" s="434"/>
    </row>
    <row r="64" spans="1:7">
      <c r="A64" s="434" t="s">
        <v>598</v>
      </c>
      <c r="B64" s="434"/>
      <c r="C64" s="434"/>
      <c r="D64" s="434"/>
      <c r="E64" s="434"/>
      <c r="F64" s="434"/>
      <c r="G64" s="434"/>
    </row>
    <row r="66" spans="1:6">
      <c r="A66" s="438" t="s">
        <v>561</v>
      </c>
      <c r="B66" s="434"/>
      <c r="C66" s="434"/>
      <c r="D66" s="434"/>
      <c r="E66" s="434"/>
      <c r="F66" s="434"/>
    </row>
    <row r="67" spans="1:6">
      <c r="A67" s="438" t="s">
        <v>562</v>
      </c>
      <c r="B67" s="434"/>
      <c r="C67" s="434"/>
      <c r="D67" s="434"/>
      <c r="E67" s="434"/>
      <c r="F67" s="434"/>
    </row>
    <row r="68" spans="1:6">
      <c r="A68" s="438" t="s">
        <v>563</v>
      </c>
      <c r="B68" s="434"/>
      <c r="C68" s="434"/>
      <c r="D68" s="434"/>
      <c r="E68" s="434"/>
      <c r="F68" s="434"/>
    </row>
    <row r="69" spans="1:6">
      <c r="A69" s="438" t="s">
        <v>564</v>
      </c>
      <c r="B69" s="434"/>
      <c r="C69" s="434"/>
      <c r="D69" s="434"/>
      <c r="E69" s="434"/>
      <c r="F69" s="434"/>
    </row>
    <row r="70" spans="1:6">
      <c r="A70" s="438" t="s">
        <v>565</v>
      </c>
      <c r="B70" s="434"/>
      <c r="C70" s="434"/>
      <c r="D70" s="434"/>
      <c r="E70" s="434"/>
      <c r="F70" s="434"/>
    </row>
    <row r="71" spans="1:6">
      <c r="A71" s="434"/>
    </row>
    <row r="72" spans="1:6">
      <c r="A72" s="434" t="s">
        <v>482</v>
      </c>
    </row>
    <row r="73" spans="1:6">
      <c r="A73" s="434"/>
    </row>
    <row r="74" spans="1:6">
      <c r="A74" s="434"/>
    </row>
    <row r="75" spans="1:6">
      <c r="A75" s="434"/>
    </row>
    <row r="78" spans="1:6">
      <c r="A78" s="435"/>
    </row>
    <row r="80" spans="1:6">
      <c r="A80" s="434"/>
    </row>
    <row r="81" spans="1:1">
      <c r="A81" s="434"/>
    </row>
    <row r="82" spans="1:1">
      <c r="A82" s="434"/>
    </row>
    <row r="83" spans="1:1">
      <c r="A83" s="434"/>
    </row>
    <row r="84" spans="1:1">
      <c r="A84" s="434"/>
    </row>
    <row r="85" spans="1:1">
      <c r="A85" s="434"/>
    </row>
    <row r="86" spans="1:1">
      <c r="A86" s="434"/>
    </row>
    <row r="87" spans="1:1">
      <c r="A87" s="434"/>
    </row>
    <row r="88" spans="1:1">
      <c r="A88" s="434"/>
    </row>
    <row r="89" spans="1:1">
      <c r="A89" s="434"/>
    </row>
    <row r="90" spans="1:1">
      <c r="A90" s="434"/>
    </row>
    <row r="92" spans="1:1">
      <c r="A92" s="434"/>
    </row>
    <row r="93" spans="1:1">
      <c r="A93" s="434"/>
    </row>
    <row r="94" spans="1:1">
      <c r="A94" s="434"/>
    </row>
    <row r="95" spans="1:1">
      <c r="A95" s="434"/>
    </row>
    <row r="96" spans="1:1">
      <c r="A96" s="434"/>
    </row>
    <row r="97" spans="1:1">
      <c r="A97" s="434"/>
    </row>
    <row r="98" spans="1:1">
      <c r="A98" s="434"/>
    </row>
    <row r="99" spans="1:1">
      <c r="A99" s="434"/>
    </row>
    <row r="100" spans="1:1">
      <c r="A100" s="434"/>
    </row>
    <row r="101" spans="1:1">
      <c r="A101" s="434"/>
    </row>
    <row r="102" spans="1:1">
      <c r="A102" s="434"/>
    </row>
    <row r="103" spans="1:1">
      <c r="A103" s="434"/>
    </row>
    <row r="104" spans="1:1">
      <c r="A104" s="434"/>
    </row>
    <row r="105" spans="1:1">
      <c r="A105" s="434"/>
    </row>
    <row r="106" spans="1:1">
      <c r="A106" s="434"/>
    </row>
  </sheetData>
  <sheetProtection sheet="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F84"/>
  <sheetViews>
    <sheetView topLeftCell="A39" zoomScale="90" workbookViewId="0">
      <selection activeCell="I56" sqref="I56"/>
    </sheetView>
  </sheetViews>
  <sheetFormatPr defaultColWidth="8.88671875" defaultRowHeight="12.75"/>
  <cols>
    <col min="1" max="1" width="20.77734375" style="163" customWidth="1"/>
    <col min="2" max="2" width="9.77734375" style="163" customWidth="1"/>
    <col min="3" max="3" width="5.77734375" style="163" customWidth="1"/>
    <col min="4" max="6" width="15.77734375" style="163" customWidth="1"/>
    <col min="7" max="16384" width="8.88671875" style="163"/>
  </cols>
  <sheetData>
    <row r="1" spans="1:6">
      <c r="A1" s="162"/>
      <c r="B1" s="162"/>
      <c r="C1" s="162"/>
      <c r="D1" s="162"/>
      <c r="E1" s="162"/>
      <c r="F1" s="162"/>
    </row>
    <row r="2" spans="1:6">
      <c r="A2" s="748" t="s">
        <v>230</v>
      </c>
      <c r="B2" s="748"/>
      <c r="C2" s="748"/>
      <c r="D2" s="748"/>
      <c r="E2" s="748"/>
      <c r="F2" s="748"/>
    </row>
    <row r="3" spans="1:6" ht="15" customHeight="1">
      <c r="A3" s="164"/>
      <c r="B3" s="164"/>
      <c r="C3" s="164"/>
      <c r="D3" s="164"/>
      <c r="E3" s="164"/>
      <c r="F3" s="162">
        <f>inputPrYr!C4</f>
        <v>2013</v>
      </c>
    </row>
    <row r="4" spans="1:6" ht="15">
      <c r="A4" s="753" t="str">
        <f>CONCATENATE("To the Clerk of ",inputPrYr!C2,", State of Kansas")</f>
        <v>To the Clerk of Franklin County, State of Kansas</v>
      </c>
      <c r="B4" s="754"/>
      <c r="C4" s="754"/>
      <c r="D4" s="754"/>
      <c r="E4" s="754"/>
      <c r="F4" s="754"/>
    </row>
    <row r="5" spans="1:6" ht="15">
      <c r="A5" s="753" t="s">
        <v>5</v>
      </c>
      <c r="B5" s="755"/>
      <c r="C5" s="755"/>
      <c r="D5" s="755"/>
      <c r="E5" s="755"/>
      <c r="F5" s="755"/>
    </row>
    <row r="6" spans="1:6" ht="15">
      <c r="A6" s="751" t="str">
        <f>(inputPrYr!C2)</f>
        <v>Franklin County</v>
      </c>
      <c r="B6" s="752"/>
      <c r="C6" s="752"/>
      <c r="D6" s="752"/>
      <c r="E6" s="752"/>
      <c r="F6" s="752"/>
    </row>
    <row r="7" spans="1:6">
      <c r="A7" s="166" t="s">
        <v>133</v>
      </c>
      <c r="B7" s="167"/>
      <c r="C7" s="167"/>
      <c r="D7" s="167"/>
      <c r="E7" s="167"/>
      <c r="F7" s="167"/>
    </row>
    <row r="8" spans="1:6">
      <c r="A8" s="166" t="s">
        <v>134</v>
      </c>
      <c r="B8" s="167"/>
      <c r="C8" s="167"/>
      <c r="D8" s="167"/>
      <c r="E8" s="167"/>
      <c r="F8" s="167"/>
    </row>
    <row r="9" spans="1:6">
      <c r="A9" s="166" t="str">
        <f>CONCATENATE("maximum expenditure for the various funds for the year ",F3,"; and")</f>
        <v>maximum expenditure for the various funds for the year 2013; and</v>
      </c>
      <c r="B9" s="167"/>
      <c r="C9" s="167"/>
      <c r="D9" s="167"/>
      <c r="E9" s="167"/>
      <c r="F9" s="167"/>
    </row>
    <row r="10" spans="1:6">
      <c r="A10" s="166" t="str">
        <f>CONCATENATE("(3) the Amount(s) of ",F3-1," Ad Valorem Tax are within statutory limitations.")</f>
        <v>(3) the Amount(s) of 2012 Ad Valorem Tax are within statutory limitations.</v>
      </c>
      <c r="B10" s="167"/>
      <c r="C10" s="167"/>
      <c r="D10" s="167"/>
      <c r="E10" s="167"/>
      <c r="F10" s="167"/>
    </row>
    <row r="11" spans="1:6" ht="8.25" customHeight="1">
      <c r="A11" s="168"/>
      <c r="B11" s="164"/>
      <c r="C11" s="164"/>
      <c r="D11" s="169"/>
      <c r="E11" s="169"/>
      <c r="F11" s="169"/>
    </row>
    <row r="12" spans="1:6">
      <c r="A12" s="164"/>
      <c r="B12" s="164"/>
      <c r="C12" s="164"/>
      <c r="D12" s="170" t="str">
        <f>CONCATENATE("",F3," Adopted Budget")</f>
        <v>2013 Adopted Budget</v>
      </c>
      <c r="E12" s="171"/>
      <c r="F12" s="172"/>
    </row>
    <row r="13" spans="1:6" ht="13.5" customHeight="1">
      <c r="A13" s="164"/>
      <c r="B13" s="164"/>
      <c r="C13" s="173" t="s">
        <v>135</v>
      </c>
      <c r="D13" s="476" t="s">
        <v>674</v>
      </c>
      <c r="E13" s="749" t="str">
        <f>CONCATENATE("Amount of ",F3-1,"               Ad Valorem Tax")</f>
        <v>Amount of 2012               Ad Valorem Tax</v>
      </c>
      <c r="F13" s="173" t="s">
        <v>136</v>
      </c>
    </row>
    <row r="14" spans="1:6" ht="12.75" customHeight="1">
      <c r="A14" s="174" t="s">
        <v>137</v>
      </c>
      <c r="B14" s="175"/>
      <c r="C14" s="176" t="s">
        <v>138</v>
      </c>
      <c r="D14" s="475" t="s">
        <v>675</v>
      </c>
      <c r="E14" s="750"/>
      <c r="F14" s="176" t="s">
        <v>140</v>
      </c>
    </row>
    <row r="15" spans="1:6">
      <c r="A15" s="177" t="str">
        <f>CONCATENATE("Computation to Determine Limit for ",F3,"")</f>
        <v>Computation to Determine Limit for 2013</v>
      </c>
      <c r="B15" s="181"/>
      <c r="C15" s="176">
        <v>2</v>
      </c>
      <c r="D15" s="178"/>
      <c r="E15" s="178"/>
      <c r="F15" s="178"/>
    </row>
    <row r="16" spans="1:6">
      <c r="A16" s="180" t="s">
        <v>844</v>
      </c>
      <c r="B16" s="181"/>
      <c r="C16" s="182">
        <v>3</v>
      </c>
      <c r="D16" s="178"/>
      <c r="E16" s="178"/>
      <c r="F16" s="178"/>
    </row>
    <row r="17" spans="1:6">
      <c r="A17" s="661" t="s">
        <v>285</v>
      </c>
      <c r="B17" s="707"/>
      <c r="C17" s="182">
        <v>4</v>
      </c>
      <c r="D17" s="178"/>
      <c r="E17" s="178"/>
      <c r="F17" s="178"/>
    </row>
    <row r="18" spans="1:6">
      <c r="A18" s="180" t="s">
        <v>141</v>
      </c>
      <c r="B18" s="181"/>
      <c r="C18" s="183">
        <v>5</v>
      </c>
      <c r="D18" s="184"/>
      <c r="E18" s="184"/>
      <c r="F18" s="184"/>
    </row>
    <row r="19" spans="1:6">
      <c r="A19" s="180" t="s">
        <v>142</v>
      </c>
      <c r="B19" s="181"/>
      <c r="C19" s="185">
        <v>6</v>
      </c>
      <c r="D19" s="184"/>
      <c r="E19" s="184"/>
      <c r="F19" s="184"/>
    </row>
    <row r="20" spans="1:6">
      <c r="A20" s="186" t="s">
        <v>143</v>
      </c>
      <c r="B20" s="187" t="s">
        <v>144</v>
      </c>
      <c r="C20" s="188"/>
      <c r="D20" s="189"/>
      <c r="E20" s="189"/>
      <c r="F20" s="189"/>
    </row>
    <row r="21" spans="1:6" ht="15.75">
      <c r="A21" s="177" t="str">
        <f>inputPrYr!B16</f>
        <v>General</v>
      </c>
      <c r="B21" s="190" t="str">
        <f>inputPrYr!C16</f>
        <v>79-1946</v>
      </c>
      <c r="C21" s="183">
        <v>7</v>
      </c>
      <c r="D21" s="711">
        <f>IF(general!$E$117&lt;&gt;0,general!$E$117,"  ")</f>
        <v>8089908</v>
      </c>
      <c r="E21" s="712">
        <f>IF(general!$E$124&lt;&gt;0,general!$E$124,0)</f>
        <v>3680701.5</v>
      </c>
      <c r="F21" s="713" t="str">
        <f>IF(AND(general!E124=0,$F$69&gt;=0)," ",IF(AND(E21&gt;0,$F$69=0)," ",IF(AND(E21&gt;0,$F$69&gt;0),ROUND(E21/$F$69*1000,3))))</f>
        <v xml:space="preserve"> </v>
      </c>
    </row>
    <row r="22" spans="1:6" ht="15.75">
      <c r="A22" s="177" t="str">
        <f>inputPrYr!B17</f>
        <v>Debt Service</v>
      </c>
      <c r="B22" s="190" t="str">
        <f>inputPrYr!C17</f>
        <v>10-113</v>
      </c>
      <c r="C22" s="193" t="str">
        <f>IF('Bond &amp; Interest'!C59&gt;0,'Bond &amp; Interest'!C59,"")</f>
        <v/>
      </c>
      <c r="D22" s="711">
        <f>IF('Bond &amp; Interest'!$E$50&lt;&gt;0,'Bond &amp; Interest'!$E$50,"  ")</f>
        <v>1127804</v>
      </c>
      <c r="E22" s="712">
        <f>IF('Bond &amp; Interest'!$E$57&lt;&gt;0,'Bond &amp; Interest'!$E$57,0)</f>
        <v>1010334</v>
      </c>
      <c r="F22" s="713" t="str">
        <f>IF(AND('Bond &amp; Interest'!E57=0,$F$69&gt;=0)," ",IF(AND(E22&gt;0,$F$69=0)," ",IF(AND(E22&gt;0,$F$69&gt;0),ROUND(E22/$F$69*1000,3))))</f>
        <v xml:space="preserve"> </v>
      </c>
    </row>
    <row r="23" spans="1:6" ht="15.75">
      <c r="A23" s="177" t="str">
        <f>inputPrYr!B18</f>
        <v>Road &amp; Bridge</v>
      </c>
      <c r="B23" s="190" t="str">
        <f>inputPrYr!C18</f>
        <v>79-1946</v>
      </c>
      <c r="C23" s="183" t="str">
        <f>IF('Road &amp; Bridge'!C57&gt;0,'Road &amp; Bridge'!C57,"")</f>
        <v/>
      </c>
      <c r="D23" s="711">
        <f>IF('Road &amp; Bridge'!$E$111&lt;&gt;0,'Road &amp; Bridge'!$E$111,"  ")</f>
        <v>5153308</v>
      </c>
      <c r="E23" s="712">
        <f>IF('Road &amp; Bridge'!$E$118&lt;&gt;0,'Road &amp; Bridge'!$E$118,0)</f>
        <v>3389622.6</v>
      </c>
      <c r="F23" s="713" t="str">
        <f>IF(AND('Road &amp; Bridge'!E118=0,$F$69&gt;=0)," ",IF(AND(E23&gt;0,$F$69=0)," ",IF(AND(E23&gt;0,$F$69&gt;0),ROUND(E23/$F$69*1000,3))))</f>
        <v xml:space="preserve"> </v>
      </c>
    </row>
    <row r="24" spans="1:6" ht="15.75">
      <c r="A24" s="191" t="str">
        <f>IF((inputPrYr!$B19&gt;"  "),(inputPrYr!$B19),"  ")</f>
        <v>Special Road and Bridge</v>
      </c>
      <c r="B24" s="190" t="str">
        <f>IF((inputPrYr!C19&gt;0),(inputPrYr!C19),"  ")</f>
        <v xml:space="preserve">  </v>
      </c>
      <c r="C24" s="183" t="str">
        <f>IF('Special R&amp;B|Ambulance'!C81&gt;0,'Special R&amp;B|Ambulance'!C81,"  ")</f>
        <v xml:space="preserve">  </v>
      </c>
      <c r="D24" s="711">
        <f>IF('Special R&amp;B|Ambulance'!$E$33&lt;&gt;0,'Special R&amp;B|Ambulance'!$E$33,"  ")</f>
        <v>97625</v>
      </c>
      <c r="E24" s="712">
        <f>IF('Special R&amp;B|Ambulance'!$E$40&lt;&gt;0,'Special R&amp;B|Ambulance'!$E$40,0)</f>
        <v>0</v>
      </c>
      <c r="F24" s="713" t="str">
        <f>IF(AND('Special R&amp;B|Ambulance'!E40=0,$F$69&gt;=0)," ",IF(AND(E24&gt;0,$F$69=0)," ",IF(AND(E24&gt;0,$F$69&gt;0),ROUND(E24/$F$69*1000,3))))</f>
        <v xml:space="preserve"> </v>
      </c>
    </row>
    <row r="25" spans="1:6" ht="15.75">
      <c r="A25" s="191" t="str">
        <f>IF((inputPrYr!$B20&gt;"  "),(inputPrYr!$B20),"  ")</f>
        <v>Ambulance</v>
      </c>
      <c r="B25" s="190" t="str">
        <f>IF((inputPrYr!C20&gt;0),(inputPrYr!C20),"  ")</f>
        <v xml:space="preserve">  </v>
      </c>
      <c r="C25" s="183" t="str">
        <f>IF('Special R&amp;B|Ambulance'!C81&gt;0,'Special R&amp;B|Ambulance'!C81,"  ")</f>
        <v xml:space="preserve">  </v>
      </c>
      <c r="D25" s="711">
        <f>IF('Special R&amp;B|Ambulance'!$E$73&lt;&gt;0,'Special R&amp;B|Ambulance'!$E$73,"  ")</f>
        <v>1618694</v>
      </c>
      <c r="E25" s="712">
        <f>IF('Special R&amp;B|Ambulance'!$E$80&lt;&gt;0,'Special R&amp;B|Ambulance'!$E$80,0)</f>
        <v>645996</v>
      </c>
      <c r="F25" s="713" t="str">
        <f>IF(AND('Special R&amp;B|Ambulance'!E80=0,$F$69&gt;=0)," ",IF(AND(E25&gt;0,$F$69=0)," ",IF(AND(E25&gt;0,$F$69&gt;0),ROUND(E25/$F$69*1000,3))))</f>
        <v xml:space="preserve"> </v>
      </c>
    </row>
    <row r="26" spans="1:6" ht="15.75">
      <c r="A26" s="191" t="str">
        <f>IF((inputPrYr!$B21&gt;"  "),(inputPrYr!$B21),"  ")</f>
        <v>Appraisal</v>
      </c>
      <c r="B26" s="190" t="str">
        <f>IF((inputPrYr!C21&gt;0),(inputPrYr!C21),"  ")</f>
        <v xml:space="preserve">  </v>
      </c>
      <c r="C26" s="183" t="str">
        <f>IF('Appraisal|County Building'!C81&gt;0,'Appraisal|County Building'!C81,"  ")</f>
        <v xml:space="preserve">  </v>
      </c>
      <c r="D26" s="711" t="str">
        <f>IF('Appraisal|County Building'!$E$33&lt;&gt;0,'Appraisal|County Building'!$E$33,"  ")</f>
        <v xml:space="preserve">  </v>
      </c>
      <c r="E26" s="712">
        <f>IF('Appraisal|County Building'!$E$40&lt;&gt;0,'Appraisal|County Building'!$E$40,0)</f>
        <v>0</v>
      </c>
      <c r="F26" s="713" t="str">
        <f>IF(AND('Appraisal|County Building'!E40=0,$F$69&gt;=0)," ",IF(AND(E26&gt;0,$F$69=0)," ",IF(AND(E26&gt;0,$F$69&gt;0),ROUND(E26/$F$69*1000,3))))</f>
        <v xml:space="preserve"> </v>
      </c>
    </row>
    <row r="27" spans="1:6" ht="15.75">
      <c r="A27" s="191" t="str">
        <f>IF((inputPrYr!$B22&gt;"  "),(inputPrYr!$B22),"  ")</f>
        <v>County Building</v>
      </c>
      <c r="B27" s="190" t="str">
        <f>IF((inputPrYr!C22&gt;0),(inputPrYr!C22),"  ")</f>
        <v xml:space="preserve">  </v>
      </c>
      <c r="C27" s="183" t="str">
        <f>IF('Appraisal|County Building'!C81&gt;0,'Appraisal|County Building'!C81,"  ")</f>
        <v xml:space="preserve">  </v>
      </c>
      <c r="D27" s="711">
        <f>IF('Appraisal|County Building'!$E$73&lt;&gt;0,'Appraisal|County Building'!$E$73,"  ")</f>
        <v>351004</v>
      </c>
      <c r="E27" s="712">
        <f>IF('Appraisal|County Building'!$E$80&lt;&gt;0,'Appraisal|County Building'!$E$80,0)</f>
        <v>361800</v>
      </c>
      <c r="F27" s="713" t="str">
        <f>IF(AND('Appraisal|County Building'!E80=0,$F$69&gt;=0)," ",IF(AND(E27&gt;0,$F$69=0)," ",IF(AND(E27&gt;0,$F$69&gt;0),ROUND(E27/$F$69*1000,3))))</f>
        <v xml:space="preserve"> </v>
      </c>
    </row>
    <row r="28" spans="1:6" ht="15.75">
      <c r="A28" s="191" t="str">
        <f>IF((inputPrYr!$B23&gt;"  "),(inputPrYr!$B23),"  ")</f>
        <v>Election</v>
      </c>
      <c r="B28" s="190" t="str">
        <f>IF((inputPrYr!C23&gt;0),(inputPrYr!C23),"  ")</f>
        <v xml:space="preserve">  </v>
      </c>
      <c r="C28" s="183" t="str">
        <f>IF('Election|Employee Benefits'!C81&gt;0,'Election|Employee Benefits'!C81,"  ")</f>
        <v xml:space="preserve">  </v>
      </c>
      <c r="D28" s="711">
        <f>IF('Election|Employee Benefits'!$E$33&lt;&gt;0,'Election|Employee Benefits'!$E$33,"  ")</f>
        <v>142695</v>
      </c>
      <c r="E28" s="712">
        <f>IF('Election|Employee Benefits'!$E$40&lt;&gt;0,'Election|Employee Benefits'!$E$40,0)</f>
        <v>105024</v>
      </c>
      <c r="F28" s="713" t="str">
        <f>IF(AND('Election|Employee Benefits'!E40=0,$F$69&gt;=0)," ",IF(AND(E28&gt;0,$F$69=0)," ",IF(AND(E28&gt;0,$F$69&gt;0),ROUND(E28/$F$69*1000,3))))</f>
        <v xml:space="preserve"> </v>
      </c>
    </row>
    <row r="29" spans="1:6" ht="15.75">
      <c r="A29" s="191" t="str">
        <f>IF((inputPrYr!$B24&gt;"  "),(inputPrYr!$B24),"  ")</f>
        <v>Employee Benefit</v>
      </c>
      <c r="B29" s="190" t="str">
        <f>IF((inputPrYr!C24&gt;0),(inputPrYr!C24),"  ")</f>
        <v xml:space="preserve">  </v>
      </c>
      <c r="C29" s="183" t="str">
        <f>IF('Election|Employee Benefits'!C81&gt;0,'Election|Employee Benefits'!C81,"  ")</f>
        <v xml:space="preserve">  </v>
      </c>
      <c r="D29" s="711">
        <f>IF('Election|Employee Benefits'!$E$73&lt;&gt;0,'Election|Employee Benefits'!$E$73,"  ")</f>
        <v>3177331</v>
      </c>
      <c r="E29" s="712">
        <f>IF('Election|Employee Benefits'!$E$80&lt;&gt;0,'Election|Employee Benefits'!$E$80,0)</f>
        <v>2705397</v>
      </c>
      <c r="F29" s="713" t="str">
        <f>IF(AND('Election|Employee Benefits'!E80=0,$F$69&gt;=0)," ",IF(AND(E29&gt;0,$F$69=0)," ",IF(AND(E29&gt;0,$F$69&gt;0),ROUND(E29/$F$69*1000,3))))</f>
        <v xml:space="preserve"> </v>
      </c>
    </row>
    <row r="30" spans="1:6" ht="15.75">
      <c r="A30" s="191" t="str">
        <f>IF((inputPrYr!$B25&gt;"  "),(inputPrYr!$B25),"  ")</f>
        <v>Health Department</v>
      </c>
      <c r="B30" s="190" t="str">
        <f>IF((inputPrYr!C25&gt;0),(inputPrYr!C25),"  ")</f>
        <v xml:space="preserve">  </v>
      </c>
      <c r="C30" s="183" t="str">
        <f>IF('Health|Noxious Weed'!C81&gt;0,'Health|Noxious Weed'!C81,"  ")</f>
        <v xml:space="preserve">  </v>
      </c>
      <c r="D30" s="711">
        <f>IF('Health|Noxious Weed'!$E$33&lt;&gt;0,'Health|Noxious Weed'!$E$33,"  ")</f>
        <v>920353</v>
      </c>
      <c r="E30" s="712">
        <f>IF('Health|Noxious Weed'!$E$40&lt;&gt;0,'Health|Noxious Weed'!$E$40,0)</f>
        <v>409460</v>
      </c>
      <c r="F30" s="713" t="str">
        <f>IF(AND('Health|Noxious Weed'!E40=0,$F$69&gt;=0)," ",IF(AND(E30&gt;0,$F$69=0)," ",IF(AND(E30&gt;0,$F$69&gt;0),ROUND(E30/$F$69*1000,3))))</f>
        <v xml:space="preserve"> </v>
      </c>
    </row>
    <row r="31" spans="1:6" ht="15.75">
      <c r="A31" s="191" t="str">
        <f>IF((inputPrYr!$B26&gt;"  "),(inputPrYr!$B26),"  ")</f>
        <v>Noxious Weeds</v>
      </c>
      <c r="B31" s="190" t="str">
        <f>IF((inputPrYr!C26&gt;0),(inputPrYr!C26),"  ")</f>
        <v xml:space="preserve">  </v>
      </c>
      <c r="C31" s="183" t="str">
        <f>IF('Health|Noxious Weed'!C81&gt;0,'Health|Noxious Weed'!C81,"  ")</f>
        <v xml:space="preserve">  </v>
      </c>
      <c r="D31" s="711">
        <f>IF('Health|Noxious Weed'!$E$73&lt;&gt;0,'Health|Noxious Weed'!$E$73,"  ")</f>
        <v>194705</v>
      </c>
      <c r="E31" s="712">
        <f>IF('Health|Noxious Weed'!$E$80&lt;&gt;0,'Health|Noxious Weed'!$E$80,0)</f>
        <v>128686</v>
      </c>
      <c r="F31" s="713" t="str">
        <f>IF(AND('Health|Noxious Weed'!E80=0,$F$69&gt;=0)," ",IF(AND(E31&gt;0,$F$69=0)," ",IF(AND(E31&gt;0,$F$69&gt;0),ROUND(E31/$F$69*1000,3))))</f>
        <v xml:space="preserve"> </v>
      </c>
    </row>
    <row r="32" spans="1:6" ht="15.75">
      <c r="A32" s="191" t="str">
        <f>IF((inputPrYr!$B27&gt;"  "),(inputPrYr!$B27),"  ")</f>
        <v>Special Liability</v>
      </c>
      <c r="B32" s="190" t="str">
        <f>IF((inputPrYr!C27&gt;0),(inputPrYr!C27),"  ")</f>
        <v xml:space="preserve">  </v>
      </c>
      <c r="C32" s="183" t="str">
        <f>IF('Special Liability|Conservation'!C81&gt;0,'Special Liability|Conservation'!C81,"  ")</f>
        <v xml:space="preserve">  </v>
      </c>
      <c r="D32" s="711">
        <f>IF('Special Liability|Conservation'!$E$33&lt;&gt;0,'Special Liability|Conservation'!$E$33,"  ")</f>
        <v>439376</v>
      </c>
      <c r="E32" s="712">
        <f>IF('Special Liability|Conservation'!$E$40&lt;&gt;0,'Special Liability|Conservation'!$E$40,0)</f>
        <v>115950</v>
      </c>
      <c r="F32" s="713" t="str">
        <f>IF(AND('Special Liability|Conservation'!E40=0,$F$69&gt;=0)," ",IF(AND(E32&gt;0,$F$69=0)," ",IF(AND(E32&gt;0,$F$69&gt;0),ROUND(E32/$F$69*1000,3))))</f>
        <v xml:space="preserve"> </v>
      </c>
    </row>
    <row r="33" spans="1:6" ht="15.75">
      <c r="A33" s="191" t="str">
        <f>IF((inputPrYr!$B28&gt;"  "),(inputPrYr!$B28),"  ")</f>
        <v>Conservation District</v>
      </c>
      <c r="B33" s="190" t="str">
        <f>IF((inputPrYr!C28&gt;0),(inputPrYr!C28),"  ")</f>
        <v xml:space="preserve">  </v>
      </c>
      <c r="C33" s="183" t="str">
        <f>IF('Special Liability|Conservation'!C81&gt;0,'Special Liability|Conservation'!C81,"  ")</f>
        <v xml:space="preserve">  </v>
      </c>
      <c r="D33" s="711">
        <f>IF('Special Liability|Conservation'!$E$73&lt;&gt;0,'Special Liability|Conservation'!$E$73,"  ")</f>
        <v>8343</v>
      </c>
      <c r="E33" s="712">
        <f>IF('Special Liability|Conservation'!$E$80&lt;&gt;0,'Special Liability|Conservation'!$E$80,0)</f>
        <v>0</v>
      </c>
      <c r="F33" s="713" t="str">
        <f>IF(AND('Special Liability|Conservation'!E80=0,$F$69&gt;=0)," ",IF(AND(E33&gt;0,$F$69=0)," ",IF(AND(E33&gt;0,$F$69&gt;0),ROUND(E33/$F$69*1000,3))))</f>
        <v xml:space="preserve"> </v>
      </c>
    </row>
    <row r="34" spans="1:6" ht="15.75">
      <c r="A34" s="191" t="str">
        <f>IF((inputPrYr!$B29&gt;"  "),(inputPrYr!$B29),"  ")</f>
        <v>Service for the Elderly</v>
      </c>
      <c r="B34" s="190" t="str">
        <f>IF((inputPrYr!C29&gt;0),(inputPrYr!C29),"  ")</f>
        <v xml:space="preserve">  </v>
      </c>
      <c r="C34" s="183" t="str">
        <f>IF('Elderly|Extension'!C81&gt;0,'Elderly|Extension'!C81,"  ")</f>
        <v xml:space="preserve">  </v>
      </c>
      <c r="D34" s="711">
        <f>IF('Elderly|Extension'!$E$33&lt;&gt;0,'Elderly|Extension'!$E$33,"  ")</f>
        <v>35198</v>
      </c>
      <c r="E34" s="712">
        <f>IF('Elderly|Extension'!$E$40&lt;&gt;0,'Elderly|Extension'!$E$40,0)</f>
        <v>0</v>
      </c>
      <c r="F34" s="713" t="str">
        <f>IF(AND('Elderly|Extension'!E40=0,$F$69&gt;=0)," ",IF(AND(E34&gt;0,$F$69=0)," ",IF(AND(E34&gt;0,$F$69&gt;0),ROUND(E34/$F$69*1000,3))))</f>
        <v xml:space="preserve"> </v>
      </c>
    </row>
    <row r="35" spans="1:6" ht="15.75">
      <c r="A35" s="191" t="str">
        <f>IF((inputPrYr!$B30&gt;"  "),(inputPrYr!$B30),"  ")</f>
        <v>Extension Council</v>
      </c>
      <c r="B35" s="190" t="str">
        <f>IF((inputPrYr!C30&gt;0),(inputPrYr!C30),"  ")</f>
        <v xml:space="preserve">  </v>
      </c>
      <c r="C35" s="183" t="str">
        <f>IF('Elderly|Extension'!C81&gt;0,'Elderly|Extension'!C81,"  ")</f>
        <v xml:space="preserve">  </v>
      </c>
      <c r="D35" s="711" t="str">
        <f>IF('Elderly|Extension'!$E$73&lt;&gt;0,'Elderly|Extension'!$E$73,"  ")</f>
        <v xml:space="preserve">  </v>
      </c>
      <c r="E35" s="712">
        <f>IF('Elderly|Extension'!$E$80&lt;&gt;0,'Elderly|Extension'!$E$80,0)</f>
        <v>0</v>
      </c>
      <c r="F35" s="713" t="str">
        <f>IF(AND('Elderly|Extension'!E80=0,$F$69&gt;=0)," ",IF(AND(E35&gt;0,$F$69=0)," ",IF(AND(E35&gt;0,$F$69&gt;0),ROUND(E35/$F$69*1000,3))))</f>
        <v xml:space="preserve"> </v>
      </c>
    </row>
    <row r="36" spans="1:6" ht="15.75">
      <c r="A36" s="191" t="str">
        <f>IF((inputPrYr!$B31&gt;"  "),(inputPrYr!$B31),"  ")</f>
        <v>Fair Premium</v>
      </c>
      <c r="B36" s="190" t="str">
        <f>IF((inputPrYr!C31&gt;0),(inputPrYr!C31),"  ")</f>
        <v xml:space="preserve">  </v>
      </c>
      <c r="C36" s="183" t="str">
        <f>IF('Fair Prem|Fair Build'!C81&gt;0,'Fair Prem|Fair Build'!C81,"  ")</f>
        <v xml:space="preserve">  </v>
      </c>
      <c r="D36" s="711">
        <f>IF('Fair Prem|Fair Build'!$E$33&lt;&gt;0,'Fair Prem|Fair Build'!$E$33,"  ")</f>
        <v>7017</v>
      </c>
      <c r="E36" s="712">
        <f>IF('Fair Prem|Fair Build'!$E$40&lt;&gt;0,'Fair Prem|Fair Build'!$E$40,0)</f>
        <v>6084</v>
      </c>
      <c r="F36" s="713" t="str">
        <f>IF(AND('Fair Prem|Fair Build'!E40=0,$F$69&gt;=0)," ",IF(AND(E36&gt;0,$F$69=0)," ",IF(AND(E36&gt;0,$F$69&gt;0),ROUND(E36/$F$69*1000,3))))</f>
        <v xml:space="preserve"> </v>
      </c>
    </row>
    <row r="37" spans="1:6" ht="15.75">
      <c r="A37" s="191" t="str">
        <f>IF((inputPrYr!$B32&gt;"  "),(inputPrYr!$B32),"  ")</f>
        <v>Fair Building</v>
      </c>
      <c r="B37" s="190" t="str">
        <f>IF((inputPrYr!C32&gt;0),(inputPrYr!C32),"  ")</f>
        <v xml:space="preserve">  </v>
      </c>
      <c r="C37" s="183" t="str">
        <f>IF('Fair Prem|Fair Build'!C81&gt;0,'Fair Prem|Fair Build'!C81,"  ")</f>
        <v xml:space="preserve">  </v>
      </c>
      <c r="D37" s="711">
        <f>IF('Fair Prem|Fair Build'!$E$73&lt;&gt;0,'Fair Prem|Fair Build'!$E$73,"  ")</f>
        <v>7017</v>
      </c>
      <c r="E37" s="712">
        <f>IF('Fair Prem|Fair Build'!$E$80&lt;&gt;0,'Fair Prem|Fair Build'!$E$80,0)</f>
        <v>6091</v>
      </c>
      <c r="F37" s="713" t="str">
        <f>IF(AND('Fair Prem|Fair Build'!E80=0,$F$69&gt;=0)," ",IF(AND(E37&gt;0,$F$69=0)," ",IF(AND(E37&gt;0,$F$69&gt;0),ROUND(E37/$F$69*1000,3))))</f>
        <v xml:space="preserve"> </v>
      </c>
    </row>
    <row r="38" spans="1:6" ht="15.75">
      <c r="A38" s="191" t="str">
        <f>IF((inputPrYr!$B33&gt;"  "),(inputPrYr!$B33),"  ")</f>
        <v>Historical Society</v>
      </c>
      <c r="B38" s="190" t="str">
        <f>IF((inputPrYr!C33&gt;0),(inputPrYr!C33),"  ")</f>
        <v xml:space="preserve">  </v>
      </c>
      <c r="C38" s="183" t="str">
        <f>IF('Historical|Mental'!C81&gt;0,'Historical|Mental'!C81,"  ")</f>
        <v xml:space="preserve">  </v>
      </c>
      <c r="D38" s="711">
        <f>IF('Historical|Mental'!$E$33&lt;&gt;0,'Historical|Mental'!$E$33,"  ")</f>
        <v>71167</v>
      </c>
      <c r="E38" s="712">
        <f>IF('Historical|Mental'!$E$40&lt;&gt;0,'Historical|Mental'!$E$40,0)</f>
        <v>60236</v>
      </c>
      <c r="F38" s="713" t="str">
        <f>IF(AND('Historical|Mental'!E40=0,$F$69&gt;=0)," ",IF(AND(E38&gt;0,$F$69=0)," ",IF(AND(E38&gt;0,$F$69&gt;0),ROUND(E38/$F$69*1000,3))))</f>
        <v xml:space="preserve"> </v>
      </c>
    </row>
    <row r="39" spans="1:6" ht="15.75">
      <c r="A39" s="191" t="str">
        <f>IF((inputPrYr!$B34&gt;"  "),(inputPrYr!$B34),"  ")</f>
        <v>Mental Health</v>
      </c>
      <c r="B39" s="190" t="str">
        <f>IF((inputPrYr!C34&gt;0),(inputPrYr!C34),"  ")</f>
        <v xml:space="preserve">  </v>
      </c>
      <c r="C39" s="183" t="str">
        <f>IF('Historical|Mental'!C81&gt;0,'Historical|Mental'!C81,"  ")</f>
        <v xml:space="preserve">  </v>
      </c>
      <c r="D39" s="711">
        <f>IF('Historical|Mental'!$E$73&lt;&gt;0,'Historical|Mental'!$E$73,"  ")</f>
        <v>28587</v>
      </c>
      <c r="E39" s="712">
        <f>IF('Historical|Mental'!$E$80&lt;&gt;0,'Historical|Mental'!$E$80,0)</f>
        <v>0</v>
      </c>
      <c r="F39" s="713" t="str">
        <f>IF(AND('Historical|Mental'!E80=0,$F$69&gt;=0)," ",IF(AND(E39&gt;0,$F$69=0)," ",IF(AND(E39&gt;0,$F$69&gt;0),ROUND(E39/$F$69*1000,3))))</f>
        <v xml:space="preserve"> </v>
      </c>
    </row>
    <row r="40" spans="1:6" ht="15.75">
      <c r="A40" s="191" t="str">
        <f>IF((inputPrYr!$B35&gt;"  "),(inputPrYr!$B35),"  ")</f>
        <v>Developmental Disabilities</v>
      </c>
      <c r="B40" s="190" t="str">
        <f>IF((inputPrYr!C35&gt;0),(inputPrYr!C35),"  ")</f>
        <v xml:space="preserve">  </v>
      </c>
      <c r="C40" s="183" t="str">
        <f>IF(Developmental!C81&gt;0,Developmental!C81,"  ")</f>
        <v xml:space="preserve">  </v>
      </c>
      <c r="D40" s="711">
        <f>IF(Developmental!$E$33&lt;&gt;0,Developmental!$E$33,"  ")</f>
        <v>17878</v>
      </c>
      <c r="E40" s="712">
        <f>IF(Developmental!$E$40&lt;&gt;0,Developmental!$E$40,0)</f>
        <v>0</v>
      </c>
      <c r="F40" s="713" t="str">
        <f>IF(AND(Developmental!E40=0,$F$69&gt;=0)," ",IF(AND(E40&gt;0,$F$69=0)," ",IF(AND(E40&gt;0,$F$69&gt;0),ROUND(E40/$F$69*1000,3))))</f>
        <v xml:space="preserve"> </v>
      </c>
    </row>
    <row r="41" spans="1:6" ht="15.75">
      <c r="A41" s="191" t="str">
        <f>IF((inputPrYr!$B36&gt;"  "),(inputPrYr!$B36),"  ")</f>
        <v xml:space="preserve">  </v>
      </c>
      <c r="B41" s="190" t="str">
        <f>IF((inputPrYr!C36&gt;0),(inputPrYr!C36),"  ")</f>
        <v xml:space="preserve">  </v>
      </c>
      <c r="C41" s="183" t="str">
        <f>IF(Developmental!C81&gt;0,Developmental!C81,"  ")</f>
        <v xml:space="preserve">  </v>
      </c>
      <c r="D41" s="711" t="str">
        <f>IF(Developmental!$E$73&lt;&gt;0,Developmental!$E$73,"  ")</f>
        <v xml:space="preserve">  </v>
      </c>
      <c r="E41" s="712">
        <f>IF(Developmental!$E$80&lt;&gt;0,Developmental!$E$80,0)</f>
        <v>0</v>
      </c>
      <c r="F41" s="713" t="str">
        <f>IF(AND(Developmental!E80=0,$F$69&gt;=0)," ",IF(AND(E41&gt;0,$F$69=0)," ",IF(AND(E41&gt;0,$F$69&gt;0),ROUND(E41/$F$69*1000,3))))</f>
        <v xml:space="preserve"> </v>
      </c>
    </row>
    <row r="42" spans="1:6" ht="15.75">
      <c r="A42" s="191" t="str">
        <f>IF((inputPrYr!$B37&gt;"  "),(inputPrYr!$B37),"  ")</f>
        <v xml:space="preserve">  </v>
      </c>
      <c r="B42" s="190" t="str">
        <f>IF((inputPrYr!C37&gt;0),(inputPrYr!C37),"  ")</f>
        <v xml:space="preserve">  </v>
      </c>
      <c r="C42" s="183" t="str">
        <f>IF(blank!C81&gt;0,blank!C81,"  ")</f>
        <v xml:space="preserve">  </v>
      </c>
      <c r="D42" s="711" t="str">
        <f>IF(blank!E33&lt;&gt;0,blank!#REF!,"  ")</f>
        <v xml:space="preserve">  </v>
      </c>
      <c r="E42" s="712">
        <f>IF(blank!E40&lt;&gt;0,blank!#REF!,0)</f>
        <v>0</v>
      </c>
      <c r="F42" s="713" t="str">
        <f>IF(AND(blank!E40=0,$F$69&gt;=0)," ",IF(AND(E42&gt;0,$F$69=0)," ",IF(AND(E42&gt;0,$F$69&gt;0),ROUND(E42/$F$69*1000,3))))</f>
        <v xml:space="preserve"> </v>
      </c>
    </row>
    <row r="43" spans="1:6" ht="15.75">
      <c r="A43" s="191" t="str">
        <f>IF((inputPrYr!$B38&gt;"  "),(inputPrYr!$B38),"  ")</f>
        <v xml:space="preserve">  </v>
      </c>
      <c r="B43" s="190" t="str">
        <f>IF((inputPrYr!C38&gt;0),(inputPrYr!C38),"  ")</f>
        <v xml:space="preserve">  </v>
      </c>
      <c r="C43" s="183" t="str">
        <f>IF(blank!C81&gt;0,blank!C81,"  ")</f>
        <v xml:space="preserve">  </v>
      </c>
      <c r="D43" s="711" t="str">
        <f>IF(blank!E73&lt;&gt;0,blank!#REF!,"  ")</f>
        <v xml:space="preserve">  </v>
      </c>
      <c r="E43" s="712">
        <f>IF(blank!E80&lt;&gt;0,blank!#REF!,0)</f>
        <v>0</v>
      </c>
      <c r="F43" s="713" t="str">
        <f>IF(AND(blank!E80=0,$F$69&gt;=0)," ",IF(AND(E43&gt;0,$F$69=0)," ",IF(AND(E43&gt;0,$F$69&gt;0),ROUND(E43/$F$69*1000,3))))</f>
        <v xml:space="preserve"> </v>
      </c>
    </row>
    <row r="44" spans="1:6" ht="15.75">
      <c r="A44" s="191" t="str">
        <f>IF((inputPrYr!$B39&gt;"  "),(inputPrYr!$B39),"  ")</f>
        <v xml:space="preserve">  </v>
      </c>
      <c r="B44" s="190" t="str">
        <f>IF((inputPrYr!C39&gt;0),(inputPrYr!C39),"  ")</f>
        <v xml:space="preserve">  </v>
      </c>
      <c r="C44" s="183" t="str">
        <f>IF('blank '!C81&gt;0,'blank '!C81,"  ")</f>
        <v xml:space="preserve">  </v>
      </c>
      <c r="D44" s="711" t="str">
        <f>IF('blank '!$E$33&lt;&gt;0,'blank '!$E$33,"  ")</f>
        <v xml:space="preserve">  </v>
      </c>
      <c r="E44" s="712">
        <f>IF('blank '!$E$40&lt;&gt;0,'blank '!$E$40,0)</f>
        <v>0</v>
      </c>
      <c r="F44" s="713" t="str">
        <f>IF(AND('blank '!E40=0,$F$69&gt;=0)," ",IF(AND(E44&gt;0,$F$69=0)," ",IF(AND(E44&gt;0,$F$69&gt;0),ROUND(E44/$F$69*1000,3))))</f>
        <v xml:space="preserve"> </v>
      </c>
    </row>
    <row r="45" spans="1:6" ht="15.75">
      <c r="A45" s="191" t="str">
        <f>IF((inputPrYr!$B40&gt;"  "),(inputPrYr!$B40),"  ")</f>
        <v xml:space="preserve">  </v>
      </c>
      <c r="B45" s="190" t="str">
        <f>IF((inputPrYr!C40&gt;0),(inputPrYr!C40),"  ")</f>
        <v xml:space="preserve">  </v>
      </c>
      <c r="C45" s="183" t="str">
        <f>IF('blank '!C81&gt;0,'blank '!C81,"  ")</f>
        <v xml:space="preserve">  </v>
      </c>
      <c r="D45" s="711" t="str">
        <f>IF('blank '!$E$73&lt;&gt;0,'blank '!$E$73,"  ")</f>
        <v xml:space="preserve">  </v>
      </c>
      <c r="E45" s="712">
        <f>IF('blank '!$E$80&lt;&gt;0,'blank '!$E$80,0)</f>
        <v>0</v>
      </c>
      <c r="F45" s="713" t="str">
        <f>IF(AND('blank '!E80=0,$F$69&gt;=0)," ",IF(AND(E45&gt;0,$F$69=0)," ",IF(AND(E45&gt;0,$F$69&gt;0),ROUND(E45/$F$69*1000,3))))</f>
        <v xml:space="preserve"> </v>
      </c>
    </row>
    <row r="46" spans="1:6">
      <c r="A46" s="191" t="str">
        <f>IF((inputPrYr!$B43&gt;"  "),(inputPrYr!$B43),"  ")</f>
        <v>Solid Waste Fund</v>
      </c>
      <c r="B46" s="194"/>
      <c r="C46" s="183" t="str">
        <f>IF('Solid Waste|Annex'!C66&gt;0,'Solid Waste|Annex'!C66,"  ")</f>
        <v xml:space="preserve">  </v>
      </c>
      <c r="D46" s="711">
        <f>IF('Solid Waste|Annex'!$E$29&lt;&gt;0,'Solid Waste|Annex'!$E$29,"  ")</f>
        <v>1182448</v>
      </c>
      <c r="E46" s="714"/>
      <c r="F46" s="714"/>
    </row>
    <row r="47" spans="1:6">
      <c r="A47" s="191" t="str">
        <f>IF((inputPrYr!$B44&gt;"  "),(inputPrYr!$B44),"  ")</f>
        <v>Office Annex Fund</v>
      </c>
      <c r="B47" s="194"/>
      <c r="C47" s="183" t="str">
        <f>IF('Solid Waste|Annex'!C66&gt;0,'Solid Waste|Annex'!C66,"  ")</f>
        <v xml:space="preserve">  </v>
      </c>
      <c r="D47" s="711">
        <f>IF('Solid Waste|Annex'!$E$60&lt;&gt;0,'Solid Waste|Annex'!$E$60,"  ")</f>
        <v>560060</v>
      </c>
      <c r="E47" s="714"/>
      <c r="F47" s="714"/>
    </row>
    <row r="48" spans="1:6">
      <c r="A48" s="191" t="str">
        <f>IF((inputPrYr!$B45&gt;"  "),(inputPrYr!$B45),"  ")</f>
        <v>Centropolis Sewer Fund</v>
      </c>
      <c r="B48" s="194"/>
      <c r="C48" s="183" t="str">
        <f>IF('Centropolis|Country Estate'!C66&gt;0,'Centropolis|Country Estate'!C66,"  ")</f>
        <v xml:space="preserve">  </v>
      </c>
      <c r="D48" s="711">
        <f>IF('Centropolis|Country Estate'!$E$29&lt;&gt;0,'Centropolis|Country Estate'!$E$29,"  ")</f>
        <v>40519</v>
      </c>
      <c r="E48" s="714"/>
      <c r="F48" s="714"/>
    </row>
    <row r="49" spans="1:6">
      <c r="A49" s="191" t="str">
        <f>IF((inputPrYr!$B46&gt;"  "),(inputPrYr!$B46),"  ")</f>
        <v>Country Estate Benefit</v>
      </c>
      <c r="B49" s="194"/>
      <c r="C49" s="183" t="str">
        <f>IF('Centropolis|Country Estate'!C66&gt;0,'Centropolis|Country Estate'!C66,"  ")</f>
        <v xml:space="preserve">  </v>
      </c>
      <c r="D49" s="711">
        <f>IF('Centropolis|Country Estate'!$E$60&lt;&gt;0,'Centropolis|Country Estate'!$E$60,"  ")</f>
        <v>16542</v>
      </c>
      <c r="E49" s="714"/>
      <c r="F49" s="714"/>
    </row>
    <row r="50" spans="1:6">
      <c r="A50" s="191" t="str">
        <f>IF((inputPrYr!$B47&gt;"  "),(inputPrYr!$B47),"  ")</f>
        <v>Emergency Phone Equipment</v>
      </c>
      <c r="B50" s="194"/>
      <c r="C50" s="183" t="str">
        <f>IF('911 Equipment|Wireless Phone'!C66&gt;0,'911 Equipment|Wireless Phone'!C66,"  ")</f>
        <v xml:space="preserve">  </v>
      </c>
      <c r="D50" s="711">
        <f>IF('911 Equipment|Wireless Phone'!$E$29&lt;&gt;0,'911 Equipment|Wireless Phone'!$E$29,"  ")</f>
        <v>259156</v>
      </c>
      <c r="E50" s="714"/>
      <c r="F50" s="714"/>
    </row>
    <row r="51" spans="1:6">
      <c r="A51" s="191" t="str">
        <f>IF((inputPrYr!$B48&gt;"  "),(inputPrYr!$B48),"  ")</f>
        <v>Wireless Phone Equipment</v>
      </c>
      <c r="B51" s="194"/>
      <c r="C51" s="183" t="str">
        <f>IF('911 Equipment|Wireless Phone'!C66&gt;0,'911 Equipment|Wireless Phone'!C66,"  ")</f>
        <v xml:space="preserve">  </v>
      </c>
      <c r="D51" s="711">
        <f>IF('911 Equipment|Wireless Phone'!$E$60&lt;&gt;0,'911 Equipment|Wireless Phone'!$E$60,"  ")</f>
        <v>133419</v>
      </c>
      <c r="E51" s="714"/>
      <c r="F51" s="714"/>
    </row>
    <row r="52" spans="1:6">
      <c r="A52" s="191" t="str">
        <f>IF((inputPrYr!$B49&gt;"  "),(inputPrYr!$B49),"  ")</f>
        <v>Risk Management Fund</v>
      </c>
      <c r="B52" s="194"/>
      <c r="C52" s="183" t="str">
        <f>IF('Risk Management|Special Alcohol'!C66&gt;0,'Risk Management|Special Alcohol'!C66,"  ")</f>
        <v xml:space="preserve">  </v>
      </c>
      <c r="D52" s="711">
        <f>IF('Risk Management|Special Alcohol'!$E$29&lt;&gt;0,'Risk Management|Special Alcohol'!$E$29,"  ")</f>
        <v>60000</v>
      </c>
      <c r="E52" s="714"/>
      <c r="F52" s="714"/>
    </row>
    <row r="53" spans="1:6">
      <c r="A53" s="191" t="str">
        <f>IF((inputPrYr!$B50&gt;"  "),(inputPrYr!$B50),"  ")</f>
        <v>Special Alcohol Fund</v>
      </c>
      <c r="B53" s="194"/>
      <c r="C53" s="183" t="str">
        <f>IF('Risk Management|Special Alcohol'!C66&gt;0,'Risk Management|Special Alcohol'!C66,"  ")</f>
        <v xml:space="preserve">  </v>
      </c>
      <c r="D53" s="711">
        <f>IF('Risk Management|Special Alcohol'!$E$60&lt;&gt;0,'Risk Management|Special Alcohol'!$E$60,"  ")</f>
        <v>6500</v>
      </c>
      <c r="E53" s="714"/>
      <c r="F53" s="714"/>
    </row>
    <row r="54" spans="1:6">
      <c r="A54" s="191" t="str">
        <f>IF((inputPrYr!$B51&gt;"  "),(inputPrYr!$B51),"  ")</f>
        <v>Special Parks and Recreation</v>
      </c>
      <c r="B54" s="194"/>
      <c r="C54" s="183" t="str">
        <f>IF('Special Parks|Tourism'!C66&gt;0,'Special Parks|Tourism'!C66,"  ")</f>
        <v xml:space="preserve">  </v>
      </c>
      <c r="D54" s="711">
        <f>IF('Special Parks|Tourism'!$E$29&lt;&gt;0,'Special Parks|Tourism'!$E$29,"  ")</f>
        <v>1962</v>
      </c>
      <c r="E54" s="714"/>
      <c r="F54" s="714"/>
    </row>
    <row r="55" spans="1:6">
      <c r="A55" s="191" t="str">
        <f>IF((inputPrYr!$B52&gt;"  "),(inputPrYr!$B52),"  ")</f>
        <v>Tourism and Convention</v>
      </c>
      <c r="B55" s="194"/>
      <c r="C55" s="183" t="str">
        <f>IF('Special Parks|Tourism'!C66&gt;0,'Special Parks|Tourism'!C66,"  ")</f>
        <v xml:space="preserve">  </v>
      </c>
      <c r="D55" s="711">
        <f>IF('Special Parks|Tourism'!$E$60&lt;&gt;0,'Special Parks|Tourism'!$E$60,"  ")</f>
        <v>210000</v>
      </c>
      <c r="E55" s="714"/>
      <c r="F55" s="714"/>
    </row>
    <row r="56" spans="1:6">
      <c r="A56" s="191" t="str">
        <f>IF((inputPrYr!$B53&gt;"  "),(inputPrYr!$B53),"  ")</f>
        <v>County Wide Phones</v>
      </c>
      <c r="B56" s="194"/>
      <c r="C56" s="183" t="str">
        <f>IF('County Wide Phone|NW Capital'!C66&gt;0,'County Wide Phone|NW Capital'!C66,"  ")</f>
        <v xml:space="preserve">  </v>
      </c>
      <c r="D56" s="711">
        <f>IF('County Wide Phone|NW Capital'!$E$29&lt;&gt;0,'County Wide Phone|NW Capital'!$E$29,"  ")</f>
        <v>70000</v>
      </c>
      <c r="E56" s="714"/>
      <c r="F56" s="714"/>
    </row>
    <row r="57" spans="1:6">
      <c r="A57" s="191" t="str">
        <f>IF((inputPrYr!$B54&gt;"  "),(inputPrYr!$B54),"  ")</f>
        <v>Noxious Weeds Capital</v>
      </c>
      <c r="B57" s="194"/>
      <c r="C57" s="183" t="str">
        <f>IF('County Wide Phone|NW Capital'!C66&gt;0,'County Wide Phone|NW Capital'!C66,"  ")</f>
        <v xml:space="preserve">  </v>
      </c>
      <c r="D57" s="711">
        <f>IF('County Wide Phone|NW Capital'!$E$60&lt;&gt;0,'County Wide Phone|NW Capital'!$E$60,"  ")</f>
        <v>15000</v>
      </c>
      <c r="E57" s="715"/>
      <c r="F57" s="715"/>
    </row>
    <row r="58" spans="1:6">
      <c r="A58" s="191" t="str">
        <f>IF((inputPrYr!$B55&gt;"  "),(inputPrYr!$B55),"  ")</f>
        <v>Hospital Sales Tax</v>
      </c>
      <c r="B58" s="194"/>
      <c r="C58" s="183" t="str">
        <f>IF('Hospital Tax|911 Phone Tax'!C66&gt;0,'Hospital Tax|911 Phone Tax'!C66,"  ")</f>
        <v xml:space="preserve">  </v>
      </c>
      <c r="D58" s="711">
        <f>IF('Hospital Tax|911 Phone Tax'!$E$29&lt;&gt;0,'Hospital Tax|911 Phone Tax'!$E$29,"  ")</f>
        <v>1700000</v>
      </c>
      <c r="E58" s="715"/>
      <c r="F58" s="715"/>
    </row>
    <row r="59" spans="1:6">
      <c r="A59" s="191" t="str">
        <f>IF((inputPrYr!$B56&gt;"  "),(inputPrYr!$B56),"  ")</f>
        <v>911 Phone Tax</v>
      </c>
      <c r="B59" s="194"/>
      <c r="C59" s="183" t="str">
        <f>IF('Hospital Tax|911 Phone Tax'!C66&gt;0,'Hospital Tax|911 Phone Tax'!C66,"  ")</f>
        <v xml:space="preserve">  </v>
      </c>
      <c r="D59" s="711">
        <f>IF('Hospital Tax|911 Phone Tax'!$E$60&lt;&gt;0,'Hospital Tax|911 Phone Tax'!$E$60,"  ")</f>
        <v>100000</v>
      </c>
      <c r="E59" s="715"/>
      <c r="F59" s="715"/>
    </row>
    <row r="60" spans="1:6">
      <c r="A60" s="191" t="str">
        <f>IF((inputPrYr!$B57&gt;"  "),(inputPrYr!$B57),"  ")</f>
        <v xml:space="preserve">  </v>
      </c>
      <c r="B60" s="194"/>
      <c r="C60" s="183" t="str">
        <f>IF('blank  '!C66&gt;0,'blank  '!C66,"  ")</f>
        <v xml:space="preserve">  </v>
      </c>
      <c r="D60" s="711" t="str">
        <f>IF('blank  '!$E$29&lt;&gt;0,'blank  '!$E$29,"  ")</f>
        <v xml:space="preserve">  </v>
      </c>
      <c r="E60" s="715"/>
      <c r="F60" s="715"/>
    </row>
    <row r="61" spans="1:6">
      <c r="A61" s="191" t="str">
        <f>IF((inputPrYr!$B58&gt;"  "),(inputPrYr!$B58),"  ")</f>
        <v xml:space="preserve">  </v>
      </c>
      <c r="B61" s="188"/>
      <c r="C61" s="183" t="str">
        <f>IF('blank  '!C66&gt;0,'blank  '!C66,"  ")</f>
        <v xml:space="preserve">  </v>
      </c>
      <c r="D61" s="711" t="str">
        <f>IF('blank  '!$E$60&lt;&gt;0,'blank  '!$E$60,"  ")</f>
        <v xml:space="preserve">  </v>
      </c>
      <c r="E61" s="715"/>
      <c r="F61" s="715"/>
    </row>
    <row r="62" spans="1:6">
      <c r="A62" s="191" t="str">
        <f>IF((inputPrYr!$B62&gt;"  "),(nonbudA!$A3),"  ")</f>
        <v>Non-Budgeted Funds-A</v>
      </c>
      <c r="B62" s="188"/>
      <c r="C62" s="183" t="str">
        <f>IF(nonbudA!$F$33&gt;0,nonbudA!$F$33,"  ")</f>
        <v xml:space="preserve">  </v>
      </c>
      <c r="D62" s="711"/>
      <c r="E62" s="715"/>
      <c r="F62" s="715"/>
    </row>
    <row r="63" spans="1:6">
      <c r="A63" s="191" t="str">
        <f>IF((inputPrYr!$B68&gt;"  "),(nonbudB!$A3),"  ")</f>
        <v>Non-Budgeted Funds-B</v>
      </c>
      <c r="B63" s="188"/>
      <c r="C63" s="183" t="str">
        <f>IF(nonbudB!$F$33&gt;0,nonbudB!$F$33,"  ")</f>
        <v xml:space="preserve">  </v>
      </c>
      <c r="D63" s="711"/>
      <c r="E63" s="715"/>
      <c r="F63" s="715"/>
    </row>
    <row r="64" spans="1:6">
      <c r="A64" s="191" t="str">
        <f>IF((inputPrYr!$B74&gt;"  "),(nonbudC!$A3),"  ")</f>
        <v>Non-Budgeted Funds-C</v>
      </c>
      <c r="B64" s="188"/>
      <c r="C64" s="183" t="str">
        <f>IF(nonbudC!$F$33&gt;0,nonbudC!$F$33,"  ")</f>
        <v xml:space="preserve">  </v>
      </c>
      <c r="D64" s="711"/>
      <c r="E64" s="715"/>
      <c r="F64" s="715"/>
    </row>
    <row r="65" spans="1:6">
      <c r="A65" s="191" t="str">
        <f>IF((inputPrYr!$B80&gt;"  "),(' blank'!$A3),"  ")</f>
        <v xml:space="preserve">  </v>
      </c>
      <c r="B65" s="188"/>
      <c r="C65" s="183" t="str">
        <f>IF(' blank'!$F$33&gt;0,' blank'!$F$33,"  ")</f>
        <v xml:space="preserve">  </v>
      </c>
      <c r="D65" s="711"/>
      <c r="E65" s="715"/>
      <c r="F65" s="715"/>
    </row>
    <row r="66" spans="1:6" ht="14.25" customHeight="1" thickBot="1">
      <c r="A66" s="196" t="s">
        <v>157</v>
      </c>
      <c r="B66" s="195"/>
      <c r="C66" s="183" t="s">
        <v>50</v>
      </c>
      <c r="D66" s="716">
        <f>SUM(D21:D65)</f>
        <v>25843616</v>
      </c>
      <c r="E66" s="716">
        <f>SUM(E21:E45)</f>
        <v>12625382.1</v>
      </c>
      <c r="F66" s="717" t="str">
        <f>IF(SUM(F21:F45)=0,"",SUM(F21:F45))</f>
        <v/>
      </c>
    </row>
    <row r="67" spans="1:6" ht="14.25" customHeight="1" thickTop="1">
      <c r="A67" s="197" t="s">
        <v>49</v>
      </c>
      <c r="B67" s="198"/>
      <c r="C67" s="183">
        <f>summ!E78</f>
        <v>0</v>
      </c>
      <c r="D67" s="199"/>
      <c r="E67" s="199"/>
      <c r="F67" s="179"/>
    </row>
    <row r="68" spans="1:6">
      <c r="A68" s="180" t="s">
        <v>85</v>
      </c>
      <c r="B68" s="181"/>
      <c r="C68" s="183" t="str">
        <f>IF(summ2!E42&gt;0,summ2!E42,"")</f>
        <v/>
      </c>
      <c r="D68" s="200"/>
      <c r="E68" s="164"/>
      <c r="F68" s="468" t="s">
        <v>319</v>
      </c>
    </row>
    <row r="69" spans="1:6" ht="15.75">
      <c r="A69" s="756" t="s">
        <v>75</v>
      </c>
      <c r="B69" s="757"/>
      <c r="C69" s="193" t="str">
        <f>IF(Nhood!C51&gt;0,Nhood!C51,"")</f>
        <v/>
      </c>
      <c r="D69" s="201" t="s">
        <v>52</v>
      </c>
      <c r="E69" s="202" t="str">
        <f>IF(E66&gt;computation!J35,"Yes","No")</f>
        <v>Yes</v>
      </c>
      <c r="F69" s="203"/>
    </row>
    <row r="70" spans="1:6" ht="14.25" customHeight="1">
      <c r="A70" s="180" t="s">
        <v>51</v>
      </c>
      <c r="B70" s="204"/>
      <c r="C70" s="193" t="str">
        <f>IF(Resolution!E55&gt;0,Resolution!E55,"")</f>
        <v/>
      </c>
      <c r="D70" s="200"/>
      <c r="E70" s="179"/>
      <c r="F70" s="759" t="str">
        <f>CONCATENATE("Nov 1, ",F3-1," Total Assessed Valuation")</f>
        <v>Nov 1, 2012 Total Assessed Valuation</v>
      </c>
    </row>
    <row r="71" spans="1:6">
      <c r="A71" s="162" t="s">
        <v>147</v>
      </c>
      <c r="B71" s="164"/>
      <c r="C71" s="168"/>
      <c r="D71" s="164"/>
      <c r="E71" s="164"/>
      <c r="F71" s="760"/>
    </row>
    <row r="72" spans="1:6">
      <c r="A72" s="206"/>
      <c r="B72" s="164"/>
      <c r="C72" s="164"/>
      <c r="D72" s="164"/>
      <c r="E72" s="421"/>
      <c r="F72" s="421"/>
    </row>
    <row r="73" spans="1:6">
      <c r="A73" s="207"/>
      <c r="B73" s="205"/>
      <c r="C73" s="179"/>
      <c r="D73" s="179"/>
      <c r="E73" s="722"/>
      <c r="F73" s="722"/>
    </row>
    <row r="74" spans="1:6">
      <c r="A74" s="419" t="s">
        <v>321</v>
      </c>
      <c r="B74" s="205"/>
      <c r="C74" s="179"/>
      <c r="D74" s="179"/>
      <c r="E74" s="722"/>
      <c r="F74" s="722"/>
    </row>
    <row r="75" spans="1:6">
      <c r="A75" s="206"/>
      <c r="B75" s="164"/>
      <c r="C75" s="179" t="s">
        <v>889</v>
      </c>
      <c r="D75" s="179"/>
      <c r="E75" s="721"/>
      <c r="F75" s="721"/>
    </row>
    <row r="76" spans="1:6">
      <c r="A76" s="207"/>
      <c r="B76" s="208"/>
      <c r="C76" s="179"/>
      <c r="D76" s="179"/>
      <c r="E76" s="722"/>
      <c r="F76" s="723"/>
    </row>
    <row r="77" spans="1:6">
      <c r="A77" s="419" t="s">
        <v>888</v>
      </c>
      <c r="B77" s="164"/>
      <c r="C77" s="179" t="s">
        <v>889</v>
      </c>
      <c r="D77" s="179"/>
      <c r="E77" s="721"/>
      <c r="F77" s="722"/>
    </row>
    <row r="78" spans="1:6">
      <c r="A78" s="206"/>
      <c r="B78" s="164"/>
      <c r="C78" s="179"/>
      <c r="D78" s="179"/>
      <c r="E78" s="721"/>
      <c r="F78" s="722"/>
    </row>
    <row r="79" spans="1:6">
      <c r="A79" s="419"/>
      <c r="B79" s="164"/>
      <c r="C79" s="179" t="s">
        <v>889</v>
      </c>
      <c r="D79" s="179"/>
      <c r="E79" s="721"/>
      <c r="F79" s="722"/>
    </row>
    <row r="80" spans="1:6">
      <c r="A80" s="467" t="s">
        <v>6</v>
      </c>
      <c r="B80" s="209">
        <f>F3-1</f>
        <v>2012</v>
      </c>
      <c r="C80" s="179"/>
      <c r="D80" s="179"/>
      <c r="E80" s="724"/>
      <c r="F80" s="179"/>
    </row>
    <row r="81" spans="1:6">
      <c r="A81" s="466"/>
      <c r="B81" s="164"/>
      <c r="C81" s="179" t="s">
        <v>889</v>
      </c>
      <c r="D81" s="179"/>
      <c r="E81" s="179"/>
      <c r="F81" s="179"/>
    </row>
    <row r="82" spans="1:6" ht="15">
      <c r="A82" s="469" t="s">
        <v>149</v>
      </c>
      <c r="B82" s="164"/>
      <c r="C82" s="758" t="s">
        <v>148</v>
      </c>
      <c r="D82" s="755"/>
      <c r="E82" s="755"/>
      <c r="F82" s="755"/>
    </row>
    <row r="83" spans="1:6">
      <c r="A83" s="747"/>
      <c r="B83" s="747"/>
      <c r="C83" s="747"/>
      <c r="D83" s="747"/>
      <c r="E83" s="747"/>
      <c r="F83" s="747"/>
    </row>
    <row r="84" spans="1:6">
      <c r="C84" s="210"/>
      <c r="E84" s="210"/>
      <c r="F84" s="210"/>
    </row>
  </sheetData>
  <sheetProtection sheet="1"/>
  <mergeCells count="9">
    <mergeCell ref="A83:F83"/>
    <mergeCell ref="A2:F2"/>
    <mergeCell ref="E13:E14"/>
    <mergeCell ref="A6:F6"/>
    <mergeCell ref="A4:F4"/>
    <mergeCell ref="A5:F5"/>
    <mergeCell ref="A69:B69"/>
    <mergeCell ref="C82:F82"/>
    <mergeCell ref="F70:F71"/>
  </mergeCells>
  <phoneticPr fontId="0" type="noConversion"/>
  <pageMargins left="0.5" right="0.5" top="0" bottom="0.23" header="0" footer="0"/>
  <pageSetup scale="66" orientation="portrait" blackAndWhite="1" horizontalDpi="120" verticalDpi="144" r:id="rId1"/>
  <headerFooter alignWithMargins="0">
    <oddHeader xml:space="preserve">&amp;RState of Kansas
County
</oddHeader>
    <oddFooter>&amp;CPage No. 1</oddFooter>
  </headerFooter>
</worksheet>
</file>

<file path=xl/worksheets/sheet50.xml><?xml version="1.0" encoding="utf-8"?>
<worksheet xmlns="http://schemas.openxmlformats.org/spreadsheetml/2006/main" xmlns:r="http://schemas.openxmlformats.org/officeDocument/2006/relationships">
  <sheetPr>
    <tabColor rgb="FFFF0000"/>
  </sheetPr>
  <dimension ref="A3:H52"/>
  <sheetViews>
    <sheetView workbookViewId="0">
      <selection activeCell="A2" sqref="A2"/>
    </sheetView>
  </sheetViews>
  <sheetFormatPr defaultRowHeight="15"/>
  <cols>
    <col min="1" max="1" width="71.33203125" customWidth="1"/>
  </cols>
  <sheetData>
    <row r="3" spans="1:7">
      <c r="A3" s="433" t="s">
        <v>599</v>
      </c>
      <c r="B3" s="433"/>
      <c r="C3" s="433"/>
      <c r="D3" s="433"/>
      <c r="E3" s="433"/>
      <c r="F3" s="433"/>
      <c r="G3" s="433"/>
    </row>
    <row r="4" spans="1:7">
      <c r="A4" s="433" t="s">
        <v>600</v>
      </c>
      <c r="B4" s="433"/>
      <c r="C4" s="433"/>
      <c r="D4" s="433"/>
      <c r="E4" s="433"/>
      <c r="F4" s="433"/>
      <c r="G4" s="433"/>
    </row>
    <row r="5" spans="1:7">
      <c r="A5" s="433"/>
      <c r="B5" s="433"/>
      <c r="C5" s="433"/>
      <c r="D5" s="433"/>
      <c r="E5" s="433"/>
      <c r="F5" s="433"/>
      <c r="G5" s="433"/>
    </row>
    <row r="6" spans="1:7">
      <c r="A6" s="433"/>
      <c r="B6" s="433"/>
      <c r="C6" s="433"/>
      <c r="D6" s="433"/>
      <c r="E6" s="433"/>
      <c r="F6" s="433"/>
      <c r="G6" s="433"/>
    </row>
    <row r="7" spans="1:7">
      <c r="A7" s="434" t="s">
        <v>427</v>
      </c>
    </row>
    <row r="8" spans="1:7">
      <c r="A8" s="434" t="str">
        <f>CONCATENATE("estimated ",inputPrYr!C4," 'total expenditures' exceed your ",inputPrYr!C4,"")</f>
        <v>estimated 2013 'total expenditures' exceed your 2013</v>
      </c>
    </row>
    <row r="9" spans="1:7">
      <c r="A9" s="437" t="s">
        <v>601</v>
      </c>
    </row>
    <row r="10" spans="1:7">
      <c r="A10" s="434"/>
    </row>
    <row r="11" spans="1:7">
      <c r="A11" s="434" t="s">
        <v>602</v>
      </c>
    </row>
    <row r="12" spans="1:7">
      <c r="A12" s="434" t="s">
        <v>603</v>
      </c>
    </row>
    <row r="13" spans="1:7">
      <c r="A13" s="434" t="s">
        <v>604</v>
      </c>
    </row>
    <row r="14" spans="1:7">
      <c r="A14" s="434"/>
    </row>
    <row r="15" spans="1:7">
      <c r="A15" s="435" t="s">
        <v>605</v>
      </c>
    </row>
    <row r="16" spans="1:7">
      <c r="A16" s="433"/>
      <c r="B16" s="433"/>
      <c r="C16" s="433"/>
      <c r="D16" s="433"/>
      <c r="E16" s="433"/>
      <c r="F16" s="433"/>
      <c r="G16" s="433"/>
    </row>
    <row r="17" spans="1:8">
      <c r="A17" s="440" t="s">
        <v>606</v>
      </c>
      <c r="B17" s="418"/>
      <c r="C17" s="418"/>
      <c r="D17" s="418"/>
      <c r="E17" s="418"/>
      <c r="F17" s="418"/>
      <c r="G17" s="418"/>
      <c r="H17" s="418"/>
    </row>
    <row r="18" spans="1:8">
      <c r="A18" s="434" t="s">
        <v>607</v>
      </c>
      <c r="B18" s="441"/>
      <c r="C18" s="441"/>
      <c r="D18" s="441"/>
      <c r="E18" s="441"/>
      <c r="F18" s="441"/>
      <c r="G18" s="441"/>
    </row>
    <row r="19" spans="1:8">
      <c r="A19" s="434" t="s">
        <v>608</v>
      </c>
    </row>
    <row r="20" spans="1:8">
      <c r="A20" s="434" t="s">
        <v>609</v>
      </c>
    </row>
    <row r="22" spans="1:8">
      <c r="A22" s="435" t="s">
        <v>610</v>
      </c>
    </row>
    <row r="24" spans="1:8">
      <c r="A24" s="434" t="s">
        <v>611</v>
      </c>
    </row>
    <row r="25" spans="1:8">
      <c r="A25" s="434" t="s">
        <v>612</v>
      </c>
    </row>
    <row r="26" spans="1:8">
      <c r="A26" s="434" t="s">
        <v>613</v>
      </c>
    </row>
    <row r="28" spans="1:8">
      <c r="A28" s="435" t="s">
        <v>614</v>
      </c>
    </row>
    <row r="30" spans="1:8">
      <c r="A30" t="s">
        <v>615</v>
      </c>
    </row>
    <row r="31" spans="1:8">
      <c r="A31" t="s">
        <v>616</v>
      </c>
    </row>
    <row r="32" spans="1:8">
      <c r="A32" t="s">
        <v>617</v>
      </c>
    </row>
    <row r="33" spans="1:1">
      <c r="A33" s="434" t="s">
        <v>618</v>
      </c>
    </row>
    <row r="35" spans="1:1">
      <c r="A35" t="s">
        <v>619</v>
      </c>
    </row>
    <row r="36" spans="1:1">
      <c r="A36" t="s">
        <v>620</v>
      </c>
    </row>
    <row r="37" spans="1:1">
      <c r="A37" t="s">
        <v>621</v>
      </c>
    </row>
    <row r="38" spans="1:1">
      <c r="A38" t="s">
        <v>622</v>
      </c>
    </row>
    <row r="40" spans="1:1">
      <c r="A40" t="s">
        <v>623</v>
      </c>
    </row>
    <row r="41" spans="1:1">
      <c r="A41" t="s">
        <v>624</v>
      </c>
    </row>
    <row r="42" spans="1:1">
      <c r="A42" t="s">
        <v>625</v>
      </c>
    </row>
    <row r="43" spans="1:1">
      <c r="A43" t="s">
        <v>626</v>
      </c>
    </row>
    <row r="44" spans="1:1">
      <c r="A44" t="s">
        <v>627</v>
      </c>
    </row>
    <row r="45" spans="1:1">
      <c r="A45" t="s">
        <v>628</v>
      </c>
    </row>
    <row r="47" spans="1:1">
      <c r="A47" t="s">
        <v>629</v>
      </c>
    </row>
    <row r="48" spans="1:1">
      <c r="A48" t="s">
        <v>630</v>
      </c>
    </row>
    <row r="49" spans="1:1">
      <c r="A49" s="434" t="s">
        <v>631</v>
      </c>
    </row>
    <row r="50" spans="1:1">
      <c r="A50" s="434" t="s">
        <v>632</v>
      </c>
    </row>
    <row r="52" spans="1:1">
      <c r="A52" t="s">
        <v>482</v>
      </c>
    </row>
  </sheetData>
  <sheetProtection sheet="1"/>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ColWidth="8.88671875" defaultRowHeight="14.25"/>
  <cols>
    <col min="1" max="1" width="7.5546875" style="541" customWidth="1"/>
    <col min="2" max="2" width="11.21875" style="568" customWidth="1"/>
    <col min="3" max="3" width="7.44140625" style="568" customWidth="1"/>
    <col min="4" max="4" width="8.88671875" style="568"/>
    <col min="5" max="5" width="1.5546875" style="568" customWidth="1"/>
    <col min="6" max="6" width="14.33203125" style="568" customWidth="1"/>
    <col min="7" max="7" width="2.5546875" style="568" customWidth="1"/>
    <col min="8" max="8" width="9.77734375" style="568" customWidth="1"/>
    <col min="9" max="9" width="2" style="568" customWidth="1"/>
    <col min="10" max="10" width="8.5546875" style="568" customWidth="1"/>
    <col min="11" max="11" width="11.6640625" style="568" customWidth="1"/>
    <col min="12" max="12" width="7.5546875" style="541" customWidth="1"/>
    <col min="13" max="14" width="8.88671875" style="541"/>
    <col min="15" max="15" width="9.88671875" style="541" bestFit="1" customWidth="1"/>
    <col min="16" max="16384" width="8.88671875" style="541"/>
  </cols>
  <sheetData>
    <row r="1" spans="1:12">
      <c r="A1" s="567"/>
      <c r="B1" s="567"/>
      <c r="C1" s="567"/>
      <c r="D1" s="567"/>
      <c r="E1" s="567"/>
      <c r="F1" s="567"/>
      <c r="G1" s="567"/>
      <c r="H1" s="567"/>
      <c r="I1" s="567"/>
      <c r="J1" s="567"/>
      <c r="K1" s="567"/>
      <c r="L1" s="567"/>
    </row>
    <row r="2" spans="1:12">
      <c r="A2" s="567"/>
      <c r="B2" s="567"/>
      <c r="C2" s="567"/>
      <c r="D2" s="567"/>
      <c r="E2" s="567"/>
      <c r="F2" s="567"/>
      <c r="G2" s="567"/>
      <c r="H2" s="567"/>
      <c r="I2" s="567"/>
      <c r="J2" s="567"/>
      <c r="K2" s="567"/>
      <c r="L2" s="567"/>
    </row>
    <row r="3" spans="1:12">
      <c r="A3" s="567"/>
      <c r="B3" s="567"/>
      <c r="C3" s="567"/>
      <c r="D3" s="567"/>
      <c r="E3" s="567"/>
      <c r="F3" s="567"/>
      <c r="G3" s="567"/>
      <c r="H3" s="567"/>
      <c r="I3" s="567"/>
      <c r="J3" s="567"/>
      <c r="K3" s="567"/>
      <c r="L3" s="567"/>
    </row>
    <row r="4" spans="1:12">
      <c r="A4" s="567"/>
      <c r="L4" s="567"/>
    </row>
    <row r="5" spans="1:12" ht="15" customHeight="1">
      <c r="A5" s="567"/>
      <c r="L5" s="567"/>
    </row>
    <row r="6" spans="1:12" ht="33" customHeight="1">
      <c r="A6" s="567"/>
      <c r="B6" s="826" t="s">
        <v>736</v>
      </c>
      <c r="C6" s="827"/>
      <c r="D6" s="827"/>
      <c r="E6" s="827"/>
      <c r="F6" s="827"/>
      <c r="G6" s="827"/>
      <c r="H6" s="827"/>
      <c r="I6" s="827"/>
      <c r="J6" s="827"/>
      <c r="K6" s="827"/>
      <c r="L6" s="569"/>
    </row>
    <row r="7" spans="1:12" ht="40.5" customHeight="1">
      <c r="A7" s="567"/>
      <c r="B7" s="839" t="s">
        <v>737</v>
      </c>
      <c r="C7" s="840"/>
      <c r="D7" s="840"/>
      <c r="E7" s="840"/>
      <c r="F7" s="840"/>
      <c r="G7" s="840"/>
      <c r="H7" s="840"/>
      <c r="I7" s="840"/>
      <c r="J7" s="840"/>
      <c r="K7" s="840"/>
      <c r="L7" s="567"/>
    </row>
    <row r="8" spans="1:12">
      <c r="A8" s="567"/>
      <c r="B8" s="832" t="s">
        <v>738</v>
      </c>
      <c r="C8" s="832"/>
      <c r="D8" s="832"/>
      <c r="E8" s="832"/>
      <c r="F8" s="832"/>
      <c r="G8" s="832"/>
      <c r="H8" s="832"/>
      <c r="I8" s="832"/>
      <c r="J8" s="832"/>
      <c r="K8" s="832"/>
      <c r="L8" s="567"/>
    </row>
    <row r="9" spans="1:12">
      <c r="A9" s="567"/>
      <c r="L9" s="567"/>
    </row>
    <row r="10" spans="1:12">
      <c r="A10" s="567"/>
      <c r="B10" s="832" t="s">
        <v>739</v>
      </c>
      <c r="C10" s="832"/>
      <c r="D10" s="832"/>
      <c r="E10" s="832"/>
      <c r="F10" s="832"/>
      <c r="G10" s="832"/>
      <c r="H10" s="832"/>
      <c r="I10" s="832"/>
      <c r="J10" s="832"/>
      <c r="K10" s="832"/>
      <c r="L10" s="567"/>
    </row>
    <row r="11" spans="1:12">
      <c r="A11" s="567"/>
      <c r="B11" s="628"/>
      <c r="C11" s="628"/>
      <c r="D11" s="628"/>
      <c r="E11" s="628"/>
      <c r="F11" s="628"/>
      <c r="G11" s="628"/>
      <c r="H11" s="628"/>
      <c r="I11" s="628"/>
      <c r="J11" s="628"/>
      <c r="K11" s="628"/>
      <c r="L11" s="567"/>
    </row>
    <row r="12" spans="1:12" ht="32.25" customHeight="1">
      <c r="A12" s="567"/>
      <c r="B12" s="830" t="s">
        <v>740</v>
      </c>
      <c r="C12" s="830"/>
      <c r="D12" s="830"/>
      <c r="E12" s="830"/>
      <c r="F12" s="830"/>
      <c r="G12" s="830"/>
      <c r="H12" s="830"/>
      <c r="I12" s="830"/>
      <c r="J12" s="830"/>
      <c r="K12" s="830"/>
      <c r="L12" s="567"/>
    </row>
    <row r="13" spans="1:12">
      <c r="A13" s="567"/>
      <c r="L13" s="567"/>
    </row>
    <row r="14" spans="1:12">
      <c r="A14" s="567"/>
      <c r="B14" s="550" t="s">
        <v>741</v>
      </c>
      <c r="L14" s="567"/>
    </row>
    <row r="15" spans="1:12">
      <c r="A15" s="567"/>
      <c r="L15" s="567"/>
    </row>
    <row r="16" spans="1:12">
      <c r="A16" s="567"/>
      <c r="B16" s="568" t="s">
        <v>742</v>
      </c>
      <c r="L16" s="567"/>
    </row>
    <row r="17" spans="1:12">
      <c r="A17" s="567"/>
      <c r="B17" s="568" t="s">
        <v>743</v>
      </c>
      <c r="L17" s="567"/>
    </row>
    <row r="18" spans="1:12">
      <c r="A18" s="567"/>
      <c r="L18" s="567"/>
    </row>
    <row r="19" spans="1:12">
      <c r="A19" s="567"/>
      <c r="B19" s="550" t="s">
        <v>814</v>
      </c>
      <c r="L19" s="567"/>
    </row>
    <row r="20" spans="1:12">
      <c r="A20" s="567"/>
      <c r="B20" s="550"/>
      <c r="L20" s="567"/>
    </row>
    <row r="21" spans="1:12">
      <c r="A21" s="567"/>
      <c r="B21" s="568" t="s">
        <v>815</v>
      </c>
      <c r="L21" s="567"/>
    </row>
    <row r="22" spans="1:12">
      <c r="A22" s="567"/>
      <c r="L22" s="567"/>
    </row>
    <row r="23" spans="1:12">
      <c r="A23" s="567"/>
      <c r="B23" s="568" t="s">
        <v>744</v>
      </c>
      <c r="E23" s="568" t="s">
        <v>745</v>
      </c>
      <c r="F23" s="828">
        <v>312000000</v>
      </c>
      <c r="G23" s="828"/>
      <c r="L23" s="567"/>
    </row>
    <row r="24" spans="1:12">
      <c r="A24" s="567"/>
      <c r="L24" s="567"/>
    </row>
    <row r="25" spans="1:12">
      <c r="A25" s="567"/>
      <c r="C25" s="841">
        <f>F23</f>
        <v>312000000</v>
      </c>
      <c r="D25" s="841"/>
      <c r="E25" s="568" t="s">
        <v>746</v>
      </c>
      <c r="F25" s="570">
        <v>1000</v>
      </c>
      <c r="G25" s="570" t="s">
        <v>745</v>
      </c>
      <c r="H25" s="629">
        <f>F23/F25</f>
        <v>312000</v>
      </c>
      <c r="L25" s="567"/>
    </row>
    <row r="26" spans="1:12" ht="15" thickBot="1">
      <c r="A26" s="567"/>
      <c r="L26" s="567"/>
    </row>
    <row r="27" spans="1:12">
      <c r="A27" s="567"/>
      <c r="B27" s="551" t="s">
        <v>741</v>
      </c>
      <c r="C27" s="571"/>
      <c r="D27" s="571"/>
      <c r="E27" s="571"/>
      <c r="F27" s="571"/>
      <c r="G27" s="571"/>
      <c r="H27" s="571"/>
      <c r="I27" s="571"/>
      <c r="J27" s="571"/>
      <c r="K27" s="572"/>
      <c r="L27" s="567"/>
    </row>
    <row r="28" spans="1:12">
      <c r="A28" s="567"/>
      <c r="B28" s="573">
        <f>F23</f>
        <v>312000000</v>
      </c>
      <c r="C28" s="574" t="s">
        <v>747</v>
      </c>
      <c r="D28" s="574"/>
      <c r="E28" s="574" t="s">
        <v>746</v>
      </c>
      <c r="F28" s="632">
        <v>1000</v>
      </c>
      <c r="G28" s="632" t="s">
        <v>745</v>
      </c>
      <c r="H28" s="575">
        <f>B28/F28</f>
        <v>312000</v>
      </c>
      <c r="I28" s="574" t="s">
        <v>748</v>
      </c>
      <c r="J28" s="574"/>
      <c r="K28" s="576"/>
      <c r="L28" s="567"/>
    </row>
    <row r="29" spans="1:12" ht="15" thickBot="1">
      <c r="A29" s="567"/>
      <c r="B29" s="577"/>
      <c r="C29" s="578"/>
      <c r="D29" s="578"/>
      <c r="E29" s="578"/>
      <c r="F29" s="578"/>
      <c r="G29" s="578"/>
      <c r="H29" s="578"/>
      <c r="I29" s="578"/>
      <c r="J29" s="578"/>
      <c r="K29" s="579"/>
      <c r="L29" s="567"/>
    </row>
    <row r="30" spans="1:12" ht="40.5" customHeight="1">
      <c r="A30" s="567"/>
      <c r="B30" s="829" t="s">
        <v>737</v>
      </c>
      <c r="C30" s="829"/>
      <c r="D30" s="829"/>
      <c r="E30" s="829"/>
      <c r="F30" s="829"/>
      <c r="G30" s="829"/>
      <c r="H30" s="829"/>
      <c r="I30" s="829"/>
      <c r="J30" s="829"/>
      <c r="K30" s="829"/>
      <c r="L30" s="567"/>
    </row>
    <row r="31" spans="1:12">
      <c r="A31" s="567"/>
      <c r="B31" s="832" t="s">
        <v>749</v>
      </c>
      <c r="C31" s="832"/>
      <c r="D31" s="832"/>
      <c r="E31" s="832"/>
      <c r="F31" s="832"/>
      <c r="G31" s="832"/>
      <c r="H31" s="832"/>
      <c r="I31" s="832"/>
      <c r="J31" s="832"/>
      <c r="K31" s="832"/>
      <c r="L31" s="567"/>
    </row>
    <row r="32" spans="1:12">
      <c r="A32" s="567"/>
      <c r="L32" s="567"/>
    </row>
    <row r="33" spans="1:12">
      <c r="A33" s="567"/>
      <c r="B33" s="832" t="s">
        <v>750</v>
      </c>
      <c r="C33" s="832"/>
      <c r="D33" s="832"/>
      <c r="E33" s="832"/>
      <c r="F33" s="832"/>
      <c r="G33" s="832"/>
      <c r="H33" s="832"/>
      <c r="I33" s="832"/>
      <c r="J33" s="832"/>
      <c r="K33" s="832"/>
      <c r="L33" s="567"/>
    </row>
    <row r="34" spans="1:12">
      <c r="A34" s="567"/>
      <c r="L34" s="567"/>
    </row>
    <row r="35" spans="1:12" ht="89.25" customHeight="1">
      <c r="A35" s="567"/>
      <c r="B35" s="830" t="s">
        <v>751</v>
      </c>
      <c r="C35" s="833"/>
      <c r="D35" s="833"/>
      <c r="E35" s="833"/>
      <c r="F35" s="833"/>
      <c r="G35" s="833"/>
      <c r="H35" s="833"/>
      <c r="I35" s="833"/>
      <c r="J35" s="833"/>
      <c r="K35" s="833"/>
      <c r="L35" s="567"/>
    </row>
    <row r="36" spans="1:12">
      <c r="A36" s="567"/>
      <c r="L36" s="567"/>
    </row>
    <row r="37" spans="1:12">
      <c r="A37" s="567"/>
      <c r="B37" s="550" t="s">
        <v>752</v>
      </c>
      <c r="L37" s="567"/>
    </row>
    <row r="38" spans="1:12">
      <c r="A38" s="567"/>
      <c r="L38" s="567"/>
    </row>
    <row r="39" spans="1:12">
      <c r="A39" s="567"/>
      <c r="B39" s="568" t="s">
        <v>753</v>
      </c>
      <c r="L39" s="567"/>
    </row>
    <row r="40" spans="1:12">
      <c r="A40" s="567"/>
      <c r="L40" s="567"/>
    </row>
    <row r="41" spans="1:12">
      <c r="A41" s="567"/>
      <c r="C41" s="842">
        <v>312000000</v>
      </c>
      <c r="D41" s="842"/>
      <c r="E41" s="568" t="s">
        <v>746</v>
      </c>
      <c r="F41" s="570">
        <v>1000</v>
      </c>
      <c r="G41" s="570" t="s">
        <v>745</v>
      </c>
      <c r="H41" s="580">
        <f>C41/F41</f>
        <v>312000</v>
      </c>
      <c r="L41" s="567"/>
    </row>
    <row r="42" spans="1:12">
      <c r="A42" s="567"/>
      <c r="L42" s="567"/>
    </row>
    <row r="43" spans="1:12">
      <c r="A43" s="567"/>
      <c r="B43" s="568" t="s">
        <v>754</v>
      </c>
      <c r="L43" s="567"/>
    </row>
    <row r="44" spans="1:12">
      <c r="A44" s="567"/>
      <c r="L44" s="567"/>
    </row>
    <row r="45" spans="1:12">
      <c r="A45" s="567"/>
      <c r="B45" s="568" t="s">
        <v>755</v>
      </c>
      <c r="L45" s="567"/>
    </row>
    <row r="46" spans="1:12" ht="15" thickBot="1">
      <c r="A46" s="567"/>
      <c r="L46" s="567"/>
    </row>
    <row r="47" spans="1:12">
      <c r="A47" s="567"/>
      <c r="B47" s="581" t="s">
        <v>741</v>
      </c>
      <c r="C47" s="571"/>
      <c r="D47" s="571"/>
      <c r="E47" s="571"/>
      <c r="F47" s="571"/>
      <c r="G47" s="571"/>
      <c r="H47" s="571"/>
      <c r="I47" s="571"/>
      <c r="J47" s="571"/>
      <c r="K47" s="572"/>
      <c r="L47" s="567"/>
    </row>
    <row r="48" spans="1:12">
      <c r="A48" s="567"/>
      <c r="B48" s="834">
        <v>312000000</v>
      </c>
      <c r="C48" s="828"/>
      <c r="D48" s="574" t="s">
        <v>756</v>
      </c>
      <c r="E48" s="574" t="s">
        <v>746</v>
      </c>
      <c r="F48" s="632">
        <v>1000</v>
      </c>
      <c r="G48" s="632" t="s">
        <v>745</v>
      </c>
      <c r="H48" s="575">
        <f>B48/F48</f>
        <v>312000</v>
      </c>
      <c r="I48" s="574" t="s">
        <v>757</v>
      </c>
      <c r="J48" s="574"/>
      <c r="K48" s="576"/>
      <c r="L48" s="567"/>
    </row>
    <row r="49" spans="1:24">
      <c r="A49" s="567"/>
      <c r="B49" s="582"/>
      <c r="C49" s="574"/>
      <c r="D49" s="574"/>
      <c r="E49" s="574"/>
      <c r="F49" s="574"/>
      <c r="G49" s="574"/>
      <c r="H49" s="574"/>
      <c r="I49" s="574"/>
      <c r="J49" s="574"/>
      <c r="K49" s="576"/>
      <c r="L49" s="567"/>
    </row>
    <row r="50" spans="1:24">
      <c r="A50" s="567"/>
      <c r="B50" s="583">
        <v>50000</v>
      </c>
      <c r="C50" s="574" t="s">
        <v>758</v>
      </c>
      <c r="D50" s="574"/>
      <c r="E50" s="574" t="s">
        <v>746</v>
      </c>
      <c r="F50" s="575">
        <f>H48</f>
        <v>312000</v>
      </c>
      <c r="G50" s="835" t="s">
        <v>759</v>
      </c>
      <c r="H50" s="836"/>
      <c r="I50" s="632" t="s">
        <v>745</v>
      </c>
      <c r="J50" s="584">
        <f>B50/F50</f>
        <v>0.16025641025641027</v>
      </c>
      <c r="K50" s="576"/>
      <c r="L50" s="567"/>
    </row>
    <row r="51" spans="1:24" ht="15" thickBot="1">
      <c r="A51" s="567"/>
      <c r="B51" s="577"/>
      <c r="C51" s="578"/>
      <c r="D51" s="578"/>
      <c r="E51" s="578"/>
      <c r="F51" s="578"/>
      <c r="G51" s="578"/>
      <c r="H51" s="578"/>
      <c r="I51" s="837" t="s">
        <v>760</v>
      </c>
      <c r="J51" s="837"/>
      <c r="K51" s="838"/>
      <c r="L51" s="567"/>
      <c r="O51" s="585"/>
    </row>
    <row r="52" spans="1:24" ht="40.5" customHeight="1">
      <c r="A52" s="567"/>
      <c r="B52" s="829" t="s">
        <v>737</v>
      </c>
      <c r="C52" s="829"/>
      <c r="D52" s="829"/>
      <c r="E52" s="829"/>
      <c r="F52" s="829"/>
      <c r="G52" s="829"/>
      <c r="H52" s="829"/>
      <c r="I52" s="829"/>
      <c r="J52" s="829"/>
      <c r="K52" s="829"/>
      <c r="L52" s="567"/>
    </row>
    <row r="53" spans="1:24">
      <c r="A53" s="567"/>
      <c r="B53" s="832" t="s">
        <v>761</v>
      </c>
      <c r="C53" s="832"/>
      <c r="D53" s="832"/>
      <c r="E53" s="832"/>
      <c r="F53" s="832"/>
      <c r="G53" s="832"/>
      <c r="H53" s="832"/>
      <c r="I53" s="832"/>
      <c r="J53" s="832"/>
      <c r="K53" s="832"/>
      <c r="L53" s="567"/>
    </row>
    <row r="54" spans="1:24">
      <c r="A54" s="567"/>
      <c r="B54" s="628"/>
      <c r="C54" s="628"/>
      <c r="D54" s="628"/>
      <c r="E54" s="628"/>
      <c r="F54" s="628"/>
      <c r="G54" s="628"/>
      <c r="H54" s="628"/>
      <c r="I54" s="628"/>
      <c r="J54" s="628"/>
      <c r="K54" s="628"/>
      <c r="L54" s="567"/>
    </row>
    <row r="55" spans="1:24">
      <c r="A55" s="567"/>
      <c r="B55" s="826" t="s">
        <v>762</v>
      </c>
      <c r="C55" s="826"/>
      <c r="D55" s="826"/>
      <c r="E55" s="826"/>
      <c r="F55" s="826"/>
      <c r="G55" s="826"/>
      <c r="H55" s="826"/>
      <c r="I55" s="826"/>
      <c r="J55" s="826"/>
      <c r="K55" s="826"/>
      <c r="L55" s="567"/>
    </row>
    <row r="56" spans="1:24" ht="15" customHeight="1">
      <c r="A56" s="567"/>
      <c r="L56" s="567"/>
    </row>
    <row r="57" spans="1:24" ht="74.25" customHeight="1">
      <c r="A57" s="567"/>
      <c r="B57" s="830" t="s">
        <v>763</v>
      </c>
      <c r="C57" s="833"/>
      <c r="D57" s="833"/>
      <c r="E57" s="833"/>
      <c r="F57" s="833"/>
      <c r="G57" s="833"/>
      <c r="H57" s="833"/>
      <c r="I57" s="833"/>
      <c r="J57" s="833"/>
      <c r="K57" s="833"/>
      <c r="L57" s="567"/>
      <c r="M57" s="552"/>
      <c r="N57" s="540"/>
      <c r="O57" s="540"/>
      <c r="P57" s="540"/>
      <c r="Q57" s="540"/>
      <c r="R57" s="540"/>
      <c r="S57" s="540"/>
      <c r="T57" s="540"/>
      <c r="U57" s="540"/>
      <c r="V57" s="540"/>
      <c r="W57" s="540"/>
      <c r="X57" s="540"/>
    </row>
    <row r="58" spans="1:24" ht="15" customHeight="1">
      <c r="A58" s="567"/>
      <c r="B58" s="830"/>
      <c r="C58" s="833"/>
      <c r="D58" s="833"/>
      <c r="E58" s="833"/>
      <c r="F58" s="833"/>
      <c r="G58" s="833"/>
      <c r="H58" s="833"/>
      <c r="I58" s="833"/>
      <c r="J58" s="833"/>
      <c r="K58" s="833"/>
      <c r="L58" s="567"/>
      <c r="M58" s="552"/>
      <c r="N58" s="540"/>
      <c r="O58" s="540"/>
      <c r="P58" s="540"/>
      <c r="Q58" s="540"/>
      <c r="R58" s="540"/>
      <c r="S58" s="540"/>
      <c r="T58" s="540"/>
      <c r="U58" s="540"/>
      <c r="V58" s="540"/>
      <c r="W58" s="540"/>
      <c r="X58" s="540"/>
    </row>
    <row r="59" spans="1:24">
      <c r="A59" s="567"/>
      <c r="B59" s="550" t="s">
        <v>752</v>
      </c>
      <c r="L59" s="567"/>
      <c r="M59" s="540"/>
      <c r="N59" s="540"/>
      <c r="O59" s="540"/>
      <c r="P59" s="540"/>
      <c r="Q59" s="540"/>
      <c r="R59" s="540"/>
      <c r="S59" s="540"/>
      <c r="T59" s="540"/>
      <c r="U59" s="540"/>
      <c r="V59" s="540"/>
      <c r="W59" s="540"/>
      <c r="X59" s="540"/>
    </row>
    <row r="60" spans="1:24">
      <c r="A60" s="567"/>
      <c r="L60" s="567"/>
      <c r="M60" s="540"/>
      <c r="N60" s="540"/>
      <c r="O60" s="540"/>
      <c r="P60" s="540"/>
      <c r="Q60" s="540"/>
      <c r="R60" s="540"/>
      <c r="S60" s="540"/>
      <c r="T60" s="540"/>
      <c r="U60" s="540"/>
      <c r="V60" s="540"/>
      <c r="W60" s="540"/>
      <c r="X60" s="540"/>
    </row>
    <row r="61" spans="1:24">
      <c r="A61" s="567"/>
      <c r="B61" s="568" t="s">
        <v>764</v>
      </c>
      <c r="L61" s="567"/>
      <c r="M61" s="540"/>
      <c r="N61" s="540"/>
      <c r="O61" s="540"/>
      <c r="P61" s="540"/>
      <c r="Q61" s="540"/>
      <c r="R61" s="540"/>
      <c r="S61" s="540"/>
      <c r="T61" s="540"/>
      <c r="U61" s="540"/>
      <c r="V61" s="540"/>
      <c r="W61" s="540"/>
      <c r="X61" s="540"/>
    </row>
    <row r="62" spans="1:24">
      <c r="A62" s="567"/>
      <c r="B62" s="568" t="s">
        <v>816</v>
      </c>
      <c r="L62" s="567"/>
      <c r="M62" s="540"/>
      <c r="N62" s="540"/>
      <c r="O62" s="540"/>
      <c r="P62" s="540"/>
      <c r="Q62" s="540"/>
      <c r="R62" s="540"/>
      <c r="S62" s="540"/>
      <c r="T62" s="540"/>
      <c r="U62" s="540"/>
      <c r="V62" s="540"/>
      <c r="W62" s="540"/>
      <c r="X62" s="540"/>
    </row>
    <row r="63" spans="1:24">
      <c r="A63" s="567"/>
      <c r="B63" s="568" t="s">
        <v>817</v>
      </c>
      <c r="L63" s="567"/>
      <c r="M63" s="540"/>
      <c r="N63" s="540"/>
      <c r="O63" s="540"/>
      <c r="P63" s="540"/>
      <c r="Q63" s="540"/>
      <c r="R63" s="540"/>
      <c r="S63" s="540"/>
      <c r="T63" s="540"/>
      <c r="U63" s="540"/>
      <c r="V63" s="540"/>
      <c r="W63" s="540"/>
      <c r="X63" s="540"/>
    </row>
    <row r="64" spans="1:24">
      <c r="A64" s="567"/>
      <c r="L64" s="567"/>
      <c r="M64" s="540"/>
      <c r="N64" s="540"/>
      <c r="O64" s="540"/>
      <c r="P64" s="540"/>
      <c r="Q64" s="540"/>
      <c r="R64" s="540"/>
      <c r="S64" s="540"/>
      <c r="T64" s="540"/>
      <c r="U64" s="540"/>
      <c r="V64" s="540"/>
      <c r="W64" s="540"/>
      <c r="X64" s="540"/>
    </row>
    <row r="65" spans="1:24">
      <c r="A65" s="567"/>
      <c r="B65" s="568" t="s">
        <v>765</v>
      </c>
      <c r="L65" s="567"/>
      <c r="M65" s="540"/>
      <c r="N65" s="540"/>
      <c r="O65" s="540"/>
      <c r="P65" s="540"/>
      <c r="Q65" s="540"/>
      <c r="R65" s="540"/>
      <c r="S65" s="540"/>
      <c r="T65" s="540"/>
      <c r="U65" s="540"/>
      <c r="V65" s="540"/>
      <c r="W65" s="540"/>
      <c r="X65" s="540"/>
    </row>
    <row r="66" spans="1:24">
      <c r="A66" s="567"/>
      <c r="B66" s="568" t="s">
        <v>766</v>
      </c>
      <c r="L66" s="567"/>
      <c r="M66" s="540"/>
      <c r="N66" s="540"/>
      <c r="O66" s="540"/>
      <c r="P66" s="540"/>
      <c r="Q66" s="540"/>
      <c r="R66" s="540"/>
      <c r="S66" s="540"/>
      <c r="T66" s="540"/>
      <c r="U66" s="540"/>
      <c r="V66" s="540"/>
      <c r="W66" s="540"/>
      <c r="X66" s="540"/>
    </row>
    <row r="67" spans="1:24">
      <c r="A67" s="567"/>
      <c r="L67" s="567"/>
      <c r="M67" s="540"/>
      <c r="N67" s="540"/>
      <c r="O67" s="540"/>
      <c r="P67" s="540"/>
      <c r="Q67" s="540"/>
      <c r="R67" s="540"/>
      <c r="S67" s="540"/>
      <c r="T67" s="540"/>
      <c r="U67" s="540"/>
      <c r="V67" s="540"/>
      <c r="W67" s="540"/>
      <c r="X67" s="540"/>
    </row>
    <row r="68" spans="1:24">
      <c r="A68" s="567"/>
      <c r="B68" s="568" t="s">
        <v>767</v>
      </c>
      <c r="L68" s="567"/>
      <c r="M68" s="553"/>
      <c r="N68" s="539"/>
      <c r="O68" s="539"/>
      <c r="P68" s="539"/>
      <c r="Q68" s="539"/>
      <c r="R68" s="539"/>
      <c r="S68" s="539"/>
      <c r="T68" s="539"/>
      <c r="U68" s="539"/>
      <c r="V68" s="539"/>
      <c r="W68" s="539"/>
      <c r="X68" s="540"/>
    </row>
    <row r="69" spans="1:24">
      <c r="A69" s="567"/>
      <c r="B69" s="568" t="s">
        <v>818</v>
      </c>
      <c r="L69" s="567"/>
      <c r="M69" s="540"/>
      <c r="N69" s="540"/>
      <c r="O69" s="540"/>
      <c r="P69" s="540"/>
      <c r="Q69" s="540"/>
      <c r="R69" s="540"/>
      <c r="S69" s="540"/>
      <c r="T69" s="540"/>
      <c r="U69" s="540"/>
      <c r="V69" s="540"/>
      <c r="W69" s="540"/>
      <c r="X69" s="540"/>
    </row>
    <row r="70" spans="1:24">
      <c r="A70" s="567"/>
      <c r="B70" s="568" t="s">
        <v>819</v>
      </c>
      <c r="L70" s="567"/>
      <c r="M70" s="540"/>
      <c r="N70" s="540"/>
      <c r="O70" s="540"/>
      <c r="P70" s="540"/>
      <c r="Q70" s="540"/>
      <c r="R70" s="540"/>
      <c r="S70" s="540"/>
      <c r="T70" s="540"/>
      <c r="U70" s="540"/>
      <c r="V70" s="540"/>
      <c r="W70" s="540"/>
      <c r="X70" s="540"/>
    </row>
    <row r="71" spans="1:24" ht="15" thickBot="1">
      <c r="A71" s="567"/>
      <c r="B71" s="574"/>
      <c r="C71" s="574"/>
      <c r="D71" s="574"/>
      <c r="E71" s="574"/>
      <c r="F71" s="574"/>
      <c r="G71" s="574"/>
      <c r="H71" s="574"/>
      <c r="I71" s="574"/>
      <c r="J71" s="574"/>
      <c r="K71" s="574"/>
      <c r="L71" s="567"/>
    </row>
    <row r="72" spans="1:24">
      <c r="A72" s="567"/>
      <c r="B72" s="551" t="s">
        <v>741</v>
      </c>
      <c r="C72" s="571"/>
      <c r="D72" s="571"/>
      <c r="E72" s="571"/>
      <c r="F72" s="571"/>
      <c r="G72" s="571"/>
      <c r="H72" s="571"/>
      <c r="I72" s="571"/>
      <c r="J72" s="571"/>
      <c r="K72" s="572"/>
      <c r="L72" s="586"/>
    </row>
    <row r="73" spans="1:24">
      <c r="A73" s="567"/>
      <c r="B73" s="582"/>
      <c r="C73" s="574" t="s">
        <v>747</v>
      </c>
      <c r="D73" s="574"/>
      <c r="E73" s="574"/>
      <c r="F73" s="574"/>
      <c r="G73" s="574"/>
      <c r="H73" s="574"/>
      <c r="I73" s="574"/>
      <c r="J73" s="574"/>
      <c r="K73" s="576"/>
      <c r="L73" s="586"/>
    </row>
    <row r="74" spans="1:24">
      <c r="A74" s="567"/>
      <c r="B74" s="582" t="s">
        <v>768</v>
      </c>
      <c r="C74" s="828">
        <v>312000000</v>
      </c>
      <c r="D74" s="828"/>
      <c r="E74" s="632" t="s">
        <v>746</v>
      </c>
      <c r="F74" s="632">
        <v>1000</v>
      </c>
      <c r="G74" s="632" t="s">
        <v>745</v>
      </c>
      <c r="H74" s="623">
        <f>C74/F74</f>
        <v>312000</v>
      </c>
      <c r="I74" s="574" t="s">
        <v>769</v>
      </c>
      <c r="J74" s="574"/>
      <c r="K74" s="576"/>
      <c r="L74" s="586"/>
    </row>
    <row r="75" spans="1:24">
      <c r="A75" s="567"/>
      <c r="B75" s="582"/>
      <c r="C75" s="574"/>
      <c r="D75" s="574"/>
      <c r="E75" s="632"/>
      <c r="F75" s="574"/>
      <c r="G75" s="574"/>
      <c r="H75" s="574"/>
      <c r="I75" s="574"/>
      <c r="J75" s="574"/>
      <c r="K75" s="576"/>
      <c r="L75" s="586"/>
    </row>
    <row r="76" spans="1:24">
      <c r="A76" s="567"/>
      <c r="B76" s="582"/>
      <c r="C76" s="574" t="s">
        <v>770</v>
      </c>
      <c r="D76" s="574"/>
      <c r="E76" s="632"/>
      <c r="F76" s="574" t="s">
        <v>769</v>
      </c>
      <c r="G76" s="574"/>
      <c r="H76" s="574"/>
      <c r="I76" s="574"/>
      <c r="J76" s="574"/>
      <c r="K76" s="576"/>
      <c r="L76" s="586"/>
    </row>
    <row r="77" spans="1:24">
      <c r="A77" s="567"/>
      <c r="B77" s="582" t="s">
        <v>773</v>
      </c>
      <c r="C77" s="828">
        <v>50000</v>
      </c>
      <c r="D77" s="828"/>
      <c r="E77" s="632" t="s">
        <v>746</v>
      </c>
      <c r="F77" s="623">
        <f>H74</f>
        <v>312000</v>
      </c>
      <c r="G77" s="632" t="s">
        <v>745</v>
      </c>
      <c r="H77" s="584">
        <f>C77/F77</f>
        <v>0.16025641025641027</v>
      </c>
      <c r="I77" s="574" t="s">
        <v>771</v>
      </c>
      <c r="J77" s="574"/>
      <c r="K77" s="576"/>
      <c r="L77" s="586"/>
    </row>
    <row r="78" spans="1:24">
      <c r="A78" s="567"/>
      <c r="B78" s="582"/>
      <c r="C78" s="574"/>
      <c r="D78" s="574"/>
      <c r="E78" s="632"/>
      <c r="F78" s="574"/>
      <c r="G78" s="574"/>
      <c r="H78" s="574"/>
      <c r="I78" s="574"/>
      <c r="J78" s="574"/>
      <c r="K78" s="576"/>
      <c r="L78" s="586"/>
    </row>
    <row r="79" spans="1:24">
      <c r="A79" s="567"/>
      <c r="B79" s="587"/>
      <c r="C79" s="588" t="s">
        <v>772</v>
      </c>
      <c r="D79" s="588"/>
      <c r="E79" s="624"/>
      <c r="F79" s="588"/>
      <c r="G79" s="588"/>
      <c r="H79" s="588"/>
      <c r="I79" s="588"/>
      <c r="J79" s="588"/>
      <c r="K79" s="589"/>
      <c r="L79" s="586"/>
    </row>
    <row r="80" spans="1:24">
      <c r="A80" s="567"/>
      <c r="B80" s="582" t="s">
        <v>798</v>
      </c>
      <c r="C80" s="828">
        <v>100000</v>
      </c>
      <c r="D80" s="828"/>
      <c r="E80" s="632" t="s">
        <v>146</v>
      </c>
      <c r="F80" s="632">
        <v>0.115</v>
      </c>
      <c r="G80" s="632" t="s">
        <v>745</v>
      </c>
      <c r="H80" s="623">
        <f>C80*F80</f>
        <v>11500</v>
      </c>
      <c r="I80" s="574" t="s">
        <v>774</v>
      </c>
      <c r="J80" s="574"/>
      <c r="K80" s="576"/>
      <c r="L80" s="586"/>
    </row>
    <row r="81" spans="1:12">
      <c r="A81" s="567"/>
      <c r="B81" s="582"/>
      <c r="C81" s="574"/>
      <c r="D81" s="574"/>
      <c r="E81" s="632"/>
      <c r="F81" s="574"/>
      <c r="G81" s="574"/>
      <c r="H81" s="574"/>
      <c r="I81" s="574"/>
      <c r="J81" s="574"/>
      <c r="K81" s="576"/>
      <c r="L81" s="586"/>
    </row>
    <row r="82" spans="1:12">
      <c r="A82" s="567"/>
      <c r="B82" s="587"/>
      <c r="C82" s="588" t="s">
        <v>775</v>
      </c>
      <c r="D82" s="588"/>
      <c r="E82" s="624"/>
      <c r="F82" s="588" t="s">
        <v>771</v>
      </c>
      <c r="G82" s="588"/>
      <c r="H82" s="588"/>
      <c r="I82" s="588"/>
      <c r="J82" s="588" t="s">
        <v>776</v>
      </c>
      <c r="K82" s="589"/>
      <c r="L82" s="586"/>
    </row>
    <row r="83" spans="1:12">
      <c r="A83" s="567"/>
      <c r="B83" s="582" t="s">
        <v>799</v>
      </c>
      <c r="C83" s="817">
        <f>H80</f>
        <v>11500</v>
      </c>
      <c r="D83" s="817"/>
      <c r="E83" s="632" t="s">
        <v>146</v>
      </c>
      <c r="F83" s="584">
        <f>H77</f>
        <v>0.16025641025641027</v>
      </c>
      <c r="G83" s="632" t="s">
        <v>746</v>
      </c>
      <c r="H83" s="632">
        <v>1000</v>
      </c>
      <c r="I83" s="632" t="s">
        <v>745</v>
      </c>
      <c r="J83" s="625">
        <f>C83*F83/H83</f>
        <v>1.8429487179487181</v>
      </c>
      <c r="K83" s="576"/>
      <c r="L83" s="586"/>
    </row>
    <row r="84" spans="1:12" ht="15" thickBot="1">
      <c r="A84" s="567"/>
      <c r="B84" s="577"/>
      <c r="C84" s="590"/>
      <c r="D84" s="590"/>
      <c r="E84" s="591"/>
      <c r="F84" s="592"/>
      <c r="G84" s="591"/>
      <c r="H84" s="591"/>
      <c r="I84" s="591"/>
      <c r="J84" s="593"/>
      <c r="K84" s="579"/>
      <c r="L84" s="586"/>
    </row>
    <row r="85" spans="1:12" ht="40.5" customHeight="1">
      <c r="A85" s="567"/>
      <c r="B85" s="829" t="s">
        <v>737</v>
      </c>
      <c r="C85" s="829"/>
      <c r="D85" s="829"/>
      <c r="E85" s="829"/>
      <c r="F85" s="829"/>
      <c r="G85" s="829"/>
      <c r="H85" s="829"/>
      <c r="I85" s="829"/>
      <c r="J85" s="829"/>
      <c r="K85" s="829"/>
      <c r="L85" s="567"/>
    </row>
    <row r="86" spans="1:12">
      <c r="A86" s="567"/>
      <c r="B86" s="826" t="s">
        <v>777</v>
      </c>
      <c r="C86" s="826"/>
      <c r="D86" s="826"/>
      <c r="E86" s="826"/>
      <c r="F86" s="826"/>
      <c r="G86" s="826"/>
      <c r="H86" s="826"/>
      <c r="I86" s="826"/>
      <c r="J86" s="826"/>
      <c r="K86" s="826"/>
      <c r="L86" s="567"/>
    </row>
    <row r="87" spans="1:12">
      <c r="A87" s="567"/>
      <c r="B87" s="594"/>
      <c r="C87" s="594"/>
      <c r="D87" s="594"/>
      <c r="E87" s="594"/>
      <c r="F87" s="594"/>
      <c r="G87" s="594"/>
      <c r="H87" s="594"/>
      <c r="I87" s="594"/>
      <c r="J87" s="594"/>
      <c r="K87" s="594"/>
      <c r="L87" s="567"/>
    </row>
    <row r="88" spans="1:12">
      <c r="A88" s="567"/>
      <c r="B88" s="826" t="s">
        <v>778</v>
      </c>
      <c r="C88" s="826"/>
      <c r="D88" s="826"/>
      <c r="E88" s="826"/>
      <c r="F88" s="826"/>
      <c r="G88" s="826"/>
      <c r="H88" s="826"/>
      <c r="I88" s="826"/>
      <c r="J88" s="826"/>
      <c r="K88" s="826"/>
      <c r="L88" s="567"/>
    </row>
    <row r="89" spans="1:12">
      <c r="A89" s="567"/>
      <c r="B89" s="626"/>
      <c r="C89" s="626"/>
      <c r="D89" s="626"/>
      <c r="E89" s="626"/>
      <c r="F89" s="626"/>
      <c r="G89" s="626"/>
      <c r="H89" s="626"/>
      <c r="I89" s="626"/>
      <c r="J89" s="626"/>
      <c r="K89" s="626"/>
      <c r="L89" s="567"/>
    </row>
    <row r="90" spans="1:12" ht="45" customHeight="1">
      <c r="A90" s="567"/>
      <c r="B90" s="830" t="s">
        <v>779</v>
      </c>
      <c r="C90" s="830"/>
      <c r="D90" s="830"/>
      <c r="E90" s="830"/>
      <c r="F90" s="830"/>
      <c r="G90" s="830"/>
      <c r="H90" s="830"/>
      <c r="I90" s="830"/>
      <c r="J90" s="830"/>
      <c r="K90" s="830"/>
      <c r="L90" s="567"/>
    </row>
    <row r="91" spans="1:12" ht="15" customHeight="1" thickBot="1">
      <c r="A91" s="567"/>
      <c r="L91" s="567"/>
    </row>
    <row r="92" spans="1:12" ht="15" customHeight="1">
      <c r="A92" s="567"/>
      <c r="B92" s="554" t="s">
        <v>741</v>
      </c>
      <c r="C92" s="595"/>
      <c r="D92" s="595"/>
      <c r="E92" s="595"/>
      <c r="F92" s="595"/>
      <c r="G92" s="595"/>
      <c r="H92" s="595"/>
      <c r="I92" s="595"/>
      <c r="J92" s="595"/>
      <c r="K92" s="596"/>
      <c r="L92" s="567"/>
    </row>
    <row r="93" spans="1:12" ht="15" customHeight="1">
      <c r="A93" s="567"/>
      <c r="B93" s="597"/>
      <c r="C93" s="630" t="s">
        <v>747</v>
      </c>
      <c r="D93" s="630"/>
      <c r="E93" s="630"/>
      <c r="F93" s="630"/>
      <c r="G93" s="630"/>
      <c r="H93" s="630"/>
      <c r="I93" s="630"/>
      <c r="J93" s="630"/>
      <c r="K93" s="598"/>
      <c r="L93" s="567"/>
    </row>
    <row r="94" spans="1:12" ht="15" customHeight="1">
      <c r="A94" s="567"/>
      <c r="B94" s="597" t="s">
        <v>768</v>
      </c>
      <c r="C94" s="828">
        <v>312000000</v>
      </c>
      <c r="D94" s="828"/>
      <c r="E94" s="632" t="s">
        <v>746</v>
      </c>
      <c r="F94" s="632">
        <v>1000</v>
      </c>
      <c r="G94" s="632" t="s">
        <v>745</v>
      </c>
      <c r="H94" s="623">
        <f>C94/F94</f>
        <v>312000</v>
      </c>
      <c r="I94" s="630" t="s">
        <v>769</v>
      </c>
      <c r="J94" s="630"/>
      <c r="K94" s="598"/>
      <c r="L94" s="567"/>
    </row>
    <row r="95" spans="1:12" ht="15" customHeight="1">
      <c r="A95" s="567"/>
      <c r="B95" s="597"/>
      <c r="C95" s="630"/>
      <c r="D95" s="630"/>
      <c r="E95" s="632"/>
      <c r="F95" s="630"/>
      <c r="G95" s="630"/>
      <c r="H95" s="630"/>
      <c r="I95" s="630"/>
      <c r="J95" s="630"/>
      <c r="K95" s="598"/>
      <c r="L95" s="567"/>
    </row>
    <row r="96" spans="1:12" ht="15" customHeight="1">
      <c r="A96" s="567"/>
      <c r="B96" s="597"/>
      <c r="C96" s="630" t="s">
        <v>770</v>
      </c>
      <c r="D96" s="630"/>
      <c r="E96" s="632"/>
      <c r="F96" s="630" t="s">
        <v>769</v>
      </c>
      <c r="G96" s="630"/>
      <c r="H96" s="630"/>
      <c r="I96" s="630"/>
      <c r="J96" s="630"/>
      <c r="K96" s="598"/>
      <c r="L96" s="567"/>
    </row>
    <row r="97" spans="1:12" ht="15" customHeight="1">
      <c r="A97" s="567"/>
      <c r="B97" s="597" t="s">
        <v>773</v>
      </c>
      <c r="C97" s="828">
        <v>50000</v>
      </c>
      <c r="D97" s="828"/>
      <c r="E97" s="632" t="s">
        <v>746</v>
      </c>
      <c r="F97" s="623">
        <f>H94</f>
        <v>312000</v>
      </c>
      <c r="G97" s="632" t="s">
        <v>745</v>
      </c>
      <c r="H97" s="584">
        <f>C97/F97</f>
        <v>0.16025641025641027</v>
      </c>
      <c r="I97" s="630" t="s">
        <v>771</v>
      </c>
      <c r="J97" s="630"/>
      <c r="K97" s="598"/>
      <c r="L97" s="567"/>
    </row>
    <row r="98" spans="1:12" ht="15" customHeight="1">
      <c r="A98" s="567"/>
      <c r="B98" s="597"/>
      <c r="C98" s="630"/>
      <c r="D98" s="630"/>
      <c r="E98" s="632"/>
      <c r="F98" s="630"/>
      <c r="G98" s="630"/>
      <c r="H98" s="630"/>
      <c r="I98" s="630"/>
      <c r="J98" s="630"/>
      <c r="K98" s="598"/>
      <c r="L98" s="567"/>
    </row>
    <row r="99" spans="1:12" ht="15" customHeight="1">
      <c r="A99" s="567"/>
      <c r="B99" s="599"/>
      <c r="C99" s="600" t="s">
        <v>780</v>
      </c>
      <c r="D99" s="600"/>
      <c r="E99" s="624"/>
      <c r="F99" s="600"/>
      <c r="G99" s="600"/>
      <c r="H99" s="600"/>
      <c r="I99" s="600"/>
      <c r="J99" s="600"/>
      <c r="K99" s="601"/>
      <c r="L99" s="567"/>
    </row>
    <row r="100" spans="1:12" ht="15" customHeight="1">
      <c r="A100" s="567"/>
      <c r="B100" s="597" t="s">
        <v>798</v>
      </c>
      <c r="C100" s="828">
        <v>2500000</v>
      </c>
      <c r="D100" s="828"/>
      <c r="E100" s="632" t="s">
        <v>146</v>
      </c>
      <c r="F100" s="602">
        <v>0.3</v>
      </c>
      <c r="G100" s="632" t="s">
        <v>745</v>
      </c>
      <c r="H100" s="623">
        <f>C100*F100</f>
        <v>750000</v>
      </c>
      <c r="I100" s="630" t="s">
        <v>774</v>
      </c>
      <c r="J100" s="630"/>
      <c r="K100" s="598"/>
      <c r="L100" s="567"/>
    </row>
    <row r="101" spans="1:12" ht="15" customHeight="1">
      <c r="A101" s="567"/>
      <c r="B101" s="597"/>
      <c r="C101" s="630"/>
      <c r="D101" s="630"/>
      <c r="E101" s="632"/>
      <c r="F101" s="630"/>
      <c r="G101" s="630"/>
      <c r="H101" s="630"/>
      <c r="I101" s="630"/>
      <c r="J101" s="630"/>
      <c r="K101" s="598"/>
      <c r="L101" s="567"/>
    </row>
    <row r="102" spans="1:12" ht="15" customHeight="1">
      <c r="A102" s="567"/>
      <c r="B102" s="599"/>
      <c r="C102" s="600" t="s">
        <v>775</v>
      </c>
      <c r="D102" s="600"/>
      <c r="E102" s="624"/>
      <c r="F102" s="600" t="s">
        <v>771</v>
      </c>
      <c r="G102" s="600"/>
      <c r="H102" s="600"/>
      <c r="I102" s="600"/>
      <c r="J102" s="600" t="s">
        <v>776</v>
      </c>
      <c r="K102" s="601"/>
      <c r="L102" s="567"/>
    </row>
    <row r="103" spans="1:12" ht="15" customHeight="1">
      <c r="A103" s="567"/>
      <c r="B103" s="597" t="s">
        <v>799</v>
      </c>
      <c r="C103" s="817">
        <f>H100</f>
        <v>750000</v>
      </c>
      <c r="D103" s="817"/>
      <c r="E103" s="632" t="s">
        <v>146</v>
      </c>
      <c r="F103" s="584">
        <f>H97</f>
        <v>0.16025641025641027</v>
      </c>
      <c r="G103" s="632" t="s">
        <v>746</v>
      </c>
      <c r="H103" s="632">
        <v>1000</v>
      </c>
      <c r="I103" s="632" t="s">
        <v>745</v>
      </c>
      <c r="J103" s="625">
        <f>C103*F103/H103</f>
        <v>120.19230769230771</v>
      </c>
      <c r="K103" s="598"/>
      <c r="L103" s="567"/>
    </row>
    <row r="104" spans="1:12" ht="15" customHeight="1" thickBot="1">
      <c r="A104" s="567"/>
      <c r="B104" s="603"/>
      <c r="C104" s="590"/>
      <c r="D104" s="590"/>
      <c r="E104" s="591"/>
      <c r="F104" s="592"/>
      <c r="G104" s="591"/>
      <c r="H104" s="591"/>
      <c r="I104" s="591"/>
      <c r="J104" s="593"/>
      <c r="K104" s="631"/>
      <c r="L104" s="567"/>
    </row>
    <row r="105" spans="1:12" ht="40.5" customHeight="1">
      <c r="A105" s="567"/>
      <c r="B105" s="829" t="s">
        <v>737</v>
      </c>
      <c r="C105" s="831"/>
      <c r="D105" s="831"/>
      <c r="E105" s="831"/>
      <c r="F105" s="831"/>
      <c r="G105" s="831"/>
      <c r="H105" s="831"/>
      <c r="I105" s="831"/>
      <c r="J105" s="831"/>
      <c r="K105" s="831"/>
      <c r="L105" s="567"/>
    </row>
    <row r="106" spans="1:12" ht="15" customHeight="1">
      <c r="A106" s="567"/>
      <c r="B106" s="824" t="s">
        <v>781</v>
      </c>
      <c r="C106" s="827"/>
      <c r="D106" s="827"/>
      <c r="E106" s="827"/>
      <c r="F106" s="827"/>
      <c r="G106" s="827"/>
      <c r="H106" s="827"/>
      <c r="I106" s="827"/>
      <c r="J106" s="827"/>
      <c r="K106" s="827"/>
      <c r="L106" s="567"/>
    </row>
    <row r="107" spans="1:12" ht="15" customHeight="1">
      <c r="A107" s="567"/>
      <c r="B107" s="630"/>
      <c r="C107" s="604"/>
      <c r="D107" s="604"/>
      <c r="E107" s="632"/>
      <c r="F107" s="584"/>
      <c r="G107" s="632"/>
      <c r="H107" s="632"/>
      <c r="I107" s="632"/>
      <c r="J107" s="625"/>
      <c r="K107" s="630"/>
      <c r="L107" s="567"/>
    </row>
    <row r="108" spans="1:12" ht="15" customHeight="1">
      <c r="A108" s="567"/>
      <c r="B108" s="824" t="s">
        <v>782</v>
      </c>
      <c r="C108" s="825"/>
      <c r="D108" s="825"/>
      <c r="E108" s="825"/>
      <c r="F108" s="825"/>
      <c r="G108" s="825"/>
      <c r="H108" s="825"/>
      <c r="I108" s="825"/>
      <c r="J108" s="825"/>
      <c r="K108" s="825"/>
      <c r="L108" s="567"/>
    </row>
    <row r="109" spans="1:12" ht="15" customHeight="1">
      <c r="A109" s="567"/>
      <c r="B109" s="630"/>
      <c r="C109" s="604"/>
      <c r="D109" s="604"/>
      <c r="E109" s="632"/>
      <c r="F109" s="584"/>
      <c r="G109" s="632"/>
      <c r="H109" s="632"/>
      <c r="I109" s="632"/>
      <c r="J109" s="625"/>
      <c r="K109" s="630"/>
      <c r="L109" s="567"/>
    </row>
    <row r="110" spans="1:12" ht="59.25" customHeight="1">
      <c r="A110" s="567"/>
      <c r="B110" s="843" t="s">
        <v>783</v>
      </c>
      <c r="C110" s="833"/>
      <c r="D110" s="833"/>
      <c r="E110" s="833"/>
      <c r="F110" s="833"/>
      <c r="G110" s="833"/>
      <c r="H110" s="833"/>
      <c r="I110" s="833"/>
      <c r="J110" s="833"/>
      <c r="K110" s="833"/>
      <c r="L110" s="567"/>
    </row>
    <row r="111" spans="1:12" ht="15" thickBot="1">
      <c r="A111" s="567"/>
      <c r="B111" s="628"/>
      <c r="C111" s="628"/>
      <c r="D111" s="628"/>
      <c r="E111" s="628"/>
      <c r="F111" s="628"/>
      <c r="G111" s="628"/>
      <c r="H111" s="628"/>
      <c r="I111" s="628"/>
      <c r="J111" s="628"/>
      <c r="K111" s="628"/>
      <c r="L111" s="605"/>
    </row>
    <row r="112" spans="1:12">
      <c r="A112" s="567"/>
      <c r="B112" s="551" t="s">
        <v>741</v>
      </c>
      <c r="C112" s="571"/>
      <c r="D112" s="571"/>
      <c r="E112" s="571"/>
      <c r="F112" s="571"/>
      <c r="G112" s="571"/>
      <c r="H112" s="571"/>
      <c r="I112" s="571"/>
      <c r="J112" s="571"/>
      <c r="K112" s="572"/>
      <c r="L112" s="567"/>
    </row>
    <row r="113" spans="1:12">
      <c r="A113" s="567"/>
      <c r="B113" s="582"/>
      <c r="C113" s="574" t="s">
        <v>747</v>
      </c>
      <c r="D113" s="574"/>
      <c r="E113" s="574"/>
      <c r="F113" s="574"/>
      <c r="G113" s="574"/>
      <c r="H113" s="574"/>
      <c r="I113" s="574"/>
      <c r="J113" s="574"/>
      <c r="K113" s="576"/>
      <c r="L113" s="567"/>
    </row>
    <row r="114" spans="1:12">
      <c r="A114" s="567"/>
      <c r="B114" s="582" t="s">
        <v>768</v>
      </c>
      <c r="C114" s="828">
        <v>312000000</v>
      </c>
      <c r="D114" s="828"/>
      <c r="E114" s="632" t="s">
        <v>746</v>
      </c>
      <c r="F114" s="632">
        <v>1000</v>
      </c>
      <c r="G114" s="632" t="s">
        <v>745</v>
      </c>
      <c r="H114" s="623">
        <f>C114/F114</f>
        <v>312000</v>
      </c>
      <c r="I114" s="574" t="s">
        <v>769</v>
      </c>
      <c r="J114" s="574"/>
      <c r="K114" s="576"/>
      <c r="L114" s="567"/>
    </row>
    <row r="115" spans="1:12">
      <c r="A115" s="567"/>
      <c r="B115" s="582"/>
      <c r="C115" s="574"/>
      <c r="D115" s="574"/>
      <c r="E115" s="632"/>
      <c r="F115" s="574"/>
      <c r="G115" s="574"/>
      <c r="H115" s="574"/>
      <c r="I115" s="574"/>
      <c r="J115" s="574"/>
      <c r="K115" s="576"/>
      <c r="L115" s="567"/>
    </row>
    <row r="116" spans="1:12">
      <c r="A116" s="567"/>
      <c r="B116" s="582"/>
      <c r="C116" s="574" t="s">
        <v>770</v>
      </c>
      <c r="D116" s="574"/>
      <c r="E116" s="632"/>
      <c r="F116" s="574" t="s">
        <v>769</v>
      </c>
      <c r="G116" s="574"/>
      <c r="H116" s="574"/>
      <c r="I116" s="574"/>
      <c r="J116" s="574"/>
      <c r="K116" s="576"/>
      <c r="L116" s="567"/>
    </row>
    <row r="117" spans="1:12">
      <c r="A117" s="567"/>
      <c r="B117" s="582" t="s">
        <v>773</v>
      </c>
      <c r="C117" s="828">
        <v>50000</v>
      </c>
      <c r="D117" s="828"/>
      <c r="E117" s="632" t="s">
        <v>746</v>
      </c>
      <c r="F117" s="623">
        <f>H114</f>
        <v>312000</v>
      </c>
      <c r="G117" s="632" t="s">
        <v>745</v>
      </c>
      <c r="H117" s="584">
        <f>C117/F117</f>
        <v>0.16025641025641027</v>
      </c>
      <c r="I117" s="574" t="s">
        <v>771</v>
      </c>
      <c r="J117" s="574"/>
      <c r="K117" s="576"/>
      <c r="L117" s="567"/>
    </row>
    <row r="118" spans="1:12">
      <c r="A118" s="567"/>
      <c r="B118" s="582"/>
      <c r="C118" s="574"/>
      <c r="D118" s="574"/>
      <c r="E118" s="632"/>
      <c r="F118" s="574"/>
      <c r="G118" s="574"/>
      <c r="H118" s="574"/>
      <c r="I118" s="574"/>
      <c r="J118" s="574"/>
      <c r="K118" s="576"/>
      <c r="L118" s="567"/>
    </row>
    <row r="119" spans="1:12">
      <c r="A119" s="567"/>
      <c r="B119" s="587"/>
      <c r="C119" s="588" t="s">
        <v>780</v>
      </c>
      <c r="D119" s="588"/>
      <c r="E119" s="624"/>
      <c r="F119" s="588"/>
      <c r="G119" s="588"/>
      <c r="H119" s="588"/>
      <c r="I119" s="588"/>
      <c r="J119" s="588"/>
      <c r="K119" s="589"/>
      <c r="L119" s="567"/>
    </row>
    <row r="120" spans="1:12">
      <c r="A120" s="567"/>
      <c r="B120" s="582" t="s">
        <v>798</v>
      </c>
      <c r="C120" s="828">
        <v>2500000</v>
      </c>
      <c r="D120" s="828"/>
      <c r="E120" s="632" t="s">
        <v>146</v>
      </c>
      <c r="F120" s="602">
        <v>0.25</v>
      </c>
      <c r="G120" s="632" t="s">
        <v>745</v>
      </c>
      <c r="H120" s="623">
        <f>C120*F120</f>
        <v>625000</v>
      </c>
      <c r="I120" s="574" t="s">
        <v>774</v>
      </c>
      <c r="J120" s="574"/>
      <c r="K120" s="576"/>
      <c r="L120" s="567"/>
    </row>
    <row r="121" spans="1:12">
      <c r="A121" s="567"/>
      <c r="B121" s="582"/>
      <c r="C121" s="574"/>
      <c r="D121" s="574"/>
      <c r="E121" s="632"/>
      <c r="F121" s="574"/>
      <c r="G121" s="574"/>
      <c r="H121" s="574"/>
      <c r="I121" s="574"/>
      <c r="J121" s="574"/>
      <c r="K121" s="576"/>
      <c r="L121" s="567"/>
    </row>
    <row r="122" spans="1:12">
      <c r="A122" s="567"/>
      <c r="B122" s="587"/>
      <c r="C122" s="588" t="s">
        <v>775</v>
      </c>
      <c r="D122" s="588"/>
      <c r="E122" s="624"/>
      <c r="F122" s="588" t="s">
        <v>771</v>
      </c>
      <c r="G122" s="588"/>
      <c r="H122" s="588"/>
      <c r="I122" s="588"/>
      <c r="J122" s="588" t="s">
        <v>776</v>
      </c>
      <c r="K122" s="589"/>
      <c r="L122" s="567"/>
    </row>
    <row r="123" spans="1:12">
      <c r="A123" s="567"/>
      <c r="B123" s="582" t="s">
        <v>799</v>
      </c>
      <c r="C123" s="817">
        <f>H120</f>
        <v>625000</v>
      </c>
      <c r="D123" s="817"/>
      <c r="E123" s="632" t="s">
        <v>146</v>
      </c>
      <c r="F123" s="584">
        <f>H117</f>
        <v>0.16025641025641027</v>
      </c>
      <c r="G123" s="632" t="s">
        <v>746</v>
      </c>
      <c r="H123" s="632">
        <v>1000</v>
      </c>
      <c r="I123" s="632" t="s">
        <v>745</v>
      </c>
      <c r="J123" s="625">
        <f>C123*F123/H123</f>
        <v>100.16025641025642</v>
      </c>
      <c r="K123" s="576"/>
      <c r="L123" s="567"/>
    </row>
    <row r="124" spans="1:12" ht="15" thickBot="1">
      <c r="A124" s="567"/>
      <c r="B124" s="577"/>
      <c r="C124" s="590"/>
      <c r="D124" s="590"/>
      <c r="E124" s="591"/>
      <c r="F124" s="592"/>
      <c r="G124" s="591"/>
      <c r="H124" s="591"/>
      <c r="I124" s="591"/>
      <c r="J124" s="593"/>
      <c r="K124" s="579"/>
      <c r="L124" s="567"/>
    </row>
    <row r="125" spans="1:12" ht="40.5" customHeight="1">
      <c r="A125" s="567"/>
      <c r="B125" s="829" t="s">
        <v>737</v>
      </c>
      <c r="C125" s="829"/>
      <c r="D125" s="829"/>
      <c r="E125" s="829"/>
      <c r="F125" s="829"/>
      <c r="G125" s="829"/>
      <c r="H125" s="829"/>
      <c r="I125" s="829"/>
      <c r="J125" s="829"/>
      <c r="K125" s="829"/>
      <c r="L125" s="605"/>
    </row>
    <row r="126" spans="1:12">
      <c r="A126" s="567"/>
      <c r="B126" s="826" t="s">
        <v>784</v>
      </c>
      <c r="C126" s="826"/>
      <c r="D126" s="826"/>
      <c r="E126" s="826"/>
      <c r="F126" s="826"/>
      <c r="G126" s="826"/>
      <c r="H126" s="826"/>
      <c r="I126" s="826"/>
      <c r="J126" s="826"/>
      <c r="K126" s="826"/>
      <c r="L126" s="605"/>
    </row>
    <row r="127" spans="1:12">
      <c r="A127" s="567"/>
      <c r="B127" s="628"/>
      <c r="C127" s="628"/>
      <c r="D127" s="628"/>
      <c r="E127" s="628"/>
      <c r="F127" s="628"/>
      <c r="G127" s="628"/>
      <c r="H127" s="628"/>
      <c r="I127" s="628"/>
      <c r="J127" s="628"/>
      <c r="K127" s="628"/>
      <c r="L127" s="605"/>
    </row>
    <row r="128" spans="1:12">
      <c r="A128" s="567"/>
      <c r="B128" s="826" t="s">
        <v>785</v>
      </c>
      <c r="C128" s="826"/>
      <c r="D128" s="826"/>
      <c r="E128" s="826"/>
      <c r="F128" s="826"/>
      <c r="G128" s="826"/>
      <c r="H128" s="826"/>
      <c r="I128" s="826"/>
      <c r="J128" s="826"/>
      <c r="K128" s="826"/>
      <c r="L128" s="605"/>
    </row>
    <row r="129" spans="1:12">
      <c r="A129" s="567"/>
      <c r="B129" s="626"/>
      <c r="C129" s="626"/>
      <c r="D129" s="626"/>
      <c r="E129" s="626"/>
      <c r="F129" s="626"/>
      <c r="G129" s="626"/>
      <c r="H129" s="626"/>
      <c r="I129" s="626"/>
      <c r="J129" s="626"/>
      <c r="K129" s="626"/>
      <c r="L129" s="605"/>
    </row>
    <row r="130" spans="1:12" ht="74.25" customHeight="1">
      <c r="A130" s="567"/>
      <c r="B130" s="830" t="s">
        <v>800</v>
      </c>
      <c r="C130" s="830"/>
      <c r="D130" s="830"/>
      <c r="E130" s="830"/>
      <c r="F130" s="830"/>
      <c r="G130" s="830"/>
      <c r="H130" s="830"/>
      <c r="I130" s="830"/>
      <c r="J130" s="830"/>
      <c r="K130" s="830"/>
      <c r="L130" s="605"/>
    </row>
    <row r="131" spans="1:12" ht="15" thickBot="1">
      <c r="A131" s="567"/>
      <c r="L131" s="567"/>
    </row>
    <row r="132" spans="1:12">
      <c r="A132" s="567"/>
      <c r="B132" s="551" t="s">
        <v>741</v>
      </c>
      <c r="C132" s="571"/>
      <c r="D132" s="571"/>
      <c r="E132" s="571"/>
      <c r="F132" s="571"/>
      <c r="G132" s="571"/>
      <c r="H132" s="571"/>
      <c r="I132" s="571"/>
      <c r="J132" s="571"/>
      <c r="K132" s="572"/>
      <c r="L132" s="567"/>
    </row>
    <row r="133" spans="1:12">
      <c r="A133" s="567"/>
      <c r="B133" s="582"/>
      <c r="C133" s="844" t="s">
        <v>786</v>
      </c>
      <c r="D133" s="844"/>
      <c r="E133" s="574"/>
      <c r="F133" s="632" t="s">
        <v>787</v>
      </c>
      <c r="G133" s="574"/>
      <c r="H133" s="844" t="s">
        <v>774</v>
      </c>
      <c r="I133" s="844"/>
      <c r="J133" s="574"/>
      <c r="K133" s="576"/>
      <c r="L133" s="567"/>
    </row>
    <row r="134" spans="1:12">
      <c r="A134" s="567"/>
      <c r="B134" s="582" t="s">
        <v>768</v>
      </c>
      <c r="C134" s="828">
        <v>100000</v>
      </c>
      <c r="D134" s="828"/>
      <c r="E134" s="632" t="s">
        <v>146</v>
      </c>
      <c r="F134" s="632">
        <v>0.115</v>
      </c>
      <c r="G134" s="632" t="s">
        <v>745</v>
      </c>
      <c r="H134" s="818">
        <f>C134*F134</f>
        <v>11500</v>
      </c>
      <c r="I134" s="818"/>
      <c r="J134" s="574"/>
      <c r="K134" s="576"/>
      <c r="L134" s="567"/>
    </row>
    <row r="135" spans="1:12">
      <c r="A135" s="567"/>
      <c r="B135" s="582"/>
      <c r="C135" s="574"/>
      <c r="D135" s="574"/>
      <c r="E135" s="574"/>
      <c r="F135" s="574"/>
      <c r="G135" s="574"/>
      <c r="H135" s="574"/>
      <c r="I135" s="574"/>
      <c r="J135" s="574"/>
      <c r="K135" s="576"/>
      <c r="L135" s="567"/>
    </row>
    <row r="136" spans="1:12">
      <c r="A136" s="567"/>
      <c r="B136" s="587"/>
      <c r="C136" s="819" t="s">
        <v>774</v>
      </c>
      <c r="D136" s="819"/>
      <c r="E136" s="588"/>
      <c r="F136" s="624" t="s">
        <v>788</v>
      </c>
      <c r="G136" s="624"/>
      <c r="H136" s="588"/>
      <c r="I136" s="588"/>
      <c r="J136" s="588" t="s">
        <v>789</v>
      </c>
      <c r="K136" s="589"/>
      <c r="L136" s="567"/>
    </row>
    <row r="137" spans="1:12">
      <c r="A137" s="567"/>
      <c r="B137" s="582" t="s">
        <v>773</v>
      </c>
      <c r="C137" s="818">
        <f>H134</f>
        <v>11500</v>
      </c>
      <c r="D137" s="818"/>
      <c r="E137" s="632" t="s">
        <v>146</v>
      </c>
      <c r="F137" s="606">
        <v>52.869</v>
      </c>
      <c r="G137" s="632" t="s">
        <v>746</v>
      </c>
      <c r="H137" s="632">
        <v>1000</v>
      </c>
      <c r="I137" s="632" t="s">
        <v>745</v>
      </c>
      <c r="J137" s="607">
        <f>C137*F137/H137</f>
        <v>607.99350000000004</v>
      </c>
      <c r="K137" s="576"/>
      <c r="L137" s="567"/>
    </row>
    <row r="138" spans="1:12" ht="15" thickBot="1">
      <c r="A138" s="567"/>
      <c r="B138" s="577"/>
      <c r="C138" s="608"/>
      <c r="D138" s="608"/>
      <c r="E138" s="591"/>
      <c r="F138" s="609"/>
      <c r="G138" s="591"/>
      <c r="H138" s="591"/>
      <c r="I138" s="591"/>
      <c r="J138" s="610"/>
      <c r="K138" s="579"/>
      <c r="L138" s="567"/>
    </row>
    <row r="139" spans="1:12" ht="40.5" customHeight="1">
      <c r="A139" s="567"/>
      <c r="B139" s="555" t="s">
        <v>737</v>
      </c>
      <c r="C139" s="556"/>
      <c r="D139" s="556"/>
      <c r="E139" s="557"/>
      <c r="F139" s="558"/>
      <c r="G139" s="557"/>
      <c r="H139" s="557"/>
      <c r="I139" s="557"/>
      <c r="J139" s="559"/>
      <c r="K139" s="560"/>
      <c r="L139" s="567"/>
    </row>
    <row r="140" spans="1:12">
      <c r="A140" s="567"/>
      <c r="B140" s="561" t="s">
        <v>801</v>
      </c>
      <c r="C140" s="562"/>
      <c r="D140" s="562"/>
      <c r="E140" s="563"/>
      <c r="F140" s="564"/>
      <c r="G140" s="563"/>
      <c r="H140" s="563"/>
      <c r="I140" s="563"/>
      <c r="J140" s="565"/>
      <c r="K140" s="566"/>
      <c r="L140" s="567"/>
    </row>
    <row r="141" spans="1:12">
      <c r="A141" s="567"/>
      <c r="B141" s="582"/>
      <c r="C141" s="623"/>
      <c r="D141" s="623"/>
      <c r="E141" s="632"/>
      <c r="F141" s="611"/>
      <c r="G141" s="632"/>
      <c r="H141" s="632"/>
      <c r="I141" s="632"/>
      <c r="J141" s="607"/>
      <c r="K141" s="576"/>
      <c r="L141" s="567"/>
    </row>
    <row r="142" spans="1:12">
      <c r="A142" s="567"/>
      <c r="B142" s="561" t="s">
        <v>802</v>
      </c>
      <c r="C142" s="562"/>
      <c r="D142" s="562"/>
      <c r="E142" s="563"/>
      <c r="F142" s="564"/>
      <c r="G142" s="563"/>
      <c r="H142" s="563"/>
      <c r="I142" s="563"/>
      <c r="J142" s="565"/>
      <c r="K142" s="566"/>
      <c r="L142" s="567"/>
    </row>
    <row r="143" spans="1:12">
      <c r="A143" s="567"/>
      <c r="B143" s="582"/>
      <c r="C143" s="623"/>
      <c r="D143" s="623"/>
      <c r="E143" s="632"/>
      <c r="F143" s="611"/>
      <c r="G143" s="632"/>
      <c r="H143" s="632"/>
      <c r="I143" s="632"/>
      <c r="J143" s="607"/>
      <c r="K143" s="576"/>
      <c r="L143" s="567"/>
    </row>
    <row r="144" spans="1:12" ht="76.5" customHeight="1">
      <c r="A144" s="567"/>
      <c r="B144" s="820" t="s">
        <v>803</v>
      </c>
      <c r="C144" s="821"/>
      <c r="D144" s="821"/>
      <c r="E144" s="821"/>
      <c r="F144" s="821"/>
      <c r="G144" s="821"/>
      <c r="H144" s="821"/>
      <c r="I144" s="821"/>
      <c r="J144" s="821"/>
      <c r="K144" s="822"/>
      <c r="L144" s="567"/>
    </row>
    <row r="145" spans="1:12" ht="15" thickBot="1">
      <c r="A145" s="567"/>
      <c r="B145" s="582"/>
      <c r="C145" s="623"/>
      <c r="D145" s="623"/>
      <c r="E145" s="632"/>
      <c r="F145" s="611"/>
      <c r="G145" s="632"/>
      <c r="H145" s="632"/>
      <c r="I145" s="632"/>
      <c r="J145" s="607"/>
      <c r="K145" s="576"/>
      <c r="L145" s="567"/>
    </row>
    <row r="146" spans="1:12">
      <c r="A146" s="567"/>
      <c r="B146" s="551" t="s">
        <v>741</v>
      </c>
      <c r="C146" s="612"/>
      <c r="D146" s="612"/>
      <c r="E146" s="613"/>
      <c r="F146" s="614"/>
      <c r="G146" s="613"/>
      <c r="H146" s="613"/>
      <c r="I146" s="613"/>
      <c r="J146" s="615"/>
      <c r="K146" s="572"/>
      <c r="L146" s="567"/>
    </row>
    <row r="147" spans="1:12">
      <c r="A147" s="567"/>
      <c r="B147" s="582"/>
      <c r="C147" s="818" t="s">
        <v>804</v>
      </c>
      <c r="D147" s="818"/>
      <c r="E147" s="632"/>
      <c r="F147" s="611" t="s">
        <v>805</v>
      </c>
      <c r="G147" s="632"/>
      <c r="H147" s="632"/>
      <c r="I147" s="632"/>
      <c r="J147" s="815" t="s">
        <v>806</v>
      </c>
      <c r="K147" s="823"/>
      <c r="L147" s="567"/>
    </row>
    <row r="148" spans="1:12">
      <c r="A148" s="567"/>
      <c r="B148" s="582"/>
      <c r="C148" s="814">
        <v>52.869</v>
      </c>
      <c r="D148" s="814"/>
      <c r="E148" s="632" t="s">
        <v>146</v>
      </c>
      <c r="F148" s="627">
        <v>312000000</v>
      </c>
      <c r="G148" s="616" t="s">
        <v>746</v>
      </c>
      <c r="H148" s="632">
        <v>1000</v>
      </c>
      <c r="I148" s="632" t="s">
        <v>745</v>
      </c>
      <c r="J148" s="815">
        <f>C148*(F148/1000)</f>
        <v>16495128</v>
      </c>
      <c r="K148" s="816"/>
      <c r="L148" s="567"/>
    </row>
    <row r="149" spans="1:12" ht="15" thickBot="1">
      <c r="A149" s="567"/>
      <c r="B149" s="577"/>
      <c r="C149" s="608"/>
      <c r="D149" s="608"/>
      <c r="E149" s="591"/>
      <c r="F149" s="609"/>
      <c r="G149" s="591"/>
      <c r="H149" s="591"/>
      <c r="I149" s="591"/>
      <c r="J149" s="610"/>
      <c r="K149" s="579"/>
      <c r="L149" s="567"/>
    </row>
    <row r="150" spans="1:12" ht="15" thickBot="1">
      <c r="A150" s="567"/>
      <c r="B150" s="577"/>
      <c r="C150" s="578"/>
      <c r="D150" s="578"/>
      <c r="E150" s="578"/>
      <c r="F150" s="578"/>
      <c r="G150" s="578"/>
      <c r="H150" s="578"/>
      <c r="I150" s="578"/>
      <c r="J150" s="578"/>
      <c r="K150" s="579"/>
      <c r="L150" s="567"/>
    </row>
    <row r="151" spans="1:12">
      <c r="A151" s="567"/>
      <c r="B151" s="567"/>
      <c r="C151" s="567"/>
      <c r="D151" s="567"/>
      <c r="E151" s="567"/>
      <c r="F151" s="567"/>
      <c r="G151" s="567"/>
      <c r="H151" s="567"/>
      <c r="I151" s="567"/>
      <c r="J151" s="567"/>
      <c r="K151" s="567"/>
      <c r="L151" s="567"/>
    </row>
    <row r="152" spans="1:12">
      <c r="A152" s="567"/>
      <c r="B152" s="567"/>
      <c r="C152" s="567"/>
      <c r="D152" s="567"/>
      <c r="E152" s="567"/>
      <c r="F152" s="567"/>
      <c r="G152" s="567"/>
      <c r="H152" s="567"/>
      <c r="I152" s="567"/>
      <c r="J152" s="567"/>
      <c r="K152" s="567"/>
      <c r="L152" s="567"/>
    </row>
    <row r="153" spans="1:12">
      <c r="A153" s="567"/>
      <c r="B153" s="567"/>
      <c r="C153" s="567"/>
      <c r="D153" s="567"/>
      <c r="E153" s="567"/>
      <c r="F153" s="567"/>
      <c r="G153" s="567"/>
      <c r="H153" s="567"/>
      <c r="I153" s="567"/>
      <c r="J153" s="567"/>
      <c r="K153" s="567"/>
      <c r="L153" s="567"/>
    </row>
    <row r="154" spans="1:12">
      <c r="A154" s="617"/>
      <c r="B154" s="617"/>
      <c r="C154" s="617"/>
      <c r="D154" s="617"/>
      <c r="E154" s="617"/>
      <c r="F154" s="617"/>
      <c r="G154" s="617"/>
      <c r="H154" s="617"/>
      <c r="I154" s="617"/>
      <c r="J154" s="617"/>
      <c r="K154" s="617"/>
      <c r="L154" s="617"/>
    </row>
    <row r="155" spans="1:12">
      <c r="A155" s="617"/>
      <c r="B155" s="617"/>
      <c r="C155" s="617"/>
      <c r="D155" s="617"/>
      <c r="E155" s="617"/>
      <c r="F155" s="617"/>
      <c r="G155" s="617"/>
      <c r="H155" s="617"/>
      <c r="I155" s="617"/>
      <c r="J155" s="617"/>
      <c r="K155" s="617"/>
      <c r="L155" s="617"/>
    </row>
    <row r="156" spans="1:12">
      <c r="A156" s="617"/>
      <c r="B156" s="617"/>
      <c r="C156" s="617"/>
      <c r="D156" s="617"/>
      <c r="E156" s="617"/>
      <c r="F156" s="617"/>
      <c r="G156" s="617"/>
      <c r="H156" s="617"/>
      <c r="I156" s="617"/>
      <c r="J156" s="617"/>
      <c r="K156" s="617"/>
      <c r="L156" s="617"/>
    </row>
    <row r="157" spans="1:12">
      <c r="A157" s="617"/>
      <c r="B157" s="617"/>
      <c r="C157" s="617"/>
      <c r="D157" s="617"/>
      <c r="E157" s="617"/>
      <c r="F157" s="617"/>
      <c r="G157" s="617"/>
      <c r="H157" s="617"/>
      <c r="I157" s="617"/>
      <c r="J157" s="617"/>
      <c r="K157" s="617"/>
      <c r="L157" s="617"/>
    </row>
    <row r="158" spans="1:12">
      <c r="A158" s="617"/>
      <c r="B158" s="617"/>
      <c r="C158" s="617"/>
      <c r="D158" s="617"/>
      <c r="E158" s="617"/>
      <c r="F158" s="617"/>
      <c r="G158" s="617"/>
      <c r="H158" s="617"/>
      <c r="I158" s="617"/>
      <c r="J158" s="617"/>
      <c r="K158" s="617"/>
      <c r="L158" s="617"/>
    </row>
    <row r="159" spans="1:12">
      <c r="A159" s="617"/>
      <c r="B159" s="617"/>
      <c r="C159" s="617"/>
      <c r="D159" s="617"/>
      <c r="E159" s="617"/>
      <c r="F159" s="617"/>
      <c r="G159" s="617"/>
      <c r="H159" s="617"/>
      <c r="I159" s="617"/>
      <c r="J159" s="617"/>
      <c r="K159" s="617"/>
      <c r="L159" s="617"/>
    </row>
    <row r="160" spans="1:12">
      <c r="A160" s="617"/>
      <c r="B160" s="617"/>
      <c r="C160" s="617"/>
      <c r="D160" s="617"/>
      <c r="E160" s="617"/>
      <c r="F160" s="617"/>
      <c r="G160" s="617"/>
      <c r="H160" s="617"/>
      <c r="I160" s="617"/>
      <c r="J160" s="617"/>
      <c r="K160" s="617"/>
      <c r="L160" s="617"/>
    </row>
    <row r="161" spans="1:12">
      <c r="A161" s="617"/>
      <c r="B161" s="617"/>
      <c r="C161" s="617"/>
      <c r="D161" s="617"/>
      <c r="E161" s="617"/>
      <c r="F161" s="617"/>
      <c r="G161" s="617"/>
      <c r="H161" s="617"/>
      <c r="I161" s="617"/>
      <c r="J161" s="617"/>
      <c r="K161" s="617"/>
      <c r="L161" s="617"/>
    </row>
    <row r="162" spans="1:12">
      <c r="A162" s="617"/>
      <c r="B162" s="617"/>
      <c r="C162" s="617"/>
      <c r="D162" s="617"/>
      <c r="E162" s="617"/>
      <c r="F162" s="617"/>
      <c r="G162" s="617"/>
      <c r="H162" s="617"/>
      <c r="I162" s="617"/>
      <c r="J162" s="617"/>
      <c r="K162" s="617"/>
      <c r="L162" s="617"/>
    </row>
    <row r="163" spans="1:12">
      <c r="A163" s="617"/>
      <c r="B163" s="617"/>
      <c r="C163" s="617"/>
      <c r="D163" s="617"/>
      <c r="E163" s="617"/>
      <c r="F163" s="617"/>
      <c r="G163" s="617"/>
      <c r="H163" s="617"/>
      <c r="I163" s="617"/>
      <c r="J163" s="617"/>
      <c r="K163" s="617"/>
      <c r="L163" s="617"/>
    </row>
    <row r="164" spans="1:12">
      <c r="A164" s="617"/>
      <c r="B164" s="617"/>
      <c r="C164" s="617"/>
      <c r="D164" s="617"/>
      <c r="E164" s="617"/>
      <c r="F164" s="617"/>
      <c r="G164" s="617"/>
      <c r="H164" s="617"/>
      <c r="I164" s="617"/>
      <c r="J164" s="617"/>
      <c r="K164" s="617"/>
      <c r="L164" s="617"/>
    </row>
    <row r="165" spans="1:12">
      <c r="A165" s="617"/>
      <c r="B165" s="617"/>
      <c r="C165" s="617"/>
      <c r="D165" s="617"/>
      <c r="E165" s="617"/>
      <c r="F165" s="617"/>
      <c r="G165" s="617"/>
      <c r="H165" s="617"/>
      <c r="I165" s="617"/>
      <c r="J165" s="617"/>
      <c r="K165" s="617"/>
      <c r="L165" s="617"/>
    </row>
    <row r="166" spans="1:12">
      <c r="A166" s="617"/>
      <c r="B166" s="617"/>
      <c r="C166" s="617"/>
      <c r="D166" s="617"/>
      <c r="E166" s="617"/>
      <c r="F166" s="617"/>
      <c r="G166" s="617"/>
      <c r="H166" s="617"/>
      <c r="I166" s="617"/>
      <c r="J166" s="617"/>
      <c r="K166" s="617"/>
      <c r="L166" s="617"/>
    </row>
    <row r="167" spans="1:12">
      <c r="A167" s="617"/>
      <c r="B167" s="617"/>
      <c r="C167" s="617"/>
      <c r="D167" s="617"/>
      <c r="E167" s="617"/>
      <c r="F167" s="617"/>
      <c r="G167" s="617"/>
      <c r="H167" s="617"/>
      <c r="I167" s="617"/>
      <c r="J167" s="617"/>
      <c r="K167" s="617"/>
      <c r="L167" s="617"/>
    </row>
    <row r="168" spans="1:12">
      <c r="A168" s="617"/>
      <c r="B168" s="617"/>
      <c r="C168" s="617"/>
      <c r="D168" s="617"/>
      <c r="E168" s="617"/>
      <c r="F168" s="617"/>
      <c r="G168" s="617"/>
      <c r="H168" s="617"/>
      <c r="I168" s="617"/>
      <c r="J168" s="617"/>
      <c r="K168" s="617"/>
      <c r="L168" s="617"/>
    </row>
    <row r="169" spans="1:12">
      <c r="A169" s="617"/>
      <c r="B169" s="617"/>
      <c r="C169" s="617"/>
      <c r="D169" s="617"/>
      <c r="E169" s="617"/>
      <c r="F169" s="617"/>
      <c r="G169" s="617"/>
      <c r="H169" s="617"/>
      <c r="I169" s="617"/>
      <c r="J169" s="617"/>
      <c r="K169" s="617"/>
      <c r="L169" s="617"/>
    </row>
    <row r="170" spans="1:12">
      <c r="A170" s="617"/>
      <c r="B170" s="617"/>
      <c r="C170" s="617"/>
      <c r="D170" s="617"/>
      <c r="E170" s="617"/>
      <c r="F170" s="617"/>
      <c r="G170" s="617"/>
      <c r="H170" s="617"/>
      <c r="I170" s="617"/>
      <c r="J170" s="617"/>
      <c r="K170" s="617"/>
      <c r="L170" s="617"/>
    </row>
    <row r="171" spans="1:12">
      <c r="A171" s="617"/>
      <c r="B171" s="617"/>
      <c r="C171" s="617"/>
      <c r="D171" s="617"/>
      <c r="E171" s="617"/>
      <c r="F171" s="617"/>
      <c r="G171" s="617"/>
      <c r="H171" s="617"/>
      <c r="I171" s="617"/>
      <c r="J171" s="617"/>
      <c r="K171" s="617"/>
      <c r="L171" s="617"/>
    </row>
    <row r="172" spans="1:12">
      <c r="A172" s="617"/>
      <c r="B172" s="617"/>
      <c r="C172" s="617"/>
      <c r="D172" s="617"/>
      <c r="E172" s="617"/>
      <c r="F172" s="617"/>
      <c r="G172" s="617"/>
      <c r="H172" s="617"/>
      <c r="I172" s="617"/>
      <c r="J172" s="617"/>
      <c r="K172" s="617"/>
      <c r="L172" s="617"/>
    </row>
    <row r="173" spans="1:12">
      <c r="A173" s="617"/>
      <c r="B173" s="617"/>
      <c r="C173" s="617"/>
      <c r="D173" s="617"/>
      <c r="E173" s="617"/>
      <c r="F173" s="617"/>
      <c r="G173" s="617"/>
      <c r="H173" s="617"/>
      <c r="I173" s="617"/>
      <c r="J173" s="617"/>
      <c r="K173" s="617"/>
      <c r="L173" s="617"/>
    </row>
    <row r="174" spans="1:12">
      <c r="A174" s="617"/>
      <c r="B174" s="617"/>
      <c r="C174" s="617"/>
      <c r="D174" s="617"/>
      <c r="E174" s="617"/>
      <c r="F174" s="617"/>
      <c r="G174" s="617"/>
      <c r="H174" s="617"/>
      <c r="I174" s="617"/>
      <c r="J174" s="617"/>
      <c r="K174" s="617"/>
      <c r="L174" s="617"/>
    </row>
    <row r="175" spans="1:12">
      <c r="A175" s="617"/>
      <c r="B175" s="617"/>
      <c r="C175" s="617"/>
      <c r="D175" s="617"/>
      <c r="E175" s="617"/>
      <c r="F175" s="617"/>
      <c r="G175" s="617"/>
      <c r="H175" s="617"/>
      <c r="I175" s="617"/>
      <c r="J175" s="617"/>
      <c r="K175" s="617"/>
      <c r="L175" s="617"/>
    </row>
    <row r="176" spans="1:12">
      <c r="A176" s="617"/>
      <c r="B176" s="617"/>
      <c r="C176" s="617"/>
      <c r="D176" s="617"/>
      <c r="E176" s="617"/>
      <c r="F176" s="617"/>
      <c r="G176" s="617"/>
      <c r="H176" s="617"/>
      <c r="I176" s="617"/>
      <c r="J176" s="617"/>
      <c r="K176" s="617"/>
      <c r="L176" s="617"/>
    </row>
    <row r="177" spans="1:12">
      <c r="A177" s="617"/>
      <c r="B177" s="617"/>
      <c r="C177" s="617"/>
      <c r="D177" s="617"/>
      <c r="E177" s="617"/>
      <c r="F177" s="617"/>
      <c r="G177" s="617"/>
      <c r="H177" s="617"/>
      <c r="I177" s="617"/>
      <c r="J177" s="617"/>
      <c r="K177" s="617"/>
      <c r="L177" s="617"/>
    </row>
    <row r="178" spans="1:12">
      <c r="A178" s="617"/>
      <c r="B178" s="617"/>
      <c r="C178" s="617"/>
      <c r="D178" s="617"/>
      <c r="E178" s="617"/>
      <c r="F178" s="617"/>
      <c r="G178" s="617"/>
      <c r="H178" s="617"/>
      <c r="I178" s="617"/>
      <c r="J178" s="617"/>
      <c r="K178" s="617"/>
      <c r="L178" s="617"/>
    </row>
    <row r="179" spans="1:12">
      <c r="A179" s="617"/>
      <c r="B179" s="617"/>
      <c r="C179" s="617"/>
      <c r="D179" s="617"/>
      <c r="E179" s="617"/>
      <c r="F179" s="617"/>
      <c r="G179" s="617"/>
      <c r="H179" s="617"/>
      <c r="I179" s="617"/>
      <c r="J179" s="617"/>
      <c r="K179" s="617"/>
      <c r="L179" s="617"/>
    </row>
    <row r="180" spans="1:12">
      <c r="A180" s="617"/>
      <c r="B180" s="617"/>
      <c r="C180" s="617"/>
      <c r="D180" s="617"/>
      <c r="E180" s="617"/>
      <c r="F180" s="617"/>
      <c r="G180" s="617"/>
      <c r="H180" s="617"/>
      <c r="I180" s="617"/>
      <c r="J180" s="617"/>
      <c r="K180" s="617"/>
      <c r="L180" s="617"/>
    </row>
    <row r="181" spans="1:12">
      <c r="A181" s="617"/>
      <c r="B181" s="617"/>
      <c r="C181" s="617"/>
      <c r="D181" s="617"/>
      <c r="E181" s="617"/>
      <c r="F181" s="617"/>
      <c r="G181" s="617"/>
      <c r="H181" s="617"/>
      <c r="I181" s="617"/>
      <c r="J181" s="617"/>
      <c r="K181" s="617"/>
      <c r="L181" s="617"/>
    </row>
    <row r="182" spans="1:12">
      <c r="A182" s="617"/>
      <c r="B182" s="617"/>
      <c r="C182" s="617"/>
      <c r="D182" s="617"/>
      <c r="E182" s="617"/>
      <c r="F182" s="617"/>
      <c r="G182" s="617"/>
      <c r="H182" s="617"/>
      <c r="I182" s="617"/>
      <c r="J182" s="617"/>
      <c r="K182" s="617"/>
      <c r="L182" s="617"/>
    </row>
    <row r="183" spans="1:12">
      <c r="A183" s="617"/>
      <c r="B183" s="617"/>
      <c r="C183" s="617"/>
      <c r="D183" s="617"/>
      <c r="E183" s="617"/>
      <c r="F183" s="617"/>
      <c r="G183" s="617"/>
      <c r="H183" s="617"/>
      <c r="I183" s="617"/>
      <c r="J183" s="617"/>
      <c r="K183" s="617"/>
      <c r="L183" s="617"/>
    </row>
    <row r="184" spans="1:12">
      <c r="A184" s="617"/>
      <c r="B184" s="617"/>
      <c r="C184" s="617"/>
      <c r="D184" s="617"/>
      <c r="E184" s="617"/>
      <c r="F184" s="617"/>
      <c r="G184" s="617"/>
      <c r="H184" s="617"/>
      <c r="I184" s="617"/>
      <c r="J184" s="617"/>
      <c r="K184" s="617"/>
      <c r="L184" s="617"/>
    </row>
    <row r="185" spans="1:12">
      <c r="A185" s="617"/>
      <c r="B185" s="617"/>
      <c r="C185" s="617"/>
      <c r="D185" s="617"/>
      <c r="E185" s="617"/>
      <c r="F185" s="617"/>
      <c r="G185" s="617"/>
      <c r="H185" s="617"/>
      <c r="I185" s="617"/>
      <c r="J185" s="617"/>
      <c r="K185" s="617"/>
      <c r="L185" s="617"/>
    </row>
    <row r="186" spans="1:12">
      <c r="A186" s="617"/>
      <c r="B186" s="617"/>
      <c r="C186" s="617"/>
      <c r="D186" s="617"/>
      <c r="E186" s="617"/>
      <c r="F186" s="617"/>
      <c r="G186" s="617"/>
      <c r="H186" s="617"/>
      <c r="I186" s="617"/>
      <c r="J186" s="617"/>
      <c r="K186" s="617"/>
      <c r="L186" s="617"/>
    </row>
    <row r="187" spans="1:12">
      <c r="A187" s="617"/>
      <c r="B187" s="617"/>
      <c r="C187" s="617"/>
      <c r="D187" s="617"/>
      <c r="E187" s="617"/>
      <c r="F187" s="617"/>
      <c r="G187" s="617"/>
      <c r="H187" s="617"/>
      <c r="I187" s="617"/>
      <c r="J187" s="617"/>
      <c r="K187" s="617"/>
      <c r="L187" s="617"/>
    </row>
    <row r="188" spans="1:12">
      <c r="A188" s="617"/>
      <c r="B188" s="617"/>
      <c r="C188" s="617"/>
      <c r="D188" s="617"/>
      <c r="E188" s="617"/>
      <c r="F188" s="617"/>
      <c r="G188" s="617"/>
      <c r="H188" s="617"/>
      <c r="I188" s="617"/>
      <c r="J188" s="617"/>
      <c r="K188" s="617"/>
      <c r="L188" s="617"/>
    </row>
    <row r="189" spans="1:12">
      <c r="A189" s="617"/>
      <c r="B189" s="617"/>
      <c r="C189" s="617"/>
      <c r="D189" s="617"/>
      <c r="E189" s="617"/>
      <c r="F189" s="617"/>
      <c r="G189" s="617"/>
      <c r="H189" s="617"/>
      <c r="I189" s="617"/>
      <c r="J189" s="617"/>
      <c r="K189" s="617"/>
      <c r="L189" s="617"/>
    </row>
    <row r="190" spans="1:12">
      <c r="A190" s="617"/>
      <c r="B190" s="617"/>
      <c r="C190" s="617"/>
      <c r="D190" s="617"/>
      <c r="E190" s="617"/>
      <c r="F190" s="617"/>
      <c r="G190" s="617"/>
      <c r="H190" s="617"/>
      <c r="I190" s="617"/>
      <c r="J190" s="617"/>
      <c r="K190" s="617"/>
      <c r="L190" s="617"/>
    </row>
    <row r="191" spans="1:12">
      <c r="A191" s="617"/>
      <c r="B191" s="617"/>
      <c r="C191" s="617"/>
      <c r="D191" s="617"/>
      <c r="E191" s="617"/>
      <c r="F191" s="617"/>
      <c r="G191" s="617"/>
      <c r="H191" s="617"/>
      <c r="I191" s="617"/>
      <c r="J191" s="617"/>
      <c r="K191" s="617"/>
      <c r="L191" s="617"/>
    </row>
    <row r="192" spans="1:12">
      <c r="A192" s="617"/>
      <c r="B192" s="617"/>
      <c r="C192" s="617"/>
      <c r="D192" s="617"/>
      <c r="E192" s="617"/>
      <c r="F192" s="617"/>
      <c r="G192" s="617"/>
      <c r="H192" s="617"/>
      <c r="I192" s="617"/>
      <c r="J192" s="617"/>
      <c r="K192" s="617"/>
      <c r="L192" s="617"/>
    </row>
    <row r="193" spans="1:12">
      <c r="A193" s="617"/>
      <c r="B193" s="617"/>
      <c r="C193" s="617"/>
      <c r="D193" s="617"/>
      <c r="E193" s="617"/>
      <c r="F193" s="617"/>
      <c r="G193" s="617"/>
      <c r="H193" s="617"/>
      <c r="I193" s="617"/>
      <c r="J193" s="617"/>
      <c r="K193" s="617"/>
      <c r="L193" s="617"/>
    </row>
    <row r="194" spans="1:12">
      <c r="A194" s="617"/>
      <c r="B194" s="617"/>
      <c r="C194" s="617"/>
      <c r="D194" s="617"/>
      <c r="E194" s="617"/>
      <c r="F194" s="617"/>
      <c r="G194" s="617"/>
      <c r="H194" s="617"/>
      <c r="I194" s="617"/>
      <c r="J194" s="617"/>
      <c r="K194" s="617"/>
      <c r="L194" s="617"/>
    </row>
    <row r="195" spans="1:12">
      <c r="A195" s="617"/>
      <c r="B195" s="617"/>
      <c r="C195" s="617"/>
      <c r="D195" s="617"/>
      <c r="E195" s="617"/>
      <c r="F195" s="617"/>
      <c r="G195" s="617"/>
      <c r="H195" s="617"/>
      <c r="I195" s="617"/>
      <c r="J195" s="617"/>
      <c r="K195" s="617"/>
      <c r="L195" s="617"/>
    </row>
    <row r="196" spans="1:12">
      <c r="A196" s="617"/>
      <c r="B196" s="617"/>
      <c r="C196" s="617"/>
      <c r="D196" s="617"/>
      <c r="E196" s="617"/>
      <c r="F196" s="617"/>
      <c r="G196" s="617"/>
      <c r="H196" s="617"/>
      <c r="I196" s="617"/>
      <c r="J196" s="617"/>
      <c r="K196" s="617"/>
      <c r="L196" s="617"/>
    </row>
    <row r="197" spans="1:12">
      <c r="A197" s="617"/>
      <c r="B197" s="617"/>
      <c r="C197" s="617"/>
      <c r="D197" s="617"/>
      <c r="E197" s="617"/>
      <c r="F197" s="617"/>
      <c r="G197" s="617"/>
      <c r="H197" s="617"/>
      <c r="I197" s="617"/>
      <c r="J197" s="617"/>
      <c r="K197" s="617"/>
      <c r="L197" s="617"/>
    </row>
    <row r="198" spans="1:12">
      <c r="A198" s="617"/>
      <c r="B198" s="617"/>
      <c r="C198" s="617"/>
      <c r="D198" s="617"/>
      <c r="E198" s="617"/>
      <c r="F198" s="617"/>
      <c r="G198" s="617"/>
      <c r="H198" s="617"/>
      <c r="I198" s="617"/>
      <c r="J198" s="617"/>
      <c r="K198" s="617"/>
      <c r="L198" s="617"/>
    </row>
    <row r="199" spans="1:12">
      <c r="A199" s="617"/>
      <c r="B199" s="617"/>
      <c r="C199" s="617"/>
      <c r="D199" s="617"/>
      <c r="E199" s="617"/>
      <c r="F199" s="617"/>
      <c r="G199" s="617"/>
      <c r="H199" s="617"/>
      <c r="I199" s="617"/>
      <c r="J199" s="617"/>
      <c r="K199" s="617"/>
      <c r="L199" s="617"/>
    </row>
    <row r="200" spans="1:12">
      <c r="A200" s="617"/>
      <c r="B200" s="617"/>
      <c r="C200" s="617"/>
      <c r="D200" s="617"/>
      <c r="E200" s="617"/>
      <c r="F200" s="617"/>
      <c r="G200" s="617"/>
      <c r="H200" s="617"/>
      <c r="I200" s="617"/>
      <c r="J200" s="617"/>
      <c r="K200" s="617"/>
      <c r="L200" s="617"/>
    </row>
    <row r="201" spans="1:12">
      <c r="A201" s="617"/>
      <c r="B201" s="617"/>
      <c r="C201" s="617"/>
      <c r="D201" s="617"/>
      <c r="E201" s="617"/>
      <c r="F201" s="617"/>
      <c r="G201" s="617"/>
      <c r="H201" s="617"/>
      <c r="I201" s="617"/>
      <c r="J201" s="617"/>
      <c r="K201" s="617"/>
      <c r="L201" s="617"/>
    </row>
    <row r="202" spans="1:12">
      <c r="A202" s="617"/>
      <c r="B202" s="617"/>
      <c r="C202" s="617"/>
      <c r="D202" s="617"/>
      <c r="E202" s="617"/>
      <c r="F202" s="617"/>
      <c r="G202" s="617"/>
      <c r="H202" s="617"/>
      <c r="I202" s="617"/>
      <c r="J202" s="617"/>
      <c r="K202" s="617"/>
      <c r="L202" s="617"/>
    </row>
    <row r="203" spans="1:12">
      <c r="A203" s="617"/>
      <c r="B203" s="617"/>
      <c r="C203" s="617"/>
      <c r="D203" s="617"/>
      <c r="E203" s="617"/>
      <c r="F203" s="617"/>
      <c r="G203" s="617"/>
      <c r="H203" s="617"/>
      <c r="I203" s="617"/>
      <c r="J203" s="617"/>
      <c r="K203" s="617"/>
      <c r="L203" s="617"/>
    </row>
    <row r="204" spans="1:12">
      <c r="A204" s="617"/>
      <c r="B204" s="617"/>
      <c r="C204" s="617"/>
      <c r="D204" s="617"/>
      <c r="E204" s="617"/>
      <c r="F204" s="617"/>
      <c r="G204" s="617"/>
      <c r="H204" s="617"/>
      <c r="I204" s="617"/>
      <c r="J204" s="617"/>
      <c r="K204" s="617"/>
      <c r="L204" s="617"/>
    </row>
    <row r="205" spans="1:12">
      <c r="A205" s="617"/>
      <c r="B205" s="617"/>
      <c r="C205" s="617"/>
      <c r="D205" s="617"/>
      <c r="E205" s="617"/>
      <c r="F205" s="617"/>
      <c r="G205" s="617"/>
      <c r="H205" s="617"/>
      <c r="I205" s="617"/>
      <c r="J205" s="617"/>
      <c r="K205" s="617"/>
      <c r="L205" s="617"/>
    </row>
    <row r="206" spans="1:12">
      <c r="A206" s="617"/>
      <c r="B206" s="617"/>
      <c r="C206" s="617"/>
      <c r="D206" s="617"/>
      <c r="E206" s="617"/>
      <c r="F206" s="617"/>
      <c r="G206" s="617"/>
      <c r="H206" s="617"/>
      <c r="I206" s="617"/>
      <c r="J206" s="617"/>
      <c r="K206" s="617"/>
      <c r="L206" s="617"/>
    </row>
    <row r="207" spans="1:12">
      <c r="A207" s="617"/>
      <c r="B207" s="617"/>
      <c r="C207" s="617"/>
      <c r="D207" s="617"/>
      <c r="E207" s="617"/>
      <c r="F207" s="617"/>
      <c r="G207" s="617"/>
      <c r="H207" s="617"/>
      <c r="I207" s="617"/>
      <c r="J207" s="617"/>
      <c r="K207" s="617"/>
      <c r="L207" s="617"/>
    </row>
    <row r="208" spans="1:12">
      <c r="A208" s="617"/>
      <c r="B208" s="617"/>
      <c r="C208" s="617"/>
      <c r="D208" s="617"/>
      <c r="E208" s="617"/>
      <c r="F208" s="617"/>
      <c r="G208" s="617"/>
      <c r="H208" s="617"/>
      <c r="I208" s="617"/>
      <c r="J208" s="617"/>
      <c r="K208" s="617"/>
      <c r="L208" s="617"/>
    </row>
    <row r="209" spans="1:12">
      <c r="A209" s="617"/>
      <c r="B209" s="617"/>
      <c r="C209" s="617"/>
      <c r="D209" s="617"/>
      <c r="E209" s="617"/>
      <c r="F209" s="617"/>
      <c r="G209" s="617"/>
      <c r="H209" s="617"/>
      <c r="I209" s="617"/>
      <c r="J209" s="617"/>
      <c r="K209" s="617"/>
      <c r="L209" s="617"/>
    </row>
    <row r="210" spans="1:12">
      <c r="A210" s="617"/>
      <c r="B210" s="617"/>
      <c r="C210" s="617"/>
      <c r="D210" s="617"/>
      <c r="E210" s="617"/>
      <c r="F210" s="617"/>
      <c r="G210" s="617"/>
      <c r="H210" s="617"/>
      <c r="I210" s="617"/>
      <c r="J210" s="617"/>
      <c r="K210" s="617"/>
      <c r="L210" s="617"/>
    </row>
    <row r="211" spans="1:12">
      <c r="A211" s="617"/>
      <c r="B211" s="617"/>
      <c r="C211" s="617"/>
      <c r="D211" s="617"/>
      <c r="E211" s="617"/>
      <c r="F211" s="617"/>
      <c r="G211" s="617"/>
      <c r="H211" s="617"/>
      <c r="I211" s="617"/>
      <c r="J211" s="617"/>
      <c r="K211" s="617"/>
      <c r="L211" s="617"/>
    </row>
    <row r="212" spans="1:12">
      <c r="A212" s="617"/>
      <c r="B212" s="617"/>
      <c r="C212" s="617"/>
      <c r="D212" s="617"/>
      <c r="E212" s="617"/>
      <c r="F212" s="617"/>
      <c r="G212" s="617"/>
      <c r="H212" s="617"/>
      <c r="I212" s="617"/>
      <c r="J212" s="617"/>
      <c r="K212" s="617"/>
      <c r="L212" s="617"/>
    </row>
    <row r="213" spans="1:12">
      <c r="A213" s="617"/>
      <c r="B213" s="617"/>
      <c r="C213" s="617"/>
      <c r="D213" s="617"/>
      <c r="E213" s="617"/>
      <c r="F213" s="617"/>
      <c r="G213" s="617"/>
      <c r="H213" s="617"/>
      <c r="I213" s="617"/>
      <c r="J213" s="617"/>
      <c r="K213" s="617"/>
      <c r="L213" s="617"/>
    </row>
    <row r="214" spans="1:12">
      <c r="A214" s="617"/>
      <c r="B214" s="617"/>
      <c r="C214" s="617"/>
      <c r="D214" s="617"/>
      <c r="E214" s="617"/>
      <c r="F214" s="617"/>
      <c r="G214" s="617"/>
      <c r="H214" s="617"/>
      <c r="I214" s="617"/>
      <c r="J214" s="617"/>
      <c r="K214" s="617"/>
      <c r="L214" s="617"/>
    </row>
    <row r="215" spans="1:12">
      <c r="A215" s="617"/>
      <c r="B215" s="617"/>
      <c r="C215" s="617"/>
      <c r="D215" s="617"/>
      <c r="E215" s="617"/>
      <c r="F215" s="617"/>
      <c r="G215" s="617"/>
      <c r="H215" s="617"/>
      <c r="I215" s="617"/>
      <c r="J215" s="617"/>
      <c r="K215" s="617"/>
      <c r="L215" s="617"/>
    </row>
    <row r="216" spans="1:12">
      <c r="A216" s="617"/>
      <c r="B216" s="617"/>
      <c r="C216" s="617"/>
      <c r="D216" s="617"/>
      <c r="E216" s="617"/>
      <c r="F216" s="617"/>
      <c r="G216" s="617"/>
      <c r="H216" s="617"/>
      <c r="I216" s="617"/>
      <c r="J216" s="617"/>
      <c r="K216" s="617"/>
      <c r="L216" s="617"/>
    </row>
    <row r="217" spans="1:12">
      <c r="A217" s="617"/>
      <c r="B217" s="617"/>
      <c r="C217" s="617"/>
      <c r="D217" s="617"/>
      <c r="E217" s="617"/>
      <c r="F217" s="617"/>
      <c r="G217" s="617"/>
      <c r="H217" s="617"/>
      <c r="I217" s="617"/>
      <c r="J217" s="617"/>
      <c r="K217" s="617"/>
      <c r="L217" s="617"/>
    </row>
    <row r="218" spans="1:12">
      <c r="A218" s="617"/>
      <c r="B218" s="617"/>
      <c r="C218" s="617"/>
      <c r="D218" s="617"/>
      <c r="E218" s="617"/>
      <c r="F218" s="617"/>
      <c r="G218" s="617"/>
      <c r="H218" s="617"/>
      <c r="I218" s="617"/>
      <c r="J218" s="617"/>
      <c r="K218" s="617"/>
      <c r="L218" s="617"/>
    </row>
    <row r="219" spans="1:12">
      <c r="A219" s="617"/>
      <c r="B219" s="617"/>
      <c r="C219" s="617"/>
      <c r="D219" s="617"/>
      <c r="E219" s="617"/>
      <c r="F219" s="617"/>
      <c r="G219" s="617"/>
      <c r="H219" s="617"/>
      <c r="I219" s="617"/>
      <c r="J219" s="617"/>
      <c r="K219" s="617"/>
      <c r="L219" s="617"/>
    </row>
    <row r="220" spans="1:12">
      <c r="A220" s="617"/>
      <c r="B220" s="617"/>
      <c r="C220" s="617"/>
      <c r="D220" s="617"/>
      <c r="E220" s="617"/>
      <c r="F220" s="617"/>
      <c r="G220" s="617"/>
      <c r="H220" s="617"/>
      <c r="I220" s="617"/>
      <c r="J220" s="617"/>
      <c r="K220" s="617"/>
      <c r="L220" s="617"/>
    </row>
    <row r="221" spans="1:12">
      <c r="A221" s="617"/>
      <c r="B221" s="617"/>
      <c r="C221" s="617"/>
      <c r="D221" s="617"/>
      <c r="E221" s="617"/>
      <c r="F221" s="617"/>
      <c r="G221" s="617"/>
      <c r="H221" s="617"/>
      <c r="I221" s="617"/>
      <c r="J221" s="617"/>
      <c r="K221" s="617"/>
      <c r="L221" s="617"/>
    </row>
    <row r="222" spans="1:12">
      <c r="A222" s="617"/>
      <c r="B222" s="617"/>
      <c r="C222" s="617"/>
      <c r="D222" s="617"/>
      <c r="E222" s="617"/>
      <c r="F222" s="617"/>
      <c r="G222" s="617"/>
      <c r="H222" s="617"/>
      <c r="I222" s="617"/>
      <c r="J222" s="617"/>
      <c r="K222" s="617"/>
      <c r="L222" s="617"/>
    </row>
    <row r="223" spans="1:12">
      <c r="A223" s="617"/>
      <c r="B223" s="617"/>
      <c r="C223" s="617"/>
      <c r="D223" s="617"/>
      <c r="E223" s="617"/>
      <c r="F223" s="617"/>
      <c r="G223" s="617"/>
      <c r="H223" s="617"/>
      <c r="I223" s="617"/>
      <c r="J223" s="617"/>
      <c r="K223" s="617"/>
      <c r="L223" s="617"/>
    </row>
    <row r="224" spans="1:12">
      <c r="A224" s="617"/>
      <c r="B224" s="617"/>
      <c r="C224" s="617"/>
      <c r="D224" s="617"/>
      <c r="E224" s="617"/>
      <c r="F224" s="617"/>
      <c r="G224" s="617"/>
      <c r="H224" s="617"/>
      <c r="I224" s="617"/>
      <c r="J224" s="617"/>
      <c r="K224" s="617"/>
      <c r="L224" s="617"/>
    </row>
    <row r="225" spans="1:12">
      <c r="A225" s="617"/>
      <c r="B225" s="617"/>
      <c r="C225" s="617"/>
      <c r="D225" s="617"/>
      <c r="E225" s="617"/>
      <c r="F225" s="617"/>
      <c r="G225" s="617"/>
      <c r="H225" s="617"/>
      <c r="I225" s="617"/>
      <c r="J225" s="617"/>
      <c r="K225" s="617"/>
      <c r="L225" s="617"/>
    </row>
    <row r="226" spans="1:12">
      <c r="A226" s="617"/>
      <c r="B226" s="617"/>
      <c r="C226" s="617"/>
      <c r="D226" s="617"/>
      <c r="E226" s="617"/>
      <c r="F226" s="617"/>
      <c r="G226" s="617"/>
      <c r="H226" s="617"/>
      <c r="I226" s="617"/>
      <c r="J226" s="617"/>
      <c r="K226" s="617"/>
      <c r="L226" s="617"/>
    </row>
    <row r="227" spans="1:12">
      <c r="A227" s="617"/>
      <c r="B227" s="617"/>
      <c r="C227" s="617"/>
      <c r="D227" s="617"/>
      <c r="E227" s="617"/>
      <c r="F227" s="617"/>
      <c r="G227" s="617"/>
      <c r="H227" s="617"/>
      <c r="I227" s="617"/>
      <c r="J227" s="617"/>
      <c r="K227" s="617"/>
      <c r="L227" s="617"/>
    </row>
    <row r="228" spans="1:12">
      <c r="A228" s="617"/>
      <c r="B228" s="617"/>
      <c r="C228" s="617"/>
      <c r="D228" s="617"/>
      <c r="E228" s="617"/>
      <c r="F228" s="617"/>
      <c r="G228" s="617"/>
      <c r="H228" s="617"/>
      <c r="I228" s="617"/>
      <c r="J228" s="617"/>
      <c r="K228" s="617"/>
      <c r="L228" s="617"/>
    </row>
    <row r="229" spans="1:12">
      <c r="A229" s="617"/>
      <c r="B229" s="617"/>
      <c r="C229" s="617"/>
      <c r="D229" s="617"/>
      <c r="E229" s="617"/>
      <c r="F229" s="617"/>
      <c r="G229" s="617"/>
      <c r="H229" s="617"/>
      <c r="I229" s="617"/>
      <c r="J229" s="617"/>
      <c r="K229" s="617"/>
      <c r="L229" s="617"/>
    </row>
    <row r="230" spans="1:12">
      <c r="A230" s="617"/>
      <c r="B230" s="617"/>
      <c r="C230" s="617"/>
      <c r="D230" s="617"/>
      <c r="E230" s="617"/>
      <c r="F230" s="617"/>
      <c r="G230" s="617"/>
      <c r="H230" s="617"/>
      <c r="I230" s="617"/>
      <c r="J230" s="617"/>
      <c r="K230" s="617"/>
      <c r="L230" s="617"/>
    </row>
    <row r="231" spans="1:12">
      <c r="A231" s="617"/>
      <c r="B231" s="617"/>
      <c r="C231" s="617"/>
      <c r="D231" s="617"/>
      <c r="E231" s="617"/>
      <c r="F231" s="617"/>
      <c r="G231" s="617"/>
      <c r="H231" s="617"/>
      <c r="I231" s="617"/>
      <c r="J231" s="617"/>
      <c r="K231" s="617"/>
      <c r="L231" s="617"/>
    </row>
    <row r="232" spans="1:12">
      <c r="A232" s="617"/>
      <c r="B232" s="617"/>
      <c r="C232" s="617"/>
      <c r="D232" s="617"/>
      <c r="E232" s="617"/>
      <c r="F232" s="617"/>
      <c r="G232" s="617"/>
      <c r="H232" s="617"/>
      <c r="I232" s="617"/>
      <c r="J232" s="617"/>
      <c r="K232" s="617"/>
      <c r="L232" s="617"/>
    </row>
    <row r="233" spans="1:12">
      <c r="A233" s="617"/>
      <c r="B233" s="617"/>
      <c r="C233" s="617"/>
      <c r="D233" s="617"/>
      <c r="E233" s="617"/>
      <c r="F233" s="617"/>
      <c r="G233" s="617"/>
      <c r="H233" s="617"/>
      <c r="I233" s="617"/>
      <c r="J233" s="617"/>
      <c r="K233" s="617"/>
      <c r="L233" s="617"/>
    </row>
    <row r="234" spans="1:12">
      <c r="A234" s="617"/>
      <c r="B234" s="617"/>
      <c r="C234" s="617"/>
      <c r="D234" s="617"/>
      <c r="E234" s="617"/>
      <c r="F234" s="617"/>
      <c r="G234" s="617"/>
      <c r="H234" s="617"/>
      <c r="I234" s="617"/>
      <c r="J234" s="617"/>
      <c r="K234" s="617"/>
      <c r="L234" s="617"/>
    </row>
    <row r="235" spans="1:12">
      <c r="A235" s="617"/>
      <c r="B235" s="617"/>
      <c r="C235" s="617"/>
      <c r="D235" s="617"/>
      <c r="E235" s="617"/>
      <c r="F235" s="617"/>
      <c r="G235" s="617"/>
      <c r="H235" s="617"/>
      <c r="I235" s="617"/>
      <c r="J235" s="617"/>
      <c r="K235" s="617"/>
      <c r="L235" s="617"/>
    </row>
    <row r="236" spans="1:12">
      <c r="A236" s="617"/>
      <c r="B236" s="617"/>
      <c r="C236" s="617"/>
      <c r="D236" s="617"/>
      <c r="E236" s="617"/>
      <c r="F236" s="617"/>
      <c r="G236" s="617"/>
      <c r="H236" s="617"/>
      <c r="I236" s="617"/>
      <c r="J236" s="617"/>
      <c r="K236" s="617"/>
      <c r="L236" s="617"/>
    </row>
    <row r="237" spans="1:12">
      <c r="A237" s="617"/>
      <c r="B237" s="617"/>
      <c r="C237" s="617"/>
      <c r="D237" s="617"/>
      <c r="E237" s="617"/>
      <c r="F237" s="617"/>
      <c r="G237" s="617"/>
      <c r="H237" s="617"/>
      <c r="I237" s="617"/>
      <c r="J237" s="617"/>
      <c r="K237" s="617"/>
      <c r="L237" s="617"/>
    </row>
    <row r="238" spans="1:12">
      <c r="A238" s="617"/>
      <c r="B238" s="617"/>
      <c r="C238" s="617"/>
      <c r="D238" s="617"/>
      <c r="E238" s="617"/>
      <c r="F238" s="617"/>
      <c r="G238" s="617"/>
      <c r="H238" s="617"/>
      <c r="I238" s="617"/>
      <c r="J238" s="617"/>
      <c r="K238" s="617"/>
      <c r="L238" s="617"/>
    </row>
    <row r="239" spans="1:12">
      <c r="A239" s="617"/>
      <c r="B239" s="617"/>
      <c r="C239" s="617"/>
      <c r="D239" s="617"/>
      <c r="E239" s="617"/>
      <c r="F239" s="617"/>
      <c r="G239" s="617"/>
      <c r="H239" s="617"/>
      <c r="I239" s="617"/>
      <c r="J239" s="617"/>
      <c r="K239" s="617"/>
      <c r="L239" s="617"/>
    </row>
    <row r="240" spans="1:12">
      <c r="A240" s="617"/>
      <c r="B240" s="617"/>
      <c r="C240" s="617"/>
      <c r="D240" s="617"/>
      <c r="E240" s="617"/>
      <c r="F240" s="617"/>
      <c r="G240" s="617"/>
      <c r="H240" s="617"/>
      <c r="I240" s="617"/>
      <c r="J240" s="617"/>
      <c r="K240" s="617"/>
      <c r="L240" s="617"/>
    </row>
    <row r="241" spans="1:12">
      <c r="A241" s="617"/>
      <c r="B241" s="617"/>
      <c r="C241" s="617"/>
      <c r="D241" s="617"/>
      <c r="E241" s="617"/>
      <c r="F241" s="617"/>
      <c r="G241" s="617"/>
      <c r="H241" s="617"/>
      <c r="I241" s="617"/>
      <c r="J241" s="617"/>
      <c r="K241" s="617"/>
      <c r="L241" s="617"/>
    </row>
    <row r="242" spans="1:12">
      <c r="A242" s="617"/>
      <c r="B242" s="617"/>
      <c r="C242" s="617"/>
      <c r="D242" s="617"/>
      <c r="E242" s="617"/>
      <c r="F242" s="617"/>
      <c r="G242" s="617"/>
      <c r="H242" s="617"/>
      <c r="I242" s="617"/>
      <c r="J242" s="617"/>
      <c r="K242" s="617"/>
      <c r="L242" s="617"/>
    </row>
    <row r="243" spans="1:12">
      <c r="A243" s="617"/>
      <c r="B243" s="617"/>
      <c r="C243" s="617"/>
      <c r="D243" s="617"/>
      <c r="E243" s="617"/>
      <c r="F243" s="617"/>
      <c r="G243" s="617"/>
      <c r="H243" s="617"/>
      <c r="I243" s="617"/>
      <c r="J243" s="617"/>
      <c r="K243" s="617"/>
      <c r="L243" s="617"/>
    </row>
    <row r="244" spans="1:12">
      <c r="A244" s="617"/>
      <c r="B244" s="617"/>
      <c r="C244" s="617"/>
      <c r="D244" s="617"/>
      <c r="E244" s="617"/>
      <c r="F244" s="617"/>
      <c r="G244" s="617"/>
      <c r="H244" s="617"/>
      <c r="I244" s="617"/>
      <c r="J244" s="617"/>
      <c r="K244" s="617"/>
      <c r="L244" s="617"/>
    </row>
    <row r="245" spans="1:12">
      <c r="A245" s="617"/>
      <c r="B245" s="617"/>
      <c r="C245" s="617"/>
      <c r="D245" s="617"/>
      <c r="E245" s="617"/>
      <c r="F245" s="617"/>
      <c r="G245" s="617"/>
      <c r="H245" s="617"/>
      <c r="I245" s="617"/>
      <c r="J245" s="617"/>
      <c r="K245" s="617"/>
      <c r="L245" s="617"/>
    </row>
    <row r="246" spans="1:12">
      <c r="A246" s="617"/>
      <c r="B246" s="617"/>
      <c r="C246" s="617"/>
      <c r="D246" s="617"/>
      <c r="E246" s="617"/>
      <c r="F246" s="617"/>
      <c r="G246" s="617"/>
      <c r="H246" s="617"/>
      <c r="I246" s="617"/>
      <c r="J246" s="617"/>
      <c r="K246" s="617"/>
      <c r="L246" s="617"/>
    </row>
    <row r="247" spans="1:12">
      <c r="A247" s="617"/>
      <c r="B247" s="617"/>
      <c r="C247" s="617"/>
      <c r="D247" s="617"/>
      <c r="E247" s="617"/>
      <c r="F247" s="617"/>
      <c r="G247" s="617"/>
      <c r="H247" s="617"/>
      <c r="I247" s="617"/>
      <c r="J247" s="617"/>
      <c r="K247" s="617"/>
      <c r="L247" s="617"/>
    </row>
    <row r="248" spans="1:12">
      <c r="A248" s="617"/>
      <c r="B248" s="617"/>
      <c r="C248" s="617"/>
      <c r="D248" s="617"/>
      <c r="E248" s="617"/>
      <c r="F248" s="617"/>
      <c r="G248" s="617"/>
      <c r="H248" s="617"/>
      <c r="I248" s="617"/>
      <c r="J248" s="617"/>
      <c r="K248" s="617"/>
      <c r="L248" s="617"/>
    </row>
    <row r="249" spans="1:12">
      <c r="A249" s="617"/>
      <c r="B249" s="617"/>
      <c r="C249" s="617"/>
      <c r="D249" s="617"/>
      <c r="E249" s="617"/>
      <c r="F249" s="617"/>
      <c r="G249" s="617"/>
      <c r="H249" s="617"/>
      <c r="I249" s="617"/>
      <c r="J249" s="617"/>
      <c r="K249" s="617"/>
      <c r="L249" s="617"/>
    </row>
    <row r="250" spans="1:12">
      <c r="A250" s="617"/>
      <c r="B250" s="617"/>
      <c r="C250" s="617"/>
      <c r="D250" s="617"/>
      <c r="E250" s="617"/>
      <c r="F250" s="617"/>
      <c r="G250" s="617"/>
      <c r="H250" s="617"/>
      <c r="I250" s="617"/>
      <c r="J250" s="617"/>
      <c r="K250" s="617"/>
      <c r="L250" s="617"/>
    </row>
    <row r="251" spans="1:12">
      <c r="A251" s="617"/>
      <c r="B251" s="617"/>
      <c r="C251" s="617"/>
      <c r="D251" s="617"/>
      <c r="E251" s="617"/>
      <c r="F251" s="617"/>
      <c r="G251" s="617"/>
      <c r="H251" s="617"/>
      <c r="I251" s="617"/>
      <c r="J251" s="617"/>
      <c r="K251" s="617"/>
      <c r="L251" s="617"/>
    </row>
    <row r="252" spans="1:12">
      <c r="A252" s="617"/>
      <c r="B252" s="617"/>
      <c r="C252" s="617"/>
      <c r="D252" s="617"/>
      <c r="E252" s="617"/>
      <c r="F252" s="617"/>
      <c r="G252" s="617"/>
      <c r="H252" s="617"/>
      <c r="I252" s="617"/>
      <c r="J252" s="617"/>
      <c r="K252" s="617"/>
      <c r="L252" s="617"/>
    </row>
    <row r="253" spans="1:12">
      <c r="A253" s="617"/>
      <c r="B253" s="617"/>
      <c r="C253" s="617"/>
      <c r="D253" s="617"/>
      <c r="E253" s="617"/>
      <c r="F253" s="617"/>
      <c r="G253" s="617"/>
      <c r="H253" s="617"/>
      <c r="I253" s="617"/>
      <c r="J253" s="617"/>
      <c r="K253" s="617"/>
      <c r="L253" s="617"/>
    </row>
    <row r="254" spans="1:12">
      <c r="A254" s="617"/>
      <c r="B254" s="617"/>
      <c r="C254" s="617"/>
      <c r="D254" s="617"/>
      <c r="E254" s="617"/>
      <c r="F254" s="617"/>
      <c r="G254" s="617"/>
      <c r="H254" s="617"/>
      <c r="I254" s="617"/>
      <c r="J254" s="617"/>
      <c r="K254" s="617"/>
      <c r="L254" s="617"/>
    </row>
    <row r="255" spans="1:12">
      <c r="A255" s="617"/>
      <c r="B255" s="617"/>
      <c r="C255" s="617"/>
      <c r="D255" s="617"/>
      <c r="E255" s="617"/>
      <c r="F255" s="617"/>
      <c r="G255" s="617"/>
      <c r="H255" s="617"/>
      <c r="I255" s="617"/>
      <c r="J255" s="617"/>
      <c r="K255" s="617"/>
      <c r="L255" s="617"/>
    </row>
    <row r="256" spans="1:12">
      <c r="A256" s="617"/>
      <c r="B256" s="617"/>
      <c r="C256" s="617"/>
      <c r="D256" s="617"/>
      <c r="E256" s="617"/>
      <c r="F256" s="617"/>
      <c r="G256" s="617"/>
      <c r="H256" s="617"/>
      <c r="I256" s="617"/>
      <c r="J256" s="617"/>
      <c r="K256" s="617"/>
      <c r="L256" s="617"/>
    </row>
    <row r="257" spans="1:12">
      <c r="A257" s="617"/>
      <c r="B257" s="617"/>
      <c r="C257" s="617"/>
      <c r="D257" s="617"/>
      <c r="E257" s="617"/>
      <c r="F257" s="617"/>
      <c r="G257" s="617"/>
      <c r="H257" s="617"/>
      <c r="I257" s="617"/>
      <c r="J257" s="617"/>
      <c r="K257" s="617"/>
      <c r="L257" s="617"/>
    </row>
    <row r="258" spans="1:12">
      <c r="A258" s="617"/>
      <c r="B258" s="617"/>
      <c r="C258" s="617"/>
      <c r="D258" s="617"/>
      <c r="E258" s="617"/>
      <c r="F258" s="617"/>
      <c r="G258" s="617"/>
      <c r="H258" s="617"/>
      <c r="I258" s="617"/>
      <c r="J258" s="617"/>
      <c r="K258" s="617"/>
      <c r="L258" s="617"/>
    </row>
    <row r="259" spans="1:12">
      <c r="A259" s="617"/>
      <c r="B259" s="617"/>
      <c r="C259" s="617"/>
      <c r="D259" s="617"/>
      <c r="E259" s="617"/>
      <c r="F259" s="617"/>
      <c r="G259" s="617"/>
      <c r="H259" s="617"/>
      <c r="I259" s="617"/>
      <c r="J259" s="617"/>
      <c r="K259" s="617"/>
      <c r="L259" s="617"/>
    </row>
    <row r="260" spans="1:12">
      <c r="A260" s="617"/>
      <c r="B260" s="617"/>
      <c r="C260" s="617"/>
      <c r="D260" s="617"/>
      <c r="E260" s="617"/>
      <c r="F260" s="617"/>
      <c r="G260" s="617"/>
      <c r="H260" s="617"/>
      <c r="I260" s="617"/>
      <c r="J260" s="617"/>
      <c r="K260" s="617"/>
      <c r="L260" s="617"/>
    </row>
    <row r="261" spans="1:12">
      <c r="A261" s="617"/>
      <c r="B261" s="617"/>
      <c r="C261" s="617"/>
      <c r="D261" s="617"/>
      <c r="E261" s="617"/>
      <c r="F261" s="617"/>
      <c r="G261" s="617"/>
      <c r="H261" s="617"/>
      <c r="I261" s="617"/>
      <c r="J261" s="617"/>
      <c r="K261" s="617"/>
      <c r="L261" s="617"/>
    </row>
    <row r="262" spans="1:12">
      <c r="A262" s="617"/>
      <c r="B262" s="617"/>
      <c r="C262" s="617"/>
      <c r="D262" s="617"/>
      <c r="E262" s="617"/>
      <c r="F262" s="617"/>
      <c r="G262" s="617"/>
      <c r="H262" s="617"/>
      <c r="I262" s="617"/>
      <c r="J262" s="617"/>
      <c r="K262" s="617"/>
      <c r="L262" s="617"/>
    </row>
    <row r="263" spans="1:12">
      <c r="A263" s="617"/>
      <c r="B263" s="617"/>
      <c r="C263" s="617"/>
      <c r="D263" s="617"/>
      <c r="E263" s="617"/>
      <c r="F263" s="617"/>
      <c r="G263" s="617"/>
      <c r="H263" s="617"/>
      <c r="I263" s="617"/>
      <c r="J263" s="617"/>
      <c r="K263" s="617"/>
      <c r="L263" s="617"/>
    </row>
    <row r="264" spans="1:12">
      <c r="A264" s="617"/>
      <c r="B264" s="617"/>
      <c r="C264" s="617"/>
      <c r="D264" s="617"/>
      <c r="E264" s="617"/>
      <c r="F264" s="617"/>
      <c r="G264" s="617"/>
      <c r="H264" s="617"/>
      <c r="I264" s="617"/>
      <c r="J264" s="617"/>
      <c r="K264" s="617"/>
      <c r="L264" s="617"/>
    </row>
    <row r="265" spans="1:12">
      <c r="A265" s="617"/>
      <c r="B265" s="617"/>
      <c r="C265" s="617"/>
      <c r="D265" s="617"/>
      <c r="E265" s="617"/>
      <c r="F265" s="617"/>
      <c r="G265" s="617"/>
      <c r="H265" s="617"/>
      <c r="I265" s="617"/>
      <c r="J265" s="617"/>
      <c r="K265" s="617"/>
      <c r="L265" s="617"/>
    </row>
    <row r="266" spans="1:12">
      <c r="A266" s="617"/>
      <c r="B266" s="617"/>
      <c r="C266" s="617"/>
      <c r="D266" s="617"/>
      <c r="E266" s="617"/>
      <c r="F266" s="617"/>
      <c r="G266" s="617"/>
      <c r="H266" s="617"/>
      <c r="I266" s="617"/>
      <c r="J266" s="617"/>
      <c r="K266" s="617"/>
      <c r="L266" s="617"/>
    </row>
    <row r="267" spans="1:12">
      <c r="A267" s="617"/>
      <c r="B267" s="617"/>
      <c r="C267" s="617"/>
      <c r="D267" s="617"/>
      <c r="E267" s="617"/>
      <c r="F267" s="617"/>
      <c r="G267" s="617"/>
      <c r="H267" s="617"/>
      <c r="I267" s="617"/>
      <c r="J267" s="617"/>
      <c r="K267" s="617"/>
      <c r="L267" s="617"/>
    </row>
    <row r="268" spans="1:12">
      <c r="A268" s="617"/>
      <c r="B268" s="617"/>
      <c r="C268" s="617"/>
      <c r="D268" s="617"/>
      <c r="E268" s="617"/>
      <c r="F268" s="617"/>
      <c r="G268" s="617"/>
      <c r="H268" s="617"/>
      <c r="I268" s="617"/>
      <c r="J268" s="617"/>
      <c r="K268" s="617"/>
      <c r="L268" s="617"/>
    </row>
    <row r="269" spans="1:12">
      <c r="A269" s="617"/>
      <c r="B269" s="617"/>
      <c r="C269" s="617"/>
      <c r="D269" s="617"/>
      <c r="E269" s="617"/>
      <c r="F269" s="617"/>
      <c r="G269" s="617"/>
      <c r="H269" s="617"/>
      <c r="I269" s="617"/>
      <c r="J269" s="617"/>
      <c r="K269" s="617"/>
      <c r="L269" s="617"/>
    </row>
    <row r="270" spans="1:12">
      <c r="A270" s="617"/>
      <c r="B270" s="617"/>
      <c r="C270" s="617"/>
      <c r="D270" s="617"/>
      <c r="E270" s="617"/>
      <c r="F270" s="617"/>
      <c r="G270" s="617"/>
      <c r="H270" s="617"/>
      <c r="I270" s="617"/>
      <c r="J270" s="617"/>
      <c r="K270" s="617"/>
      <c r="L270" s="617"/>
    </row>
    <row r="271" spans="1:12">
      <c r="A271" s="617"/>
      <c r="B271" s="617"/>
      <c r="C271" s="617"/>
      <c r="D271" s="617"/>
      <c r="E271" s="617"/>
      <c r="F271" s="617"/>
      <c r="G271" s="617"/>
      <c r="H271" s="617"/>
      <c r="I271" s="617"/>
      <c r="J271" s="617"/>
      <c r="K271" s="617"/>
      <c r="L271" s="617"/>
    </row>
    <row r="272" spans="1:12">
      <c r="A272" s="617"/>
      <c r="B272" s="617"/>
      <c r="C272" s="617"/>
      <c r="D272" s="617"/>
      <c r="E272" s="617"/>
      <c r="F272" s="617"/>
      <c r="G272" s="617"/>
      <c r="H272" s="617"/>
      <c r="I272" s="617"/>
      <c r="J272" s="617"/>
      <c r="K272" s="617"/>
      <c r="L272" s="617"/>
    </row>
    <row r="273" spans="1:12">
      <c r="A273" s="617"/>
      <c r="B273" s="617"/>
      <c r="C273" s="617"/>
      <c r="D273" s="617"/>
      <c r="E273" s="617"/>
      <c r="F273" s="617"/>
      <c r="G273" s="617"/>
      <c r="H273" s="617"/>
      <c r="I273" s="617"/>
      <c r="J273" s="617"/>
      <c r="K273" s="617"/>
      <c r="L273" s="617"/>
    </row>
    <row r="274" spans="1:12">
      <c r="A274" s="617"/>
      <c r="B274" s="617"/>
      <c r="C274" s="617"/>
      <c r="D274" s="617"/>
      <c r="E274" s="617"/>
      <c r="F274" s="617"/>
      <c r="G274" s="617"/>
      <c r="H274" s="617"/>
      <c r="I274" s="617"/>
      <c r="J274" s="617"/>
      <c r="K274" s="617"/>
      <c r="L274" s="617"/>
    </row>
    <row r="275" spans="1:12">
      <c r="A275" s="617"/>
      <c r="B275" s="617"/>
      <c r="C275" s="617"/>
      <c r="D275" s="617"/>
      <c r="E275" s="617"/>
      <c r="F275" s="617"/>
      <c r="G275" s="617"/>
      <c r="H275" s="617"/>
      <c r="I275" s="617"/>
      <c r="J275" s="617"/>
      <c r="K275" s="617"/>
      <c r="L275" s="617"/>
    </row>
    <row r="276" spans="1:12">
      <c r="A276" s="617"/>
      <c r="B276" s="617"/>
      <c r="C276" s="617"/>
      <c r="D276" s="617"/>
      <c r="E276" s="617"/>
      <c r="F276" s="617"/>
      <c r="G276" s="617"/>
      <c r="H276" s="617"/>
      <c r="I276" s="617"/>
      <c r="J276" s="617"/>
      <c r="K276" s="617"/>
      <c r="L276" s="617"/>
    </row>
    <row r="277" spans="1:12">
      <c r="A277" s="617"/>
      <c r="B277" s="617"/>
      <c r="C277" s="617"/>
      <c r="D277" s="617"/>
      <c r="E277" s="617"/>
      <c r="F277" s="617"/>
      <c r="G277" s="617"/>
      <c r="H277" s="617"/>
      <c r="I277" s="617"/>
      <c r="J277" s="617"/>
      <c r="K277" s="617"/>
      <c r="L277" s="617"/>
    </row>
    <row r="278" spans="1:12">
      <c r="A278" s="617"/>
      <c r="B278" s="617"/>
      <c r="C278" s="617"/>
      <c r="D278" s="617"/>
      <c r="E278" s="617"/>
      <c r="F278" s="617"/>
      <c r="G278" s="617"/>
      <c r="H278" s="617"/>
      <c r="I278" s="617"/>
      <c r="J278" s="617"/>
      <c r="K278" s="617"/>
      <c r="L278" s="617"/>
    </row>
    <row r="279" spans="1:12">
      <c r="A279" s="617"/>
      <c r="B279" s="617"/>
      <c r="C279" s="617"/>
      <c r="D279" s="617"/>
      <c r="E279" s="617"/>
      <c r="F279" s="617"/>
      <c r="G279" s="617"/>
      <c r="H279" s="617"/>
      <c r="I279" s="617"/>
      <c r="J279" s="617"/>
      <c r="K279" s="617"/>
      <c r="L279" s="617"/>
    </row>
    <row r="280" spans="1:12">
      <c r="A280" s="617"/>
      <c r="B280" s="617"/>
      <c r="C280" s="617"/>
      <c r="D280" s="617"/>
      <c r="E280" s="617"/>
      <c r="F280" s="617"/>
      <c r="G280" s="617"/>
      <c r="H280" s="617"/>
      <c r="I280" s="617"/>
      <c r="J280" s="617"/>
      <c r="K280" s="617"/>
      <c r="L280" s="617"/>
    </row>
    <row r="281" spans="1:12">
      <c r="A281" s="617"/>
      <c r="B281" s="617"/>
      <c r="C281" s="617"/>
      <c r="D281" s="617"/>
      <c r="E281" s="617"/>
      <c r="F281" s="617"/>
      <c r="G281" s="617"/>
      <c r="H281" s="617"/>
      <c r="I281" s="617"/>
      <c r="J281" s="617"/>
      <c r="K281" s="617"/>
      <c r="L281" s="617"/>
    </row>
    <row r="282" spans="1:12">
      <c r="A282" s="617"/>
      <c r="B282" s="617"/>
      <c r="C282" s="617"/>
      <c r="D282" s="617"/>
      <c r="E282" s="617"/>
      <c r="F282" s="617"/>
      <c r="G282" s="617"/>
      <c r="H282" s="617"/>
      <c r="I282" s="617"/>
      <c r="J282" s="617"/>
      <c r="K282" s="617"/>
      <c r="L282" s="617"/>
    </row>
    <row r="283" spans="1:12">
      <c r="A283" s="617"/>
      <c r="B283" s="617"/>
      <c r="C283" s="617"/>
      <c r="D283" s="617"/>
      <c r="E283" s="617"/>
      <c r="F283" s="617"/>
      <c r="G283" s="617"/>
      <c r="H283" s="617"/>
      <c r="I283" s="617"/>
      <c r="J283" s="617"/>
      <c r="K283" s="617"/>
      <c r="L283" s="617"/>
    </row>
    <row r="284" spans="1:12">
      <c r="A284" s="617"/>
      <c r="B284" s="617"/>
      <c r="C284" s="617"/>
      <c r="D284" s="617"/>
      <c r="E284" s="617"/>
      <c r="F284" s="617"/>
      <c r="G284" s="617"/>
      <c r="H284" s="617"/>
      <c r="I284" s="617"/>
      <c r="J284" s="617"/>
      <c r="K284" s="617"/>
      <c r="L284" s="617"/>
    </row>
    <row r="285" spans="1:12">
      <c r="A285" s="617"/>
      <c r="B285" s="617"/>
      <c r="C285" s="617"/>
      <c r="D285" s="617"/>
      <c r="E285" s="617"/>
      <c r="F285" s="617"/>
      <c r="G285" s="617"/>
      <c r="H285" s="617"/>
      <c r="I285" s="617"/>
      <c r="J285" s="617"/>
      <c r="K285" s="617"/>
      <c r="L285" s="617"/>
    </row>
    <row r="286" spans="1:12">
      <c r="A286" s="617"/>
      <c r="B286" s="617"/>
      <c r="C286" s="617"/>
      <c r="D286" s="617"/>
      <c r="E286" s="617"/>
      <c r="F286" s="617"/>
      <c r="G286" s="617"/>
      <c r="H286" s="617"/>
      <c r="I286" s="617"/>
      <c r="J286" s="617"/>
      <c r="K286" s="617"/>
      <c r="L286" s="617"/>
    </row>
    <row r="287" spans="1:12">
      <c r="A287" s="617"/>
      <c r="B287" s="617"/>
      <c r="C287" s="617"/>
      <c r="D287" s="617"/>
      <c r="E287" s="617"/>
      <c r="F287" s="617"/>
      <c r="G287" s="617"/>
      <c r="H287" s="617"/>
      <c r="I287" s="617"/>
      <c r="J287" s="617"/>
      <c r="K287" s="617"/>
      <c r="L287" s="617"/>
    </row>
    <row r="288" spans="1:12">
      <c r="A288" s="617"/>
      <c r="B288" s="617"/>
      <c r="C288" s="617"/>
      <c r="D288" s="617"/>
      <c r="E288" s="617"/>
      <c r="F288" s="617"/>
      <c r="G288" s="617"/>
      <c r="H288" s="617"/>
      <c r="I288" s="617"/>
      <c r="J288" s="617"/>
      <c r="K288" s="617"/>
      <c r="L288" s="617"/>
    </row>
    <row r="289" spans="1:12">
      <c r="A289" s="617"/>
      <c r="B289" s="617"/>
      <c r="C289" s="617"/>
      <c r="D289" s="617"/>
      <c r="E289" s="617"/>
      <c r="F289" s="617"/>
      <c r="G289" s="617"/>
      <c r="H289" s="617"/>
      <c r="I289" s="617"/>
      <c r="J289" s="617"/>
      <c r="K289" s="617"/>
      <c r="L289" s="617"/>
    </row>
    <row r="290" spans="1:12">
      <c r="A290" s="617"/>
      <c r="B290" s="617"/>
      <c r="C290" s="617"/>
      <c r="D290" s="617"/>
      <c r="E290" s="617"/>
      <c r="F290" s="617"/>
      <c r="G290" s="617"/>
      <c r="H290" s="617"/>
      <c r="I290" s="617"/>
      <c r="J290" s="617"/>
      <c r="K290" s="617"/>
      <c r="L290" s="617"/>
    </row>
    <row r="291" spans="1:12">
      <c r="A291" s="617"/>
      <c r="B291" s="617"/>
      <c r="C291" s="617"/>
      <c r="D291" s="617"/>
      <c r="E291" s="617"/>
      <c r="F291" s="617"/>
      <c r="G291" s="617"/>
      <c r="H291" s="617"/>
      <c r="I291" s="617"/>
      <c r="J291" s="617"/>
      <c r="K291" s="617"/>
      <c r="L291" s="617"/>
    </row>
    <row r="292" spans="1:12">
      <c r="A292" s="617"/>
      <c r="B292" s="617"/>
      <c r="C292" s="617"/>
      <c r="D292" s="617"/>
      <c r="E292" s="617"/>
      <c r="F292" s="617"/>
      <c r="G292" s="617"/>
      <c r="H292" s="617"/>
      <c r="I292" s="617"/>
      <c r="J292" s="617"/>
      <c r="K292" s="617"/>
      <c r="L292" s="617"/>
    </row>
    <row r="293" spans="1:12">
      <c r="A293" s="617"/>
      <c r="B293" s="617"/>
      <c r="C293" s="617"/>
      <c r="D293" s="617"/>
      <c r="E293" s="617"/>
      <c r="F293" s="617"/>
      <c r="G293" s="617"/>
      <c r="H293" s="617"/>
      <c r="I293" s="617"/>
      <c r="J293" s="617"/>
      <c r="K293" s="617"/>
      <c r="L293" s="617"/>
    </row>
    <row r="294" spans="1:12">
      <c r="A294" s="617"/>
      <c r="B294" s="617"/>
      <c r="C294" s="617"/>
      <c r="D294" s="617"/>
      <c r="E294" s="617"/>
      <c r="F294" s="617"/>
      <c r="G294" s="617"/>
      <c r="H294" s="617"/>
      <c r="I294" s="617"/>
      <c r="J294" s="617"/>
      <c r="K294" s="617"/>
      <c r="L294" s="617"/>
    </row>
    <row r="295" spans="1:12">
      <c r="A295" s="617"/>
      <c r="B295" s="617"/>
      <c r="C295" s="617"/>
      <c r="D295" s="617"/>
      <c r="E295" s="617"/>
      <c r="F295" s="617"/>
      <c r="G295" s="617"/>
      <c r="H295" s="617"/>
      <c r="I295" s="617"/>
      <c r="J295" s="617"/>
      <c r="K295" s="617"/>
      <c r="L295" s="617"/>
    </row>
    <row r="296" spans="1:12">
      <c r="A296" s="617"/>
      <c r="B296" s="617"/>
      <c r="C296" s="617"/>
      <c r="D296" s="617"/>
      <c r="E296" s="617"/>
      <c r="F296" s="617"/>
      <c r="G296" s="617"/>
      <c r="H296" s="617"/>
      <c r="I296" s="617"/>
      <c r="J296" s="617"/>
      <c r="K296" s="617"/>
      <c r="L296" s="617"/>
    </row>
    <row r="297" spans="1:12">
      <c r="A297" s="617"/>
      <c r="B297" s="617"/>
      <c r="C297" s="617"/>
      <c r="D297" s="617"/>
      <c r="E297" s="617"/>
      <c r="F297" s="617"/>
      <c r="G297" s="617"/>
      <c r="H297" s="617"/>
      <c r="I297" s="617"/>
      <c r="J297" s="617"/>
      <c r="K297" s="617"/>
      <c r="L297" s="617"/>
    </row>
    <row r="298" spans="1:12">
      <c r="A298" s="617"/>
      <c r="B298" s="617"/>
      <c r="C298" s="617"/>
      <c r="D298" s="617"/>
      <c r="E298" s="617"/>
      <c r="F298" s="617"/>
      <c r="G298" s="617"/>
      <c r="H298" s="617"/>
      <c r="I298" s="617"/>
      <c r="J298" s="617"/>
      <c r="K298" s="617"/>
      <c r="L298" s="617"/>
    </row>
    <row r="299" spans="1:12">
      <c r="A299" s="617"/>
      <c r="B299" s="617"/>
      <c r="C299" s="617"/>
      <c r="D299" s="617"/>
      <c r="E299" s="617"/>
      <c r="F299" s="617"/>
      <c r="G299" s="617"/>
      <c r="H299" s="617"/>
      <c r="I299" s="617"/>
      <c r="J299" s="617"/>
      <c r="K299" s="617"/>
      <c r="L299" s="617"/>
    </row>
    <row r="300" spans="1:12">
      <c r="A300" s="617"/>
      <c r="B300" s="617"/>
      <c r="C300" s="617"/>
      <c r="D300" s="617"/>
      <c r="E300" s="617"/>
      <c r="F300" s="617"/>
      <c r="G300" s="617"/>
      <c r="H300" s="617"/>
      <c r="I300" s="617"/>
      <c r="J300" s="617"/>
      <c r="K300" s="617"/>
      <c r="L300" s="617"/>
    </row>
    <row r="301" spans="1:12">
      <c r="A301" s="617"/>
      <c r="B301" s="617"/>
      <c r="C301" s="617"/>
      <c r="D301" s="617"/>
      <c r="E301" s="617"/>
      <c r="F301" s="617"/>
      <c r="G301" s="617"/>
      <c r="H301" s="617"/>
      <c r="I301" s="617"/>
      <c r="J301" s="617"/>
      <c r="K301" s="617"/>
      <c r="L301" s="617"/>
    </row>
    <row r="302" spans="1:12">
      <c r="A302" s="617"/>
      <c r="B302" s="617"/>
      <c r="C302" s="617"/>
      <c r="D302" s="617"/>
      <c r="E302" s="617"/>
      <c r="F302" s="617"/>
      <c r="G302" s="617"/>
      <c r="H302" s="617"/>
      <c r="I302" s="617"/>
      <c r="J302" s="617"/>
      <c r="K302" s="617"/>
      <c r="L302" s="617"/>
    </row>
    <row r="303" spans="1:12">
      <c r="A303" s="617"/>
      <c r="B303" s="617"/>
      <c r="C303" s="617"/>
      <c r="D303" s="617"/>
      <c r="E303" s="617"/>
      <c r="F303" s="617"/>
      <c r="G303" s="617"/>
      <c r="H303" s="617"/>
      <c r="I303" s="617"/>
      <c r="J303" s="617"/>
      <c r="K303" s="617"/>
      <c r="L303" s="617"/>
    </row>
    <row r="304" spans="1:12">
      <c r="A304" s="617"/>
      <c r="B304" s="617"/>
      <c r="C304" s="617"/>
      <c r="D304" s="617"/>
      <c r="E304" s="617"/>
      <c r="F304" s="617"/>
      <c r="G304" s="617"/>
      <c r="H304" s="617"/>
      <c r="I304" s="617"/>
      <c r="J304" s="617"/>
      <c r="K304" s="617"/>
      <c r="L304" s="617"/>
    </row>
    <row r="305" spans="1:12">
      <c r="A305" s="617"/>
      <c r="B305" s="617"/>
      <c r="C305" s="617"/>
      <c r="D305" s="617"/>
      <c r="E305" s="617"/>
      <c r="F305" s="617"/>
      <c r="G305" s="617"/>
      <c r="H305" s="617"/>
      <c r="I305" s="617"/>
      <c r="J305" s="617"/>
      <c r="K305" s="617"/>
      <c r="L305" s="617"/>
    </row>
    <row r="306" spans="1:12">
      <c r="A306" s="617"/>
      <c r="B306" s="617"/>
      <c r="C306" s="617"/>
      <c r="D306" s="617"/>
      <c r="E306" s="617"/>
      <c r="F306" s="617"/>
      <c r="G306" s="617"/>
      <c r="H306" s="617"/>
      <c r="I306" s="617"/>
      <c r="J306" s="617"/>
      <c r="K306" s="617"/>
      <c r="L306" s="617"/>
    </row>
    <row r="307" spans="1:12">
      <c r="A307" s="617"/>
      <c r="B307" s="617"/>
      <c r="C307" s="617"/>
      <c r="D307" s="617"/>
      <c r="E307" s="617"/>
      <c r="F307" s="617"/>
      <c r="G307" s="617"/>
      <c r="H307" s="617"/>
      <c r="I307" s="617"/>
      <c r="J307" s="617"/>
      <c r="K307" s="617"/>
      <c r="L307" s="617"/>
    </row>
    <row r="308" spans="1:12">
      <c r="A308" s="617"/>
      <c r="B308" s="617"/>
      <c r="C308" s="617"/>
      <c r="D308" s="617"/>
      <c r="E308" s="617"/>
      <c r="F308" s="617"/>
      <c r="G308" s="617"/>
      <c r="H308" s="617"/>
      <c r="I308" s="617"/>
      <c r="J308" s="617"/>
      <c r="K308" s="617"/>
      <c r="L308" s="617"/>
    </row>
    <row r="309" spans="1:12">
      <c r="A309" s="617"/>
      <c r="B309" s="617"/>
      <c r="C309" s="617"/>
      <c r="D309" s="617"/>
      <c r="E309" s="617"/>
      <c r="F309" s="617"/>
      <c r="G309" s="617"/>
      <c r="H309" s="617"/>
      <c r="I309" s="617"/>
      <c r="J309" s="617"/>
      <c r="K309" s="617"/>
      <c r="L309" s="617"/>
    </row>
    <row r="310" spans="1:12">
      <c r="A310" s="617"/>
      <c r="B310" s="617"/>
      <c r="C310" s="617"/>
      <c r="D310" s="617"/>
      <c r="E310" s="617"/>
      <c r="F310" s="617"/>
      <c r="G310" s="617"/>
      <c r="H310" s="617"/>
      <c r="I310" s="617"/>
      <c r="J310" s="617"/>
      <c r="K310" s="617"/>
      <c r="L310" s="617"/>
    </row>
    <row r="311" spans="1:12">
      <c r="A311" s="617"/>
      <c r="B311" s="617"/>
      <c r="C311" s="617"/>
      <c r="D311" s="617"/>
      <c r="E311" s="617"/>
      <c r="F311" s="617"/>
      <c r="G311" s="617"/>
      <c r="H311" s="617"/>
      <c r="I311" s="617"/>
      <c r="J311" s="617"/>
      <c r="K311" s="617"/>
      <c r="L311" s="617"/>
    </row>
    <row r="312" spans="1:12">
      <c r="A312" s="617"/>
      <c r="B312" s="617"/>
      <c r="C312" s="617"/>
      <c r="D312" s="617"/>
      <c r="E312" s="617"/>
      <c r="F312" s="617"/>
      <c r="G312" s="617"/>
      <c r="H312" s="617"/>
      <c r="I312" s="617"/>
      <c r="J312" s="617"/>
      <c r="K312" s="617"/>
      <c r="L312" s="617"/>
    </row>
    <row r="313" spans="1:12">
      <c r="A313" s="617"/>
      <c r="B313" s="617"/>
      <c r="C313" s="617"/>
      <c r="D313" s="617"/>
      <c r="E313" s="617"/>
      <c r="F313" s="617"/>
      <c r="G313" s="617"/>
      <c r="H313" s="617"/>
      <c r="I313" s="617"/>
      <c r="J313" s="617"/>
      <c r="K313" s="617"/>
      <c r="L313" s="617"/>
    </row>
    <row r="314" spans="1:12">
      <c r="A314" s="617"/>
      <c r="B314" s="617"/>
      <c r="C314" s="617"/>
      <c r="D314" s="617"/>
      <c r="E314" s="617"/>
      <c r="F314" s="617"/>
      <c r="G314" s="617"/>
      <c r="H314" s="617"/>
      <c r="I314" s="617"/>
      <c r="J314" s="617"/>
      <c r="K314" s="617"/>
      <c r="L314" s="617"/>
    </row>
    <row r="315" spans="1:12">
      <c r="A315" s="617"/>
      <c r="B315" s="617"/>
      <c r="C315" s="617"/>
      <c r="D315" s="617"/>
      <c r="E315" s="617"/>
      <c r="F315" s="617"/>
      <c r="G315" s="617"/>
      <c r="H315" s="617"/>
      <c r="I315" s="617"/>
      <c r="J315" s="617"/>
      <c r="K315" s="617"/>
      <c r="L315" s="617"/>
    </row>
    <row r="316" spans="1:12">
      <c r="A316" s="617"/>
      <c r="B316" s="617"/>
      <c r="C316" s="617"/>
      <c r="D316" s="617"/>
      <c r="E316" s="617"/>
      <c r="F316" s="617"/>
      <c r="G316" s="617"/>
      <c r="H316" s="617"/>
      <c r="I316" s="617"/>
      <c r="J316" s="617"/>
      <c r="K316" s="617"/>
      <c r="L316" s="617"/>
    </row>
    <row r="317" spans="1:12">
      <c r="A317" s="617"/>
      <c r="B317" s="617"/>
      <c r="C317" s="617"/>
      <c r="D317" s="617"/>
      <c r="E317" s="617"/>
      <c r="F317" s="617"/>
      <c r="G317" s="617"/>
      <c r="H317" s="617"/>
      <c r="I317" s="617"/>
      <c r="J317" s="617"/>
      <c r="K317" s="617"/>
      <c r="L317" s="617"/>
    </row>
    <row r="318" spans="1:12">
      <c r="A318" s="617"/>
      <c r="B318" s="617"/>
      <c r="C318" s="617"/>
      <c r="D318" s="617"/>
      <c r="E318" s="617"/>
      <c r="F318" s="617"/>
      <c r="G318" s="617"/>
      <c r="H318" s="617"/>
      <c r="I318" s="617"/>
      <c r="J318" s="617"/>
      <c r="K318" s="617"/>
      <c r="L318" s="617"/>
    </row>
    <row r="319" spans="1:12">
      <c r="A319" s="617"/>
      <c r="B319" s="617"/>
      <c r="C319" s="617"/>
      <c r="D319" s="617"/>
      <c r="E319" s="617"/>
      <c r="F319" s="617"/>
      <c r="G319" s="617"/>
      <c r="H319" s="617"/>
      <c r="I319" s="617"/>
      <c r="J319" s="617"/>
      <c r="K319" s="617"/>
      <c r="L319" s="617"/>
    </row>
    <row r="320" spans="1:12">
      <c r="A320" s="617"/>
      <c r="B320" s="617"/>
      <c r="C320" s="617"/>
      <c r="D320" s="617"/>
      <c r="E320" s="617"/>
      <c r="F320" s="617"/>
      <c r="G320" s="617"/>
      <c r="H320" s="617"/>
      <c r="I320" s="617"/>
      <c r="J320" s="617"/>
      <c r="K320" s="617"/>
      <c r="L320" s="617"/>
    </row>
    <row r="321" spans="1:12">
      <c r="A321" s="617"/>
      <c r="B321" s="617"/>
      <c r="C321" s="617"/>
      <c r="D321" s="617"/>
      <c r="E321" s="617"/>
      <c r="F321" s="617"/>
      <c r="G321" s="617"/>
      <c r="H321" s="617"/>
      <c r="I321" s="617"/>
      <c r="J321" s="617"/>
      <c r="K321" s="617"/>
      <c r="L321" s="617"/>
    </row>
    <row r="322" spans="1:12">
      <c r="A322" s="617"/>
      <c r="B322" s="617"/>
      <c r="C322" s="617"/>
      <c r="D322" s="617"/>
      <c r="E322" s="617"/>
      <c r="F322" s="617"/>
      <c r="G322" s="617"/>
      <c r="H322" s="617"/>
      <c r="I322" s="617"/>
      <c r="J322" s="617"/>
      <c r="K322" s="617"/>
      <c r="L322" s="617"/>
    </row>
    <row r="323" spans="1:12">
      <c r="A323" s="617"/>
      <c r="B323" s="617"/>
      <c r="C323" s="617"/>
      <c r="D323" s="617"/>
      <c r="E323" s="617"/>
      <c r="F323" s="617"/>
      <c r="G323" s="617"/>
      <c r="H323" s="617"/>
      <c r="I323" s="617"/>
      <c r="J323" s="617"/>
      <c r="K323" s="617"/>
      <c r="L323" s="617"/>
    </row>
    <row r="324" spans="1:12">
      <c r="A324" s="617"/>
      <c r="B324" s="617"/>
      <c r="C324" s="617"/>
      <c r="D324" s="617"/>
      <c r="E324" s="617"/>
      <c r="F324" s="617"/>
      <c r="G324" s="617"/>
      <c r="H324" s="617"/>
      <c r="I324" s="617"/>
      <c r="J324" s="617"/>
      <c r="K324" s="617"/>
      <c r="L324" s="617"/>
    </row>
    <row r="325" spans="1:12">
      <c r="A325" s="617"/>
      <c r="B325" s="617"/>
      <c r="C325" s="617"/>
      <c r="D325" s="617"/>
      <c r="E325" s="617"/>
      <c r="F325" s="617"/>
      <c r="G325" s="617"/>
      <c r="H325" s="617"/>
      <c r="I325" s="617"/>
      <c r="J325" s="617"/>
      <c r="K325" s="617"/>
      <c r="L325" s="617"/>
    </row>
    <row r="326" spans="1:12">
      <c r="A326" s="617"/>
      <c r="B326" s="617"/>
      <c r="C326" s="617"/>
      <c r="D326" s="617"/>
      <c r="E326" s="617"/>
      <c r="F326" s="617"/>
      <c r="G326" s="617"/>
      <c r="H326" s="617"/>
      <c r="I326" s="617"/>
      <c r="J326" s="617"/>
      <c r="K326" s="617"/>
      <c r="L326" s="617"/>
    </row>
    <row r="327" spans="1:12">
      <c r="A327" s="617"/>
      <c r="B327" s="617"/>
      <c r="C327" s="617"/>
      <c r="D327" s="617"/>
      <c r="E327" s="617"/>
      <c r="F327" s="617"/>
      <c r="G327" s="617"/>
      <c r="H327" s="617"/>
      <c r="I327" s="617"/>
      <c r="J327" s="617"/>
      <c r="K327" s="617"/>
      <c r="L327" s="617"/>
    </row>
    <row r="328" spans="1:12">
      <c r="A328" s="617"/>
      <c r="B328" s="617"/>
      <c r="C328" s="617"/>
      <c r="D328" s="617"/>
      <c r="E328" s="617"/>
      <c r="F328" s="617"/>
      <c r="G328" s="617"/>
      <c r="H328" s="617"/>
      <c r="I328" s="617"/>
      <c r="J328" s="617"/>
      <c r="K328" s="617"/>
      <c r="L328" s="617"/>
    </row>
    <row r="329" spans="1:12">
      <c r="A329" s="617"/>
      <c r="B329" s="617"/>
      <c r="C329" s="617"/>
      <c r="D329" s="617"/>
      <c r="E329" s="617"/>
      <c r="F329" s="617"/>
      <c r="G329" s="617"/>
      <c r="H329" s="617"/>
      <c r="I329" s="617"/>
      <c r="J329" s="617"/>
      <c r="K329" s="617"/>
      <c r="L329" s="617"/>
    </row>
    <row r="330" spans="1:12">
      <c r="A330" s="617"/>
      <c r="B330" s="617"/>
      <c r="C330" s="617"/>
      <c r="D330" s="617"/>
      <c r="E330" s="617"/>
      <c r="F330" s="617"/>
      <c r="G330" s="617"/>
      <c r="H330" s="617"/>
      <c r="I330" s="617"/>
      <c r="J330" s="617"/>
      <c r="K330" s="617"/>
      <c r="L330" s="617"/>
    </row>
    <row r="331" spans="1:12">
      <c r="A331" s="617"/>
      <c r="B331" s="617"/>
      <c r="C331" s="617"/>
      <c r="D331" s="617"/>
      <c r="E331" s="617"/>
      <c r="F331" s="617"/>
      <c r="G331" s="617"/>
      <c r="H331" s="617"/>
      <c r="I331" s="617"/>
      <c r="J331" s="617"/>
      <c r="K331" s="617"/>
      <c r="L331" s="617"/>
    </row>
    <row r="332" spans="1:12">
      <c r="A332" s="617"/>
      <c r="B332" s="617"/>
      <c r="C332" s="617"/>
      <c r="D332" s="617"/>
      <c r="E332" s="617"/>
      <c r="F332" s="617"/>
      <c r="G332" s="617"/>
      <c r="H332" s="617"/>
      <c r="I332" s="617"/>
      <c r="J332" s="617"/>
      <c r="K332" s="617"/>
      <c r="L332" s="617"/>
    </row>
    <row r="333" spans="1:12">
      <c r="A333" s="617"/>
      <c r="B333" s="617"/>
      <c r="C333" s="617"/>
      <c r="D333" s="617"/>
      <c r="E333" s="617"/>
      <c r="F333" s="617"/>
      <c r="G333" s="617"/>
      <c r="H333" s="617"/>
      <c r="I333" s="617"/>
      <c r="J333" s="617"/>
      <c r="K333" s="617"/>
      <c r="L333" s="617"/>
    </row>
    <row r="334" spans="1:12">
      <c r="A334" s="617"/>
      <c r="B334" s="617"/>
      <c r="C334" s="617"/>
      <c r="D334" s="617"/>
      <c r="E334" s="617"/>
      <c r="F334" s="617"/>
      <c r="G334" s="617"/>
      <c r="H334" s="617"/>
      <c r="I334" s="617"/>
      <c r="J334" s="617"/>
      <c r="K334" s="617"/>
      <c r="L334" s="617"/>
    </row>
    <row r="335" spans="1:12">
      <c r="A335" s="617"/>
      <c r="B335" s="617"/>
      <c r="C335" s="617"/>
      <c r="D335" s="617"/>
      <c r="E335" s="617"/>
      <c r="F335" s="617"/>
      <c r="G335" s="617"/>
      <c r="H335" s="617"/>
      <c r="I335" s="617"/>
      <c r="J335" s="617"/>
      <c r="K335" s="617"/>
      <c r="L335" s="617"/>
    </row>
    <row r="336" spans="1:12">
      <c r="A336" s="617"/>
      <c r="B336" s="617"/>
      <c r="C336" s="617"/>
      <c r="D336" s="617"/>
      <c r="E336" s="617"/>
      <c r="F336" s="617"/>
      <c r="G336" s="617"/>
      <c r="H336" s="617"/>
      <c r="I336" s="617"/>
      <c r="J336" s="617"/>
      <c r="K336" s="617"/>
      <c r="L336" s="617"/>
    </row>
    <row r="337" spans="1:12">
      <c r="A337" s="617"/>
      <c r="B337" s="617"/>
      <c r="C337" s="617"/>
      <c r="D337" s="617"/>
      <c r="E337" s="617"/>
      <c r="F337" s="617"/>
      <c r="G337" s="617"/>
      <c r="H337" s="617"/>
      <c r="I337" s="617"/>
      <c r="J337" s="617"/>
      <c r="K337" s="617"/>
      <c r="L337" s="617"/>
    </row>
    <row r="338" spans="1:12">
      <c r="A338" s="617"/>
      <c r="B338" s="617"/>
      <c r="C338" s="617"/>
      <c r="D338" s="617"/>
      <c r="E338" s="617"/>
      <c r="F338" s="617"/>
      <c r="G338" s="617"/>
      <c r="H338" s="617"/>
      <c r="I338" s="617"/>
      <c r="J338" s="617"/>
      <c r="K338" s="617"/>
      <c r="L338" s="617"/>
    </row>
    <row r="339" spans="1:12">
      <c r="A339" s="617"/>
      <c r="B339" s="617"/>
      <c r="C339" s="617"/>
      <c r="D339" s="617"/>
      <c r="E339" s="617"/>
      <c r="F339" s="617"/>
      <c r="G339" s="617"/>
      <c r="H339" s="617"/>
      <c r="I339" s="617"/>
      <c r="J339" s="617"/>
      <c r="K339" s="617"/>
      <c r="L339" s="617"/>
    </row>
    <row r="340" spans="1:12">
      <c r="A340" s="617"/>
      <c r="B340" s="617"/>
      <c r="C340" s="617"/>
      <c r="D340" s="617"/>
      <c r="E340" s="617"/>
      <c r="F340" s="617"/>
      <c r="G340" s="617"/>
      <c r="H340" s="617"/>
      <c r="I340" s="617"/>
      <c r="J340" s="617"/>
      <c r="K340" s="617"/>
      <c r="L340" s="617"/>
    </row>
    <row r="341" spans="1:12">
      <c r="A341" s="617"/>
      <c r="B341" s="617"/>
      <c r="C341" s="617"/>
      <c r="D341" s="617"/>
      <c r="E341" s="617"/>
      <c r="F341" s="617"/>
      <c r="G341" s="617"/>
      <c r="H341" s="617"/>
      <c r="I341" s="617"/>
      <c r="J341" s="617"/>
      <c r="K341" s="617"/>
      <c r="L341" s="617"/>
    </row>
    <row r="342" spans="1:12">
      <c r="A342" s="617"/>
      <c r="B342" s="617"/>
      <c r="C342" s="617"/>
      <c r="D342" s="617"/>
      <c r="E342" s="617"/>
      <c r="F342" s="617"/>
      <c r="G342" s="617"/>
      <c r="H342" s="617"/>
      <c r="I342" s="617"/>
      <c r="J342" s="617"/>
      <c r="K342" s="617"/>
      <c r="L342" s="617"/>
    </row>
    <row r="343" spans="1:12">
      <c r="A343" s="617"/>
      <c r="B343" s="617"/>
      <c r="C343" s="617"/>
      <c r="D343" s="617"/>
      <c r="E343" s="617"/>
      <c r="F343" s="617"/>
      <c r="G343" s="617"/>
      <c r="H343" s="617"/>
      <c r="I343" s="617"/>
      <c r="J343" s="617"/>
      <c r="K343" s="617"/>
      <c r="L343" s="617"/>
    </row>
    <row r="344" spans="1:12">
      <c r="A344" s="617"/>
      <c r="B344" s="617"/>
      <c r="C344" s="617"/>
      <c r="D344" s="617"/>
      <c r="E344" s="617"/>
      <c r="F344" s="617"/>
      <c r="G344" s="617"/>
      <c r="H344" s="617"/>
      <c r="I344" s="617"/>
      <c r="J344" s="617"/>
      <c r="K344" s="617"/>
      <c r="L344" s="617"/>
    </row>
    <row r="345" spans="1:12">
      <c r="A345" s="617"/>
      <c r="B345" s="617"/>
      <c r="C345" s="617"/>
      <c r="D345" s="617"/>
      <c r="E345" s="617"/>
      <c r="F345" s="617"/>
      <c r="G345" s="617"/>
      <c r="H345" s="617"/>
      <c r="I345" s="617"/>
      <c r="J345" s="617"/>
      <c r="K345" s="617"/>
      <c r="L345" s="617"/>
    </row>
    <row r="346" spans="1:12">
      <c r="A346" s="617"/>
      <c r="B346" s="617"/>
      <c r="C346" s="617"/>
      <c r="D346" s="617"/>
      <c r="E346" s="617"/>
      <c r="F346" s="617"/>
      <c r="G346" s="617"/>
      <c r="H346" s="617"/>
      <c r="I346" s="617"/>
      <c r="J346" s="617"/>
      <c r="K346" s="617"/>
      <c r="L346" s="617"/>
    </row>
    <row r="347" spans="1:12">
      <c r="A347" s="617"/>
      <c r="B347" s="617"/>
      <c r="C347" s="617"/>
      <c r="D347" s="617"/>
      <c r="E347" s="617"/>
      <c r="F347" s="617"/>
      <c r="G347" s="617"/>
      <c r="H347" s="617"/>
      <c r="I347" s="617"/>
      <c r="J347" s="617"/>
      <c r="K347" s="617"/>
      <c r="L347" s="617"/>
    </row>
    <row r="348" spans="1:12">
      <c r="A348" s="617"/>
      <c r="B348" s="617"/>
      <c r="C348" s="617"/>
      <c r="D348" s="617"/>
      <c r="E348" s="617"/>
      <c r="F348" s="617"/>
      <c r="G348" s="617"/>
      <c r="H348" s="617"/>
      <c r="I348" s="617"/>
      <c r="J348" s="617"/>
      <c r="K348" s="617"/>
      <c r="L348" s="617"/>
    </row>
    <row r="349" spans="1:12">
      <c r="A349" s="617"/>
      <c r="B349" s="617"/>
      <c r="C349" s="617"/>
      <c r="D349" s="617"/>
      <c r="E349" s="617"/>
      <c r="F349" s="617"/>
      <c r="G349" s="617"/>
      <c r="H349" s="617"/>
      <c r="I349" s="617"/>
      <c r="J349" s="617"/>
      <c r="K349" s="617"/>
      <c r="L349" s="617"/>
    </row>
    <row r="350" spans="1:12">
      <c r="A350" s="617"/>
      <c r="B350" s="617"/>
      <c r="C350" s="617"/>
      <c r="D350" s="617"/>
      <c r="E350" s="617"/>
      <c r="F350" s="617"/>
      <c r="G350" s="617"/>
      <c r="H350" s="617"/>
      <c r="I350" s="617"/>
      <c r="J350" s="617"/>
      <c r="K350" s="617"/>
      <c r="L350" s="617"/>
    </row>
    <row r="351" spans="1:12">
      <c r="A351" s="617"/>
      <c r="B351" s="617"/>
      <c r="C351" s="617"/>
      <c r="D351" s="617"/>
      <c r="E351" s="617"/>
      <c r="F351" s="617"/>
      <c r="G351" s="617"/>
      <c r="H351" s="617"/>
      <c r="I351" s="617"/>
      <c r="J351" s="617"/>
      <c r="K351" s="617"/>
      <c r="L351" s="617"/>
    </row>
    <row r="352" spans="1:12">
      <c r="A352" s="617"/>
      <c r="B352" s="617"/>
      <c r="C352" s="617"/>
      <c r="D352" s="617"/>
      <c r="E352" s="617"/>
      <c r="F352" s="617"/>
      <c r="G352" s="617"/>
      <c r="H352" s="617"/>
      <c r="I352" s="617"/>
      <c r="J352" s="617"/>
      <c r="K352" s="617"/>
      <c r="L352" s="617"/>
    </row>
    <row r="353" spans="1:12">
      <c r="A353" s="617"/>
      <c r="B353" s="617"/>
      <c r="C353" s="617"/>
      <c r="D353" s="617"/>
      <c r="E353" s="617"/>
      <c r="F353" s="617"/>
      <c r="G353" s="617"/>
      <c r="H353" s="617"/>
      <c r="I353" s="617"/>
      <c r="J353" s="617"/>
      <c r="K353" s="617"/>
      <c r="L353" s="617"/>
    </row>
    <row r="354" spans="1:12">
      <c r="A354" s="617"/>
      <c r="B354" s="617"/>
      <c r="C354" s="617"/>
      <c r="D354" s="617"/>
      <c r="E354" s="617"/>
      <c r="F354" s="617"/>
      <c r="G354" s="617"/>
      <c r="H354" s="617"/>
      <c r="I354" s="617"/>
      <c r="J354" s="617"/>
      <c r="K354" s="617"/>
      <c r="L354" s="617"/>
    </row>
  </sheetData>
  <sheetProtection sheet="1" objects="1" scenarios="1"/>
  <mergeCells count="55">
    <mergeCell ref="B110:K110"/>
    <mergeCell ref="C120:D120"/>
    <mergeCell ref="C123:D123"/>
    <mergeCell ref="B130:K130"/>
    <mergeCell ref="C133:D133"/>
    <mergeCell ref="H133:I133"/>
    <mergeCell ref="C114:D114"/>
    <mergeCell ref="B48:C48"/>
    <mergeCell ref="G50:H50"/>
    <mergeCell ref="I51:K51"/>
    <mergeCell ref="B6:K6"/>
    <mergeCell ref="B7:K7"/>
    <mergeCell ref="B8:K8"/>
    <mergeCell ref="B10:K10"/>
    <mergeCell ref="B12:K12"/>
    <mergeCell ref="C25:D25"/>
    <mergeCell ref="F23:G23"/>
    <mergeCell ref="B30:K30"/>
    <mergeCell ref="B31:K31"/>
    <mergeCell ref="B33:K33"/>
    <mergeCell ref="B35:K35"/>
    <mergeCell ref="C41:D41"/>
    <mergeCell ref="C80:D80"/>
    <mergeCell ref="B55:K55"/>
    <mergeCell ref="B57:K57"/>
    <mergeCell ref="B86:K86"/>
    <mergeCell ref="B88:K88"/>
    <mergeCell ref="C83:D83"/>
    <mergeCell ref="B85:K85"/>
    <mergeCell ref="B52:K52"/>
    <mergeCell ref="B53:K53"/>
    <mergeCell ref="B58:K58"/>
    <mergeCell ref="C74:D74"/>
    <mergeCell ref="C77:D77"/>
    <mergeCell ref="B90:K90"/>
    <mergeCell ref="C94:D94"/>
    <mergeCell ref="C97:D97"/>
    <mergeCell ref="C100:D100"/>
    <mergeCell ref="B105:K105"/>
    <mergeCell ref="C148:D148"/>
    <mergeCell ref="J148:K148"/>
    <mergeCell ref="C103:D103"/>
    <mergeCell ref="H134:I134"/>
    <mergeCell ref="C136:D136"/>
    <mergeCell ref="C137:D137"/>
    <mergeCell ref="B144:K144"/>
    <mergeCell ref="C147:D147"/>
    <mergeCell ref="J147:K147"/>
    <mergeCell ref="B108:K108"/>
    <mergeCell ref="B126:K126"/>
    <mergeCell ref="B128:K128"/>
    <mergeCell ref="B106:K106"/>
    <mergeCell ref="C117:D117"/>
    <mergeCell ref="B125:K125"/>
    <mergeCell ref="C134:D134"/>
  </mergeCells>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A40"/>
  <sheetViews>
    <sheetView workbookViewId="0">
      <selection activeCell="A5" sqref="A5"/>
    </sheetView>
  </sheetViews>
  <sheetFormatPr defaultRowHeight="15"/>
  <cols>
    <col min="1" max="1" width="71.21875" customWidth="1"/>
  </cols>
  <sheetData>
    <row r="1" spans="1:1" ht="16.5">
      <c r="A1" s="545" t="s">
        <v>715</v>
      </c>
    </row>
    <row r="3" spans="1:1" ht="31.5">
      <c r="A3" s="546" t="s">
        <v>716</v>
      </c>
    </row>
    <row r="4" spans="1:1" ht="15.75">
      <c r="A4" s="547" t="s">
        <v>717</v>
      </c>
    </row>
    <row r="7" spans="1:1" ht="31.5">
      <c r="A7" s="546" t="s">
        <v>718</v>
      </c>
    </row>
    <row r="8" spans="1:1" ht="15.75">
      <c r="A8" s="547" t="s">
        <v>719</v>
      </c>
    </row>
    <row r="11" spans="1:1" ht="15.75">
      <c r="A11" s="544" t="s">
        <v>720</v>
      </c>
    </row>
    <row r="12" spans="1:1" ht="15.75">
      <c r="A12" s="547" t="s">
        <v>721</v>
      </c>
    </row>
    <row r="15" spans="1:1" ht="15.75">
      <c r="A15" s="544" t="s">
        <v>722</v>
      </c>
    </row>
    <row r="16" spans="1:1" ht="15.75">
      <c r="A16" s="547" t="s">
        <v>723</v>
      </c>
    </row>
    <row r="19" spans="1:1" ht="15.75">
      <c r="A19" s="544" t="s">
        <v>724</v>
      </c>
    </row>
    <row r="20" spans="1:1" ht="15.75">
      <c r="A20" s="547" t="s">
        <v>725</v>
      </c>
    </row>
    <row r="23" spans="1:1" ht="15.75">
      <c r="A23" s="544" t="s">
        <v>726</v>
      </c>
    </row>
    <row r="24" spans="1:1" ht="15.75">
      <c r="A24" s="547" t="s">
        <v>727</v>
      </c>
    </row>
    <row r="27" spans="1:1" ht="15.75">
      <c r="A27" s="544" t="s">
        <v>728</v>
      </c>
    </row>
    <row r="28" spans="1:1" ht="15.75">
      <c r="A28" s="547" t="s">
        <v>729</v>
      </c>
    </row>
    <row r="31" spans="1:1" ht="15.75">
      <c r="A31" s="544" t="s">
        <v>730</v>
      </c>
    </row>
    <row r="32" spans="1:1" ht="15.75">
      <c r="A32" s="547" t="s">
        <v>731</v>
      </c>
    </row>
    <row r="35" spans="1:1" ht="15.75">
      <c r="A35" s="544" t="s">
        <v>732</v>
      </c>
    </row>
    <row r="36" spans="1:1" ht="15.75">
      <c r="A36" s="547" t="s">
        <v>733</v>
      </c>
    </row>
    <row r="39" spans="1:1" ht="15.75">
      <c r="A39" s="544" t="s">
        <v>734</v>
      </c>
    </row>
    <row r="40" spans="1:1" ht="15.75">
      <c r="A40" s="547" t="s">
        <v>735</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53.xml><?xml version="1.0" encoding="utf-8"?>
<worksheet xmlns="http://schemas.openxmlformats.org/spreadsheetml/2006/main" xmlns:r="http://schemas.openxmlformats.org/officeDocument/2006/relationships">
  <sheetPr codeName="Sheet35"/>
  <dimension ref="A1:A165"/>
  <sheetViews>
    <sheetView workbookViewId="0">
      <selection activeCell="C16" sqref="C16"/>
    </sheetView>
  </sheetViews>
  <sheetFormatPr defaultColWidth="8.88671875" defaultRowHeight="15.75"/>
  <cols>
    <col min="1" max="1" width="80.109375" style="72" customWidth="1"/>
    <col min="2" max="16384" width="8.88671875" style="72"/>
  </cols>
  <sheetData>
    <row r="1" spans="1:1">
      <c r="A1" s="431" t="s">
        <v>865</v>
      </c>
    </row>
    <row r="2" spans="1:1">
      <c r="A2" s="720" t="s">
        <v>861</v>
      </c>
    </row>
    <row r="3" spans="1:1">
      <c r="A3" s="72" t="s">
        <v>862</v>
      </c>
    </row>
    <row r="4" spans="1:1">
      <c r="A4" s="72" t="s">
        <v>863</v>
      </c>
    </row>
    <row r="5" spans="1:1">
      <c r="A5" s="72" t="s">
        <v>864</v>
      </c>
    </row>
    <row r="6" spans="1:1">
      <c r="A6" s="72" t="s">
        <v>866</v>
      </c>
    </row>
    <row r="7" spans="1:1">
      <c r="A7" s="72" t="s">
        <v>867</v>
      </c>
    </row>
    <row r="8" spans="1:1">
      <c r="A8" s="72" t="s">
        <v>868</v>
      </c>
    </row>
    <row r="9" spans="1:1">
      <c r="A9" s="72" t="s">
        <v>869</v>
      </c>
    </row>
    <row r="10" spans="1:1">
      <c r="A10" s="72" t="s">
        <v>870</v>
      </c>
    </row>
    <row r="11" spans="1:1">
      <c r="A11" s="72" t="s">
        <v>871</v>
      </c>
    </row>
    <row r="12" spans="1:1">
      <c r="A12" s="72" t="s">
        <v>872</v>
      </c>
    </row>
    <row r="13" spans="1:1">
      <c r="A13" s="72" t="s">
        <v>873</v>
      </c>
    </row>
    <row r="14" spans="1:1" ht="47.25">
      <c r="A14" s="75" t="s">
        <v>874</v>
      </c>
    </row>
    <row r="15" spans="1:1" ht="31.5">
      <c r="A15" s="75" t="s">
        <v>875</v>
      </c>
    </row>
    <row r="16" spans="1:1">
      <c r="A16" s="72" t="s">
        <v>876</v>
      </c>
    </row>
    <row r="17" spans="1:1">
      <c r="A17" s="72" t="s">
        <v>877</v>
      </c>
    </row>
    <row r="18" spans="1:1">
      <c r="A18" s="72" t="s">
        <v>878</v>
      </c>
    </row>
    <row r="19" spans="1:1">
      <c r="A19" s="72" t="s">
        <v>879</v>
      </c>
    </row>
    <row r="20" spans="1:1">
      <c r="A20" s="72" t="s">
        <v>880</v>
      </c>
    </row>
    <row r="21" spans="1:1">
      <c r="A21" s="72" t="s">
        <v>881</v>
      </c>
    </row>
    <row r="22" spans="1:1">
      <c r="A22" s="72" t="s">
        <v>882</v>
      </c>
    </row>
    <row r="23" spans="1:1">
      <c r="A23" s="72" t="s">
        <v>883</v>
      </c>
    </row>
    <row r="24" spans="1:1">
      <c r="A24" s="72" t="s">
        <v>884</v>
      </c>
    </row>
    <row r="25" spans="1:1">
      <c r="A25" s="72" t="s">
        <v>885</v>
      </c>
    </row>
    <row r="26" spans="1:1">
      <c r="A26" s="72" t="s">
        <v>886</v>
      </c>
    </row>
    <row r="27" spans="1:1">
      <c r="A27" s="72" t="s">
        <v>887</v>
      </c>
    </row>
    <row r="32" spans="1:1">
      <c r="A32" s="431" t="s">
        <v>807</v>
      </c>
    </row>
    <row r="33" spans="1:1">
      <c r="A33" s="543" t="s">
        <v>808</v>
      </c>
    </row>
    <row r="35" spans="1:1">
      <c r="A35" s="431" t="s">
        <v>692</v>
      </c>
    </row>
    <row r="36" spans="1:1">
      <c r="A36" s="543" t="s">
        <v>693</v>
      </c>
    </row>
    <row r="37" spans="1:1">
      <c r="A37" s="543" t="s">
        <v>694</v>
      </c>
    </row>
    <row r="38" spans="1:1">
      <c r="A38" s="542" t="s">
        <v>695</v>
      </c>
    </row>
    <row r="39" spans="1:1">
      <c r="A39" s="543" t="s">
        <v>696</v>
      </c>
    </row>
    <row r="40" spans="1:1">
      <c r="A40" s="543" t="s">
        <v>697</v>
      </c>
    </row>
    <row r="41" spans="1:1">
      <c r="A41" s="543" t="s">
        <v>698</v>
      </c>
    </row>
    <row r="42" spans="1:1">
      <c r="A42" s="543" t="s">
        <v>699</v>
      </c>
    </row>
    <row r="43" spans="1:1">
      <c r="A43" s="543" t="s">
        <v>700</v>
      </c>
    </row>
    <row r="44" spans="1:1">
      <c r="A44" s="543" t="s">
        <v>701</v>
      </c>
    </row>
    <row r="45" spans="1:1">
      <c r="A45" s="543" t="s">
        <v>702</v>
      </c>
    </row>
    <row r="46" spans="1:1">
      <c r="A46" s="543" t="s">
        <v>703</v>
      </c>
    </row>
    <row r="47" spans="1:1">
      <c r="A47" s="543" t="s">
        <v>704</v>
      </c>
    </row>
    <row r="48" spans="1:1">
      <c r="A48" s="543" t="s">
        <v>705</v>
      </c>
    </row>
    <row r="49" spans="1:1">
      <c r="A49" s="543" t="s">
        <v>706</v>
      </c>
    </row>
    <row r="50" spans="1:1">
      <c r="A50" s="543" t="s">
        <v>707</v>
      </c>
    </row>
    <row r="51" spans="1:1">
      <c r="A51" s="543" t="s">
        <v>708</v>
      </c>
    </row>
    <row r="52" spans="1:1">
      <c r="A52" s="543" t="s">
        <v>709</v>
      </c>
    </row>
    <row r="53" spans="1:1">
      <c r="A53" s="543" t="s">
        <v>710</v>
      </c>
    </row>
    <row r="54" spans="1:1">
      <c r="A54" s="543" t="s">
        <v>711</v>
      </c>
    </row>
    <row r="55" spans="1:1">
      <c r="A55" s="543" t="s">
        <v>712</v>
      </c>
    </row>
    <row r="56" spans="1:1">
      <c r="A56" s="542" t="s">
        <v>713</v>
      </c>
    </row>
    <row r="57" spans="1:1">
      <c r="A57" s="72" t="s">
        <v>714</v>
      </c>
    </row>
    <row r="63" spans="1:1">
      <c r="A63" s="431" t="s">
        <v>672</v>
      </c>
    </row>
    <row r="64" spans="1:1">
      <c r="A64" s="72" t="s">
        <v>673</v>
      </c>
    </row>
    <row r="66" spans="1:1">
      <c r="A66" s="431" t="s">
        <v>666</v>
      </c>
    </row>
    <row r="67" spans="1:1">
      <c r="A67" s="72" t="s">
        <v>667</v>
      </c>
    </row>
    <row r="68" spans="1:1">
      <c r="A68" s="72" t="s">
        <v>668</v>
      </c>
    </row>
    <row r="69" spans="1:1">
      <c r="A69" s="72" t="s">
        <v>669</v>
      </c>
    </row>
    <row r="71" spans="1:1">
      <c r="A71" s="444" t="s">
        <v>655</v>
      </c>
    </row>
    <row r="72" spans="1:1">
      <c r="A72" s="72" t="s">
        <v>665</v>
      </c>
    </row>
    <row r="74" spans="1:1">
      <c r="A74" s="431" t="s">
        <v>421</v>
      </c>
    </row>
    <row r="75" spans="1:1">
      <c r="A75" s="432" t="s">
        <v>422</v>
      </c>
    </row>
    <row r="76" spans="1:1">
      <c r="A76" s="432" t="s">
        <v>423</v>
      </c>
    </row>
    <row r="77" spans="1:1">
      <c r="A77" s="432" t="s">
        <v>424</v>
      </c>
    </row>
    <row r="78" spans="1:1">
      <c r="A78" s="72" t="s">
        <v>425</v>
      </c>
    </row>
    <row r="80" spans="1:1">
      <c r="A80" s="410" t="s">
        <v>355</v>
      </c>
    </row>
    <row r="81" spans="1:1">
      <c r="A81" s="72" t="s">
        <v>356</v>
      </c>
    </row>
    <row r="82" spans="1:1">
      <c r="A82" s="72" t="s">
        <v>357</v>
      </c>
    </row>
    <row r="83" spans="1:1">
      <c r="A83" s="72" t="s">
        <v>358</v>
      </c>
    </row>
    <row r="84" spans="1:1">
      <c r="A84" s="72" t="s">
        <v>390</v>
      </c>
    </row>
    <row r="85" spans="1:1">
      <c r="A85" s="72" t="s">
        <v>389</v>
      </c>
    </row>
    <row r="86" spans="1:1">
      <c r="A86" s="72" t="s">
        <v>391</v>
      </c>
    </row>
    <row r="87" spans="1:1">
      <c r="A87" s="72" t="s">
        <v>393</v>
      </c>
    </row>
    <row r="88" spans="1:1" ht="22.5" customHeight="1">
      <c r="A88" s="75" t="s">
        <v>392</v>
      </c>
    </row>
    <row r="89" spans="1:1" ht="22.5" customHeight="1">
      <c r="A89" s="75" t="s">
        <v>407</v>
      </c>
    </row>
    <row r="90" spans="1:1" ht="22.5" customHeight="1">
      <c r="A90" s="420" t="s">
        <v>411</v>
      </c>
    </row>
    <row r="92" spans="1:1">
      <c r="A92" s="410" t="s">
        <v>348</v>
      </c>
    </row>
    <row r="93" spans="1:1">
      <c r="A93" s="72" t="s">
        <v>349</v>
      </c>
    </row>
    <row r="94" spans="1:1">
      <c r="A94" s="72" t="s">
        <v>350</v>
      </c>
    </row>
    <row r="96" spans="1:1">
      <c r="A96" s="410" t="s">
        <v>119</v>
      </c>
    </row>
    <row r="97" spans="1:1">
      <c r="A97" s="72" t="s">
        <v>99</v>
      </c>
    </row>
    <row r="98" spans="1:1">
      <c r="A98" s="72" t="s">
        <v>100</v>
      </c>
    </row>
    <row r="99" spans="1:1">
      <c r="A99" s="72" t="s">
        <v>101</v>
      </c>
    </row>
    <row r="100" spans="1:1">
      <c r="A100" s="72" t="s">
        <v>102</v>
      </c>
    </row>
    <row r="101" spans="1:1">
      <c r="A101" s="72" t="s">
        <v>103</v>
      </c>
    </row>
    <row r="102" spans="1:1">
      <c r="A102" s="72" t="s">
        <v>104</v>
      </c>
    </row>
    <row r="103" spans="1:1" ht="31.5">
      <c r="A103" s="75" t="s">
        <v>105</v>
      </c>
    </row>
    <row r="104" spans="1:1" ht="31.5">
      <c r="A104" s="75" t="s">
        <v>106</v>
      </c>
    </row>
    <row r="105" spans="1:1">
      <c r="A105" s="75" t="s">
        <v>107</v>
      </c>
    </row>
    <row r="106" spans="1:1">
      <c r="A106" s="75" t="s">
        <v>108</v>
      </c>
    </row>
    <row r="107" spans="1:1" ht="31.5">
      <c r="A107" s="75" t="s">
        <v>109</v>
      </c>
    </row>
    <row r="108" spans="1:1">
      <c r="A108" s="72" t="s">
        <v>110</v>
      </c>
    </row>
    <row r="109" spans="1:1" ht="31.5">
      <c r="A109" s="75" t="s">
        <v>111</v>
      </c>
    </row>
    <row r="110" spans="1:1">
      <c r="A110" s="72" t="s">
        <v>112</v>
      </c>
    </row>
    <row r="111" spans="1:1">
      <c r="A111" s="72" t="s">
        <v>113</v>
      </c>
    </row>
    <row r="112" spans="1:1">
      <c r="A112" s="72" t="s">
        <v>114</v>
      </c>
    </row>
    <row r="113" spans="1:1">
      <c r="A113" s="72" t="s">
        <v>115</v>
      </c>
    </row>
    <row r="114" spans="1:1" ht="31.5">
      <c r="A114" s="75" t="s">
        <v>116</v>
      </c>
    </row>
    <row r="115" spans="1:1">
      <c r="A115" s="72" t="s">
        <v>117</v>
      </c>
    </row>
    <row r="118" spans="1:1">
      <c r="A118" s="410" t="s">
        <v>93</v>
      </c>
    </row>
    <row r="119" spans="1:1">
      <c r="A119" s="72" t="s">
        <v>96</v>
      </c>
    </row>
    <row r="120" spans="1:1">
      <c r="A120" s="72" t="s">
        <v>94</v>
      </c>
    </row>
    <row r="121" spans="1:1">
      <c r="A121" s="72" t="s">
        <v>95</v>
      </c>
    </row>
    <row r="122" spans="1:1">
      <c r="A122" s="72" t="s">
        <v>359</v>
      </c>
    </row>
    <row r="124" spans="1:1">
      <c r="A124" s="410" t="s">
        <v>89</v>
      </c>
    </row>
    <row r="125" spans="1:1" ht="31.5">
      <c r="A125" s="75" t="s">
        <v>90</v>
      </c>
    </row>
    <row r="126" spans="1:1">
      <c r="A126" s="72" t="s">
        <v>91</v>
      </c>
    </row>
    <row r="127" spans="1:1">
      <c r="A127" s="72" t="s">
        <v>92</v>
      </c>
    </row>
    <row r="130" spans="1:1">
      <c r="A130" s="410" t="s">
        <v>33</v>
      </c>
    </row>
    <row r="131" spans="1:1" ht="47.25">
      <c r="A131" s="75" t="s">
        <v>360</v>
      </c>
    </row>
    <row r="132" spans="1:1">
      <c r="A132" s="72" t="s">
        <v>34</v>
      </c>
    </row>
    <row r="133" spans="1:1">
      <c r="A133" s="72" t="s">
        <v>40</v>
      </c>
    </row>
    <row r="134" spans="1:1">
      <c r="A134" s="72" t="s">
        <v>361</v>
      </c>
    </row>
    <row r="135" spans="1:1">
      <c r="A135" s="72" t="s">
        <v>35</v>
      </c>
    </row>
    <row r="136" spans="1:1">
      <c r="A136" s="72" t="s">
        <v>36</v>
      </c>
    </row>
    <row r="137" spans="1:1">
      <c r="A137" s="72" t="s">
        <v>41</v>
      </c>
    </row>
    <row r="138" spans="1:1">
      <c r="A138" s="75" t="s">
        <v>57</v>
      </c>
    </row>
    <row r="139" spans="1:1" ht="31.5">
      <c r="A139" s="75" t="s">
        <v>124</v>
      </c>
    </row>
    <row r="140" spans="1:1">
      <c r="A140" s="72" t="s">
        <v>42</v>
      </c>
    </row>
    <row r="141" spans="1:1">
      <c r="A141" s="72" t="s">
        <v>43</v>
      </c>
    </row>
    <row r="142" spans="1:1">
      <c r="A142" s="72" t="s">
        <v>362</v>
      </c>
    </row>
    <row r="143" spans="1:1">
      <c r="A143" s="72" t="s">
        <v>56</v>
      </c>
    </row>
    <row r="144" spans="1:1">
      <c r="A144" s="72" t="s">
        <v>363</v>
      </c>
    </row>
    <row r="145" spans="1:1" ht="31.5">
      <c r="A145" s="75" t="s">
        <v>364</v>
      </c>
    </row>
    <row r="146" spans="1:1">
      <c r="A146" s="72" t="s">
        <v>44</v>
      </c>
    </row>
    <row r="147" spans="1:1">
      <c r="A147" s="72" t="s">
        <v>45</v>
      </c>
    </row>
    <row r="148" spans="1:1" ht="31.5">
      <c r="A148" s="75" t="s">
        <v>46</v>
      </c>
    </row>
    <row r="149" spans="1:1">
      <c r="A149" s="72" t="s">
        <v>365</v>
      </c>
    </row>
    <row r="150" spans="1:1">
      <c r="A150" s="72" t="s">
        <v>48</v>
      </c>
    </row>
    <row r="151" spans="1:1">
      <c r="A151" s="72" t="s">
        <v>47</v>
      </c>
    </row>
    <row r="152" spans="1:1">
      <c r="A152" s="72" t="s">
        <v>53</v>
      </c>
    </row>
    <row r="153" spans="1:1">
      <c r="A153" s="72" t="s">
        <v>59</v>
      </c>
    </row>
    <row r="154" spans="1:1">
      <c r="A154" s="72" t="s">
        <v>60</v>
      </c>
    </row>
    <row r="155" spans="1:1">
      <c r="A155" s="72" t="s">
        <v>63</v>
      </c>
    </row>
    <row r="156" spans="1:1">
      <c r="A156" s="72" t="s">
        <v>366</v>
      </c>
    </row>
    <row r="157" spans="1:1">
      <c r="A157" s="72" t="s">
        <v>121</v>
      </c>
    </row>
    <row r="158" spans="1:1">
      <c r="A158" s="72" t="s">
        <v>367</v>
      </c>
    </row>
    <row r="159" spans="1:1">
      <c r="A159" s="72" t="s">
        <v>65</v>
      </c>
    </row>
    <row r="160" spans="1:1">
      <c r="A160" s="72" t="s">
        <v>67</v>
      </c>
    </row>
    <row r="161" spans="1:1">
      <c r="A161" s="72" t="s">
        <v>68</v>
      </c>
    </row>
    <row r="162" spans="1:1">
      <c r="A162" s="72" t="s">
        <v>122</v>
      </c>
    </row>
    <row r="163" spans="1:1">
      <c r="A163" s="72" t="s">
        <v>123</v>
      </c>
    </row>
    <row r="164" spans="1:1">
      <c r="A164" s="72" t="s">
        <v>88</v>
      </c>
    </row>
    <row r="165" spans="1:1">
      <c r="A165" s="72" t="s">
        <v>86</v>
      </c>
    </row>
  </sheetData>
  <sheetProtection sheet="1"/>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4">
    <pageSetUpPr fitToPage="1"/>
  </sheetPr>
  <dimension ref="A1:G58"/>
  <sheetViews>
    <sheetView workbookViewId="0">
      <selection activeCell="G10" sqref="G10"/>
    </sheetView>
  </sheetViews>
  <sheetFormatPr defaultColWidth="8.88671875" defaultRowHeight="15.75"/>
  <cols>
    <col min="1" max="1" width="20.77734375" style="72" customWidth="1"/>
    <col min="2" max="2" width="9.77734375" style="72" customWidth="1"/>
    <col min="3" max="3" width="5.77734375" style="72" customWidth="1"/>
    <col min="4" max="7" width="12.77734375" style="72" customWidth="1"/>
    <col min="8" max="16384" width="8.88671875" style="72"/>
  </cols>
  <sheetData>
    <row r="1" spans="1:7">
      <c r="A1" s="125"/>
      <c r="B1" s="125"/>
      <c r="C1" s="125"/>
      <c r="D1" s="125"/>
      <c r="E1" s="125"/>
      <c r="F1" s="125"/>
      <c r="G1" s="125"/>
    </row>
    <row r="2" spans="1:7">
      <c r="A2" s="125"/>
      <c r="B2" s="125"/>
      <c r="C2" s="125"/>
      <c r="D2" s="125"/>
      <c r="E2" s="125"/>
      <c r="F2" s="125"/>
      <c r="G2" s="125"/>
    </row>
    <row r="3" spans="1:7">
      <c r="A3" s="144" t="str">
        <f>inputPrYr!C2</f>
        <v>Franklin County</v>
      </c>
      <c r="B3" s="125"/>
      <c r="C3" s="125"/>
      <c r="D3" s="125"/>
      <c r="E3" s="125"/>
      <c r="F3" s="125"/>
      <c r="G3" s="125">
        <f>inputPrYr!C4</f>
        <v>2013</v>
      </c>
    </row>
    <row r="4" spans="1:7">
      <c r="A4" s="734" t="s">
        <v>11</v>
      </c>
      <c r="B4" s="754"/>
      <c r="C4" s="754"/>
      <c r="D4" s="754"/>
      <c r="E4" s="754"/>
      <c r="F4" s="754"/>
      <c r="G4" s="754"/>
    </row>
    <row r="5" spans="1:7">
      <c r="A5" s="211"/>
      <c r="B5" s="93"/>
      <c r="C5" s="93"/>
      <c r="D5" s="211"/>
      <c r="E5" s="211"/>
      <c r="F5" s="211"/>
      <c r="G5" s="211"/>
    </row>
    <row r="6" spans="1:7">
      <c r="A6" s="85"/>
      <c r="B6" s="85"/>
      <c r="C6" s="85"/>
      <c r="D6" s="212" t="str">
        <f>CONCATENATE("",G3," Proposed Budget")</f>
        <v>2013 Proposed Budget</v>
      </c>
      <c r="E6" s="213"/>
      <c r="F6" s="213"/>
      <c r="G6" s="214"/>
    </row>
    <row r="7" spans="1:7" ht="21" customHeight="1">
      <c r="A7" s="85"/>
      <c r="B7" s="85"/>
      <c r="C7" s="215" t="s">
        <v>135</v>
      </c>
      <c r="D7" s="493" t="s">
        <v>674</v>
      </c>
      <c r="E7" s="761" t="str">
        <f>CONCATENATE("Amount of ",G3-1,"      Ad Valorem Tax")</f>
        <v>Amount of 2012      Ad Valorem Tax</v>
      </c>
      <c r="F7" s="761" t="s">
        <v>320</v>
      </c>
      <c r="G7" s="215" t="s">
        <v>136</v>
      </c>
    </row>
    <row r="8" spans="1:7">
      <c r="A8" s="216" t="s">
        <v>10</v>
      </c>
      <c r="B8" s="114"/>
      <c r="C8" s="217" t="s">
        <v>138</v>
      </c>
      <c r="D8" s="494" t="s">
        <v>675</v>
      </c>
      <c r="E8" s="741"/>
      <c r="F8" s="741"/>
      <c r="G8" s="217" t="s">
        <v>140</v>
      </c>
    </row>
    <row r="9" spans="1:7">
      <c r="A9" s="218" t="s">
        <v>9</v>
      </c>
      <c r="B9" s="219" t="s">
        <v>144</v>
      </c>
      <c r="C9" s="108"/>
      <c r="D9" s="108"/>
      <c r="E9" s="108"/>
      <c r="F9" s="108"/>
      <c r="G9" s="108"/>
    </row>
    <row r="10" spans="1:7">
      <c r="A10" s="220"/>
      <c r="B10" s="147"/>
      <c r="C10" s="147"/>
      <c r="D10" s="147"/>
      <c r="E10" s="147"/>
      <c r="F10" s="147"/>
      <c r="G10" s="192" t="str">
        <f>IF(AND(D10=0,F10&gt;=0)," ",IF(AND(E10&gt;0,F10=0)," ",IF(AND(E10&gt;0,F10&gt;0),ROUND(E10/F10*1000,3))))</f>
        <v xml:space="preserve"> </v>
      </c>
    </row>
    <row r="11" spans="1:7">
      <c r="A11" s="147"/>
      <c r="B11" s="147"/>
      <c r="C11" s="147"/>
      <c r="D11" s="147"/>
      <c r="E11" s="147"/>
      <c r="F11" s="147"/>
      <c r="G11" s="192" t="str">
        <f t="shared" ref="G11:G38" si="0">IF(AND(D11=0,F11&gt;=0)," ",IF(AND(E11&gt;0,F11=0)," ",IF(AND(E11&gt;0,F11&gt;0),ROUND(E11/F11*1000,3))))</f>
        <v xml:space="preserve"> </v>
      </c>
    </row>
    <row r="12" spans="1:7">
      <c r="A12" s="147"/>
      <c r="B12" s="147"/>
      <c r="C12" s="147"/>
      <c r="D12" s="147"/>
      <c r="E12" s="147"/>
      <c r="F12" s="147"/>
      <c r="G12" s="192" t="str">
        <f t="shared" si="0"/>
        <v xml:space="preserve"> </v>
      </c>
    </row>
    <row r="13" spans="1:7">
      <c r="A13" s="147"/>
      <c r="B13" s="147"/>
      <c r="C13" s="147"/>
      <c r="D13" s="147"/>
      <c r="E13" s="147"/>
      <c r="F13" s="147"/>
      <c r="G13" s="192" t="str">
        <f t="shared" si="0"/>
        <v xml:space="preserve"> </v>
      </c>
    </row>
    <row r="14" spans="1:7">
      <c r="A14" s="147"/>
      <c r="B14" s="147"/>
      <c r="C14" s="147"/>
      <c r="D14" s="147"/>
      <c r="E14" s="147"/>
      <c r="F14" s="147"/>
      <c r="G14" s="192" t="str">
        <f t="shared" si="0"/>
        <v xml:space="preserve"> </v>
      </c>
    </row>
    <row r="15" spans="1:7">
      <c r="A15" s="147"/>
      <c r="B15" s="147"/>
      <c r="C15" s="147"/>
      <c r="D15" s="147"/>
      <c r="E15" s="147"/>
      <c r="F15" s="147"/>
      <c r="G15" s="192" t="str">
        <f t="shared" si="0"/>
        <v xml:space="preserve"> </v>
      </c>
    </row>
    <row r="16" spans="1:7">
      <c r="A16" s="147"/>
      <c r="B16" s="147"/>
      <c r="C16" s="147"/>
      <c r="D16" s="147"/>
      <c r="E16" s="147"/>
      <c r="F16" s="147"/>
      <c r="G16" s="192" t="str">
        <f t="shared" si="0"/>
        <v xml:space="preserve"> </v>
      </c>
    </row>
    <row r="17" spans="1:7">
      <c r="A17" s="147"/>
      <c r="B17" s="147"/>
      <c r="C17" s="147"/>
      <c r="D17" s="147"/>
      <c r="E17" s="147"/>
      <c r="F17" s="147"/>
      <c r="G17" s="192" t="str">
        <f t="shared" si="0"/>
        <v xml:space="preserve"> </v>
      </c>
    </row>
    <row r="18" spans="1:7">
      <c r="A18" s="147"/>
      <c r="B18" s="147"/>
      <c r="C18" s="147"/>
      <c r="D18" s="147"/>
      <c r="E18" s="147"/>
      <c r="F18" s="147"/>
      <c r="G18" s="192" t="str">
        <f t="shared" si="0"/>
        <v xml:space="preserve"> </v>
      </c>
    </row>
    <row r="19" spans="1:7">
      <c r="A19" s="147"/>
      <c r="B19" s="147"/>
      <c r="C19" s="147"/>
      <c r="D19" s="147"/>
      <c r="E19" s="147"/>
      <c r="F19" s="147"/>
      <c r="G19" s="192" t="str">
        <f t="shared" si="0"/>
        <v xml:space="preserve"> </v>
      </c>
    </row>
    <row r="20" spans="1:7">
      <c r="A20" s="147"/>
      <c r="B20" s="147"/>
      <c r="C20" s="147"/>
      <c r="D20" s="147"/>
      <c r="E20" s="147"/>
      <c r="F20" s="147"/>
      <c r="G20" s="192" t="str">
        <f t="shared" si="0"/>
        <v xml:space="preserve"> </v>
      </c>
    </row>
    <row r="21" spans="1:7">
      <c r="A21" s="147"/>
      <c r="B21" s="147"/>
      <c r="C21" s="147"/>
      <c r="D21" s="147"/>
      <c r="E21" s="147"/>
      <c r="F21" s="147"/>
      <c r="G21" s="192" t="str">
        <f t="shared" si="0"/>
        <v xml:space="preserve"> </v>
      </c>
    </row>
    <row r="22" spans="1:7">
      <c r="A22" s="147"/>
      <c r="B22" s="147"/>
      <c r="C22" s="147"/>
      <c r="D22" s="147"/>
      <c r="E22" s="147"/>
      <c r="F22" s="147"/>
      <c r="G22" s="192" t="str">
        <f t="shared" si="0"/>
        <v xml:space="preserve"> </v>
      </c>
    </row>
    <row r="23" spans="1:7">
      <c r="A23" s="147"/>
      <c r="B23" s="147"/>
      <c r="C23" s="147"/>
      <c r="D23" s="147"/>
      <c r="E23" s="147"/>
      <c r="F23" s="147"/>
      <c r="G23" s="192" t="str">
        <f t="shared" si="0"/>
        <v xml:space="preserve"> </v>
      </c>
    </row>
    <row r="24" spans="1:7">
      <c r="A24" s="147"/>
      <c r="B24" s="147"/>
      <c r="C24" s="147"/>
      <c r="D24" s="147"/>
      <c r="E24" s="147"/>
      <c r="F24" s="147"/>
      <c r="G24" s="192" t="str">
        <f t="shared" si="0"/>
        <v xml:space="preserve"> </v>
      </c>
    </row>
    <row r="25" spans="1:7">
      <c r="A25" s="147"/>
      <c r="B25" s="147"/>
      <c r="C25" s="147"/>
      <c r="D25" s="147"/>
      <c r="E25" s="147"/>
      <c r="F25" s="147"/>
      <c r="G25" s="192" t="str">
        <f t="shared" si="0"/>
        <v xml:space="preserve"> </v>
      </c>
    </row>
    <row r="26" spans="1:7">
      <c r="A26" s="147"/>
      <c r="B26" s="147"/>
      <c r="C26" s="147"/>
      <c r="D26" s="147"/>
      <c r="E26" s="147"/>
      <c r="F26" s="147"/>
      <c r="G26" s="192" t="str">
        <f t="shared" si="0"/>
        <v xml:space="preserve"> </v>
      </c>
    </row>
    <row r="27" spans="1:7">
      <c r="A27" s="147"/>
      <c r="B27" s="147"/>
      <c r="C27" s="147"/>
      <c r="D27" s="147"/>
      <c r="E27" s="147"/>
      <c r="F27" s="147"/>
      <c r="G27" s="192" t="str">
        <f t="shared" si="0"/>
        <v xml:space="preserve"> </v>
      </c>
    </row>
    <row r="28" spans="1:7">
      <c r="A28" s="147"/>
      <c r="B28" s="147"/>
      <c r="C28" s="147"/>
      <c r="D28" s="147"/>
      <c r="E28" s="147"/>
      <c r="F28" s="147"/>
      <c r="G28" s="192" t="str">
        <f t="shared" si="0"/>
        <v xml:space="preserve"> </v>
      </c>
    </row>
    <row r="29" spans="1:7">
      <c r="A29" s="147"/>
      <c r="B29" s="111"/>
      <c r="C29" s="147"/>
      <c r="D29" s="147"/>
      <c r="E29" s="111"/>
      <c r="F29" s="111"/>
      <c r="G29" s="192" t="str">
        <f t="shared" si="0"/>
        <v xml:space="preserve"> </v>
      </c>
    </row>
    <row r="30" spans="1:7">
      <c r="A30" s="147"/>
      <c r="B30" s="111"/>
      <c r="C30" s="147"/>
      <c r="D30" s="147"/>
      <c r="E30" s="111"/>
      <c r="F30" s="111"/>
      <c r="G30" s="192" t="str">
        <f t="shared" si="0"/>
        <v xml:space="preserve"> </v>
      </c>
    </row>
    <row r="31" spans="1:7">
      <c r="A31" s="147"/>
      <c r="B31" s="111"/>
      <c r="C31" s="147"/>
      <c r="D31" s="147"/>
      <c r="E31" s="111"/>
      <c r="F31" s="111"/>
      <c r="G31" s="192" t="str">
        <f t="shared" si="0"/>
        <v xml:space="preserve"> </v>
      </c>
    </row>
    <row r="32" spans="1:7">
      <c r="A32" s="147"/>
      <c r="B32" s="111"/>
      <c r="C32" s="147"/>
      <c r="D32" s="147"/>
      <c r="E32" s="111"/>
      <c r="F32" s="111"/>
      <c r="G32" s="192" t="str">
        <f t="shared" si="0"/>
        <v xml:space="preserve"> </v>
      </c>
    </row>
    <row r="33" spans="1:7">
      <c r="A33" s="147"/>
      <c r="B33" s="111"/>
      <c r="C33" s="147"/>
      <c r="D33" s="147"/>
      <c r="E33" s="111"/>
      <c r="F33" s="111"/>
      <c r="G33" s="192" t="str">
        <f t="shared" si="0"/>
        <v xml:space="preserve"> </v>
      </c>
    </row>
    <row r="34" spans="1:7">
      <c r="A34" s="147"/>
      <c r="B34" s="111"/>
      <c r="C34" s="147"/>
      <c r="D34" s="147"/>
      <c r="E34" s="111"/>
      <c r="F34" s="111"/>
      <c r="G34" s="192" t="str">
        <f t="shared" si="0"/>
        <v xml:space="preserve"> </v>
      </c>
    </row>
    <row r="35" spans="1:7">
      <c r="A35" s="147"/>
      <c r="B35" s="111"/>
      <c r="C35" s="147"/>
      <c r="D35" s="147"/>
      <c r="E35" s="111"/>
      <c r="F35" s="111"/>
      <c r="G35" s="192" t="str">
        <f t="shared" si="0"/>
        <v xml:space="preserve"> </v>
      </c>
    </row>
    <row r="36" spans="1:7">
      <c r="A36" s="147"/>
      <c r="B36" s="111"/>
      <c r="C36" s="147"/>
      <c r="D36" s="147"/>
      <c r="E36" s="111"/>
      <c r="F36" s="111"/>
      <c r="G36" s="192" t="str">
        <f t="shared" si="0"/>
        <v xml:space="preserve"> </v>
      </c>
    </row>
    <row r="37" spans="1:7">
      <c r="A37" s="147"/>
      <c r="B37" s="111"/>
      <c r="C37" s="147"/>
      <c r="D37" s="147"/>
      <c r="E37" s="111"/>
      <c r="F37" s="111"/>
      <c r="G37" s="192" t="str">
        <f t="shared" si="0"/>
        <v xml:space="preserve"> </v>
      </c>
    </row>
    <row r="38" spans="1:7">
      <c r="A38" s="147"/>
      <c r="B38" s="111"/>
      <c r="C38" s="147"/>
      <c r="D38" s="147"/>
      <c r="E38" s="111"/>
      <c r="F38" s="111"/>
      <c r="G38" s="192" t="str">
        <f t="shared" si="0"/>
        <v xml:space="preserve"> </v>
      </c>
    </row>
    <row r="39" spans="1:7" ht="16.5" thickBot="1">
      <c r="A39" s="148" t="s">
        <v>145</v>
      </c>
      <c r="B39" s="115"/>
      <c r="C39" s="221" t="s">
        <v>146</v>
      </c>
      <c r="D39" s="222">
        <f>SUM(D10:D38)</f>
        <v>0</v>
      </c>
      <c r="E39" s="222">
        <f>SUM(E10:E38)</f>
        <v>0</v>
      </c>
      <c r="F39" s="222"/>
      <c r="G39" s="223">
        <f>SUM(G10:G38)</f>
        <v>0</v>
      </c>
    </row>
    <row r="40" spans="1:7" ht="16.5" thickTop="1">
      <c r="A40" s="121"/>
      <c r="B40" s="88"/>
      <c r="C40" s="224"/>
      <c r="D40" s="85"/>
      <c r="E40" s="85"/>
      <c r="F40" s="85"/>
      <c r="G40" s="85"/>
    </row>
    <row r="41" spans="1:7">
      <c r="A41" s="121"/>
      <c r="B41" s="85"/>
      <c r="C41" s="85"/>
      <c r="D41" s="85"/>
      <c r="E41" s="85"/>
      <c r="F41" s="85"/>
      <c r="G41" s="85"/>
    </row>
    <row r="42" spans="1:7">
      <c r="A42" s="225"/>
      <c r="B42" s="143"/>
      <c r="C42" s="143"/>
      <c r="D42" s="143"/>
      <c r="E42" s="143"/>
      <c r="F42" s="143"/>
      <c r="G42" s="143"/>
    </row>
    <row r="43" spans="1:7">
      <c r="A43" s="226"/>
      <c r="B43" s="226"/>
      <c r="C43" s="226"/>
      <c r="D43" s="226"/>
      <c r="E43" s="226"/>
      <c r="F43" s="226"/>
      <c r="G43" s="226"/>
    </row>
    <row r="44" spans="1:7">
      <c r="A44" s="143"/>
      <c r="B44" s="143"/>
      <c r="C44" s="143"/>
      <c r="D44" s="143"/>
      <c r="E44" s="143"/>
      <c r="F44" s="143"/>
      <c r="G44" s="227"/>
    </row>
    <row r="54" spans="1:7">
      <c r="A54" s="143"/>
      <c r="B54" s="143"/>
      <c r="C54" s="143"/>
      <c r="D54" s="143"/>
      <c r="E54" s="143"/>
      <c r="F54" s="143"/>
      <c r="G54" s="143"/>
    </row>
    <row r="58" spans="1:7">
      <c r="A58" s="143"/>
      <c r="B58" s="143"/>
      <c r="C58" s="143"/>
      <c r="D58" s="225"/>
      <c r="E58" s="143"/>
      <c r="F58" s="143"/>
      <c r="G58" s="143"/>
    </row>
  </sheetData>
  <sheetProtection sheet="1"/>
  <mergeCells count="3">
    <mergeCell ref="E7:E8"/>
    <mergeCell ref="F7:F8"/>
    <mergeCell ref="A4:G4"/>
  </mergeCells>
  <phoneticPr fontId="0" type="noConversion"/>
  <pageMargins left="0.5" right="0.5" top="0" bottom="0.23" header="0" footer="0"/>
  <pageSetup scale="91" orientation="portrait" blackAndWhite="1" horizontalDpi="120" verticalDpi="144" r:id="rId1"/>
  <headerFooter alignWithMargins="0">
    <oddHeader xml:space="preserve">&amp;RState of Kansas
County
</oddHeader>
    <oddFooter>&amp;CPage No. 1a</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J38"/>
  <sheetViews>
    <sheetView topLeftCell="A17" zoomScale="85" workbookViewId="0">
      <selection activeCell="I56" sqref="I56"/>
    </sheetView>
  </sheetViews>
  <sheetFormatPr defaultColWidth="8.88671875" defaultRowHeight="15.95" customHeight="1"/>
  <cols>
    <col min="1" max="2" width="3.33203125" style="72" customWidth="1"/>
    <col min="3" max="3" width="31.33203125" style="72" customWidth="1"/>
    <col min="4" max="4" width="2.33203125" style="72" customWidth="1"/>
    <col min="5" max="5" width="15.77734375" style="72" customWidth="1"/>
    <col min="6" max="6" width="2" style="72" customWidth="1"/>
    <col min="7" max="7" width="15.77734375" style="72" customWidth="1"/>
    <col min="8" max="8" width="1.88671875" style="72" customWidth="1"/>
    <col min="9" max="9" width="1.77734375" style="72" customWidth="1"/>
    <col min="10" max="10" width="15.77734375" style="72" customWidth="1"/>
    <col min="11" max="16384" width="8.88671875" style="72"/>
  </cols>
  <sheetData>
    <row r="1" spans="1:10" ht="15.95" customHeight="1">
      <c r="A1" s="85"/>
      <c r="B1" s="85"/>
      <c r="C1" s="228" t="str">
        <f>inputPrYr!C2</f>
        <v>Franklin County</v>
      </c>
      <c r="D1" s="85"/>
      <c r="E1" s="85"/>
      <c r="F1" s="85"/>
      <c r="G1" s="85"/>
      <c r="H1" s="85"/>
      <c r="I1" s="85"/>
      <c r="J1" s="85">
        <f>inputPrYr!C4</f>
        <v>2013</v>
      </c>
    </row>
    <row r="2" spans="1:10" ht="15.95" customHeight="1">
      <c r="A2" s="85"/>
      <c r="B2" s="85"/>
      <c r="C2" s="85"/>
      <c r="D2" s="85"/>
      <c r="E2" s="85"/>
      <c r="F2" s="85"/>
      <c r="G2" s="85"/>
      <c r="H2" s="85"/>
      <c r="I2" s="85"/>
      <c r="J2" s="85"/>
    </row>
    <row r="3" spans="1:10" ht="15.75">
      <c r="A3" s="734" t="str">
        <f>CONCATENATE("Computation to Determine Limit for ",J1,"")</f>
        <v>Computation to Determine Limit for 2013</v>
      </c>
      <c r="B3" s="763"/>
      <c r="C3" s="763"/>
      <c r="D3" s="763"/>
      <c r="E3" s="763"/>
      <c r="F3" s="763"/>
      <c r="G3" s="763"/>
      <c r="H3" s="763"/>
      <c r="I3" s="763"/>
      <c r="J3" s="763"/>
    </row>
    <row r="4" spans="1:10" ht="15.75">
      <c r="A4" s="85"/>
      <c r="B4" s="85"/>
      <c r="C4" s="85"/>
      <c r="D4" s="85"/>
      <c r="E4" s="763"/>
      <c r="F4" s="763"/>
      <c r="G4" s="763"/>
      <c r="H4" s="229"/>
      <c r="I4" s="85"/>
      <c r="J4" s="230" t="s">
        <v>244</v>
      </c>
    </row>
    <row r="5" spans="1:10" ht="15.75">
      <c r="A5" s="231" t="s">
        <v>245</v>
      </c>
      <c r="B5" s="85" t="str">
        <f>CONCATENATE("Total Tax Levy Amount in ",J1-1," Budget")</f>
        <v>Total Tax Levy Amount in 2012 Budget</v>
      </c>
      <c r="C5" s="85"/>
      <c r="D5" s="85"/>
      <c r="E5" s="145"/>
      <c r="F5" s="145"/>
      <c r="G5" s="145"/>
      <c r="H5" s="232" t="s">
        <v>246</v>
      </c>
      <c r="I5" s="145" t="s">
        <v>247</v>
      </c>
      <c r="J5" s="233">
        <f>inputPrYr!E41</f>
        <v>12305724</v>
      </c>
    </row>
    <row r="6" spans="1:10" ht="15.75">
      <c r="A6" s="231" t="s">
        <v>248</v>
      </c>
      <c r="B6" s="85" t="str">
        <f>CONCATENATE("Debt Service Levy in ",J1-1," Budget")</f>
        <v>Debt Service Levy in 2012 Budget</v>
      </c>
      <c r="C6" s="85"/>
      <c r="D6" s="85"/>
      <c r="E6" s="145"/>
      <c r="F6" s="145"/>
      <c r="G6" s="145"/>
      <c r="H6" s="232" t="s">
        <v>249</v>
      </c>
      <c r="I6" s="145" t="s">
        <v>247</v>
      </c>
      <c r="J6" s="151">
        <f>inputPrYr!E17</f>
        <v>940342</v>
      </c>
    </row>
    <row r="7" spans="1:10" ht="15.75">
      <c r="A7" s="231" t="s">
        <v>250</v>
      </c>
      <c r="B7" s="152" t="s">
        <v>269</v>
      </c>
      <c r="C7" s="85"/>
      <c r="D7" s="85"/>
      <c r="E7" s="145"/>
      <c r="F7" s="145"/>
      <c r="G7" s="145"/>
      <c r="H7" s="145"/>
      <c r="I7" s="145" t="s">
        <v>247</v>
      </c>
      <c r="J7" s="151">
        <f>J5-J6</f>
        <v>11365382</v>
      </c>
    </row>
    <row r="8" spans="1:10" ht="15.75">
      <c r="A8" s="85"/>
      <c r="B8" s="85"/>
      <c r="C8" s="85"/>
      <c r="D8" s="85"/>
      <c r="E8" s="145"/>
      <c r="F8" s="145"/>
      <c r="G8" s="145"/>
      <c r="H8" s="145"/>
      <c r="I8" s="145"/>
      <c r="J8" s="145"/>
    </row>
    <row r="9" spans="1:10" ht="15.75">
      <c r="A9" s="85"/>
      <c r="B9" s="152" t="str">
        <f>CONCATENATE("",J1-1," Valuation Information for Valuation Adjustments:")</f>
        <v>2012 Valuation Information for Valuation Adjustments:</v>
      </c>
      <c r="C9" s="85"/>
      <c r="D9" s="85"/>
      <c r="E9" s="145"/>
      <c r="F9" s="145"/>
      <c r="G9" s="145"/>
      <c r="H9" s="145"/>
      <c r="I9" s="145"/>
      <c r="J9" s="145"/>
    </row>
    <row r="10" spans="1:10" ht="15.75">
      <c r="A10" s="85"/>
      <c r="B10" s="85"/>
      <c r="C10" s="152"/>
      <c r="D10" s="85"/>
      <c r="E10" s="145"/>
      <c r="F10" s="145"/>
      <c r="G10" s="145"/>
      <c r="H10" s="145"/>
      <c r="I10" s="145"/>
      <c r="J10" s="145"/>
    </row>
    <row r="11" spans="1:10" ht="15.75">
      <c r="A11" s="231" t="s">
        <v>251</v>
      </c>
      <c r="B11" s="152" t="str">
        <f>CONCATENATE("New Improvements for ",J1-1,":")</f>
        <v>New Improvements for 2012:</v>
      </c>
      <c r="C11" s="85"/>
      <c r="D11" s="85"/>
      <c r="E11" s="232"/>
      <c r="F11" s="232" t="s">
        <v>246</v>
      </c>
      <c r="G11" s="233">
        <f>inputOth!E7</f>
        <v>1606580</v>
      </c>
      <c r="H11" s="123"/>
      <c r="I11" s="145"/>
      <c r="J11" s="145"/>
    </row>
    <row r="12" spans="1:10" ht="15.75">
      <c r="A12" s="231"/>
      <c r="B12" s="231"/>
      <c r="C12" s="85"/>
      <c r="D12" s="85"/>
      <c r="E12" s="232"/>
      <c r="F12" s="232"/>
      <c r="G12" s="123"/>
      <c r="H12" s="123"/>
      <c r="I12" s="145"/>
      <c r="J12" s="145"/>
    </row>
    <row r="13" spans="1:10" ht="15.75">
      <c r="A13" s="231" t="s">
        <v>252</v>
      </c>
      <c r="B13" s="152" t="str">
        <f>CONCATENATE("Increase in Personal Property for ",J1-1,":")</f>
        <v>Increase in Personal Property for 2012:</v>
      </c>
      <c r="C13" s="85"/>
      <c r="D13" s="85"/>
      <c r="E13" s="232"/>
      <c r="F13" s="232"/>
      <c r="G13" s="123"/>
      <c r="H13" s="123"/>
      <c r="I13" s="145"/>
      <c r="J13" s="145"/>
    </row>
    <row r="14" spans="1:10" ht="15.75">
      <c r="A14" s="85"/>
      <c r="B14" s="85" t="s">
        <v>253</v>
      </c>
      <c r="C14" s="85" t="str">
        <f>CONCATENATE("Personal Property ",J1-1,"")</f>
        <v>Personal Property 2012</v>
      </c>
      <c r="D14" s="231" t="s">
        <v>246</v>
      </c>
      <c r="E14" s="233">
        <f>inputOth!E8</f>
        <v>8841747</v>
      </c>
      <c r="F14" s="232"/>
      <c r="G14" s="145"/>
      <c r="H14" s="145"/>
      <c r="I14" s="123"/>
      <c r="J14" s="145"/>
    </row>
    <row r="15" spans="1:10" ht="15.75">
      <c r="A15" s="231"/>
      <c r="B15" s="85" t="s">
        <v>254</v>
      </c>
      <c r="C15" s="85" t="str">
        <f>CONCATENATE("Personal Property ",J1-2,"")</f>
        <v>Personal Property 2011</v>
      </c>
      <c r="D15" s="231" t="s">
        <v>249</v>
      </c>
      <c r="E15" s="151">
        <f>inputOth!E10</f>
        <v>9041043</v>
      </c>
      <c r="F15" s="232"/>
      <c r="G15" s="123"/>
      <c r="H15" s="123"/>
      <c r="I15" s="145"/>
      <c r="J15" s="145"/>
    </row>
    <row r="16" spans="1:10" ht="15.75">
      <c r="A16" s="231"/>
      <c r="B16" s="85" t="s">
        <v>255</v>
      </c>
      <c r="C16" s="85" t="s">
        <v>271</v>
      </c>
      <c r="D16" s="85"/>
      <c r="E16" s="145"/>
      <c r="F16" s="145" t="s">
        <v>246</v>
      </c>
      <c r="G16" s="233">
        <f>IF(E14&gt;E15,E14-E15,0)</f>
        <v>0</v>
      </c>
      <c r="H16" s="123"/>
      <c r="I16" s="145"/>
      <c r="J16" s="145"/>
    </row>
    <row r="17" spans="1:10" ht="15.75">
      <c r="A17" s="231"/>
      <c r="B17" s="231"/>
      <c r="C17" s="85"/>
      <c r="D17" s="85"/>
      <c r="E17" s="145"/>
      <c r="F17" s="145"/>
      <c r="G17" s="123" t="s">
        <v>261</v>
      </c>
      <c r="H17" s="123"/>
      <c r="I17" s="145"/>
      <c r="J17" s="145"/>
    </row>
    <row r="18" spans="1:10" ht="15.75">
      <c r="A18" s="231"/>
      <c r="B18" s="231"/>
      <c r="C18" s="85"/>
      <c r="D18" s="231"/>
      <c r="E18" s="123"/>
      <c r="F18" s="145"/>
      <c r="G18" s="123"/>
      <c r="H18" s="123"/>
      <c r="I18" s="145"/>
      <c r="J18" s="145"/>
    </row>
    <row r="19" spans="1:10" ht="15.75">
      <c r="A19" s="231" t="s">
        <v>256</v>
      </c>
      <c r="B19" s="152" t="str">
        <f>CONCATENATE("Valuation of Property that has Changed in Use during ",J1-1,":")</f>
        <v>Valuation of Property that has Changed in Use during 2012:</v>
      </c>
      <c r="C19" s="85"/>
      <c r="D19" s="85"/>
      <c r="E19" s="145"/>
      <c r="F19" s="145"/>
      <c r="G19" s="145">
        <f>inputOth!E9</f>
        <v>846441</v>
      </c>
      <c r="H19" s="145"/>
      <c r="I19" s="145"/>
      <c r="J19" s="145"/>
    </row>
    <row r="20" spans="1:10" ht="15.75">
      <c r="A20" s="231"/>
      <c r="B20" s="85"/>
      <c r="C20" s="85"/>
      <c r="D20" s="231"/>
      <c r="E20" s="123"/>
      <c r="F20" s="145"/>
      <c r="G20" s="234"/>
      <c r="H20" s="123"/>
      <c r="I20" s="145"/>
      <c r="J20" s="145"/>
    </row>
    <row r="21" spans="1:10" ht="15.75">
      <c r="A21" s="231" t="s">
        <v>265</v>
      </c>
      <c r="B21" s="152" t="s">
        <v>270</v>
      </c>
      <c r="C21" s="85"/>
      <c r="D21" s="85"/>
      <c r="E21" s="145"/>
      <c r="F21" s="145"/>
      <c r="G21" s="233">
        <f>G11+G16+G19</f>
        <v>2453021</v>
      </c>
      <c r="H21" s="123"/>
      <c r="I21" s="145"/>
      <c r="J21" s="145"/>
    </row>
    <row r="22" spans="1:10" ht="15.75">
      <c r="A22" s="231"/>
      <c r="B22" s="231"/>
      <c r="C22" s="152"/>
      <c r="D22" s="85"/>
      <c r="E22" s="145"/>
      <c r="F22" s="145"/>
      <c r="G22" s="123"/>
      <c r="H22" s="123"/>
      <c r="I22" s="145"/>
      <c r="J22" s="145"/>
    </row>
    <row r="23" spans="1:10" ht="15.75">
      <c r="A23" s="231" t="s">
        <v>266</v>
      </c>
      <c r="B23" s="85" t="str">
        <f>CONCATENATE("Total Estimated Valuation July 1,",J1-1,"")</f>
        <v>Total Estimated Valuation July 1,2012</v>
      </c>
      <c r="C23" s="85"/>
      <c r="D23" s="85"/>
      <c r="E23" s="233">
        <f>inputOth!E6</f>
        <v>213159007</v>
      </c>
      <c r="F23" s="145"/>
      <c r="G23" s="145"/>
      <c r="H23" s="145"/>
      <c r="I23" s="232"/>
      <c r="J23" s="145"/>
    </row>
    <row r="24" spans="1:10" ht="15.75">
      <c r="A24" s="231"/>
      <c r="B24" s="231"/>
      <c r="C24" s="85"/>
      <c r="D24" s="85"/>
      <c r="E24" s="123"/>
      <c r="F24" s="145"/>
      <c r="G24" s="145"/>
      <c r="H24" s="145"/>
      <c r="I24" s="232"/>
      <c r="J24" s="145"/>
    </row>
    <row r="25" spans="1:10" ht="15.75">
      <c r="A25" s="231" t="s">
        <v>257</v>
      </c>
      <c r="B25" s="152" t="s">
        <v>274</v>
      </c>
      <c r="C25" s="85"/>
      <c r="D25" s="85"/>
      <c r="E25" s="145"/>
      <c r="F25" s="145"/>
      <c r="G25" s="233">
        <f>E23-G21</f>
        <v>210705986</v>
      </c>
      <c r="H25" s="123"/>
      <c r="I25" s="232"/>
      <c r="J25" s="145"/>
    </row>
    <row r="26" spans="1:10" ht="15.75">
      <c r="A26" s="231"/>
      <c r="B26" s="231"/>
      <c r="C26" s="152"/>
      <c r="D26" s="85"/>
      <c r="E26" s="85"/>
      <c r="F26" s="85"/>
      <c r="G26" s="235"/>
      <c r="H26" s="88"/>
      <c r="I26" s="231"/>
      <c r="J26" s="85"/>
    </row>
    <row r="27" spans="1:10" ht="15.75">
      <c r="A27" s="231" t="s">
        <v>258</v>
      </c>
      <c r="B27" s="85" t="s">
        <v>273</v>
      </c>
      <c r="C27" s="85"/>
      <c r="D27" s="85"/>
      <c r="E27" s="85"/>
      <c r="F27" s="85"/>
      <c r="G27" s="236">
        <f>IF(G21&gt;0,G21/G25,0)</f>
        <v>1.1641914150459873E-2</v>
      </c>
      <c r="H27" s="88"/>
      <c r="I27" s="85"/>
      <c r="J27" s="85"/>
    </row>
    <row r="28" spans="1:10" ht="15.75">
      <c r="A28" s="231"/>
      <c r="B28" s="231"/>
      <c r="C28" s="85"/>
      <c r="D28" s="85"/>
      <c r="E28" s="85"/>
      <c r="F28" s="85"/>
      <c r="G28" s="88"/>
      <c r="H28" s="88"/>
      <c r="I28" s="85"/>
      <c r="J28" s="85"/>
    </row>
    <row r="29" spans="1:10" ht="15.75">
      <c r="A29" s="231" t="s">
        <v>259</v>
      </c>
      <c r="B29" s="85" t="s">
        <v>272</v>
      </c>
      <c r="C29" s="85"/>
      <c r="D29" s="85"/>
      <c r="E29" s="85"/>
      <c r="F29" s="85"/>
      <c r="G29" s="88"/>
      <c r="H29" s="237" t="s">
        <v>246</v>
      </c>
      <c r="I29" s="85" t="s">
        <v>247</v>
      </c>
      <c r="J29" s="233">
        <f>ROUND(G27*J7,0)</f>
        <v>132315</v>
      </c>
    </row>
    <row r="30" spans="1:10" ht="15.75">
      <c r="A30" s="231"/>
      <c r="B30" s="231"/>
      <c r="C30" s="85"/>
      <c r="D30" s="85"/>
      <c r="E30" s="85"/>
      <c r="F30" s="85"/>
      <c r="G30" s="88"/>
      <c r="H30" s="237"/>
      <c r="I30" s="85"/>
      <c r="J30" s="123"/>
    </row>
    <row r="31" spans="1:10" ht="16.5" thickBot="1">
      <c r="A31" s="231" t="s">
        <v>260</v>
      </c>
      <c r="B31" s="152" t="s">
        <v>278</v>
      </c>
      <c r="C31" s="85"/>
      <c r="D31" s="85"/>
      <c r="E31" s="85"/>
      <c r="F31" s="85"/>
      <c r="G31" s="85"/>
      <c r="H31" s="85"/>
      <c r="I31" s="85" t="s">
        <v>247</v>
      </c>
      <c r="J31" s="238">
        <f>J7+J29</f>
        <v>11497697</v>
      </c>
    </row>
    <row r="32" spans="1:10" ht="16.5" thickTop="1">
      <c r="A32" s="85"/>
      <c r="B32" s="85"/>
      <c r="C32" s="85"/>
      <c r="D32" s="85"/>
      <c r="E32" s="85"/>
      <c r="F32" s="85"/>
      <c r="G32" s="85"/>
      <c r="H32" s="85"/>
      <c r="I32" s="85"/>
      <c r="J32" s="85"/>
    </row>
    <row r="33" spans="1:10" ht="15.75">
      <c r="A33" s="231" t="s">
        <v>276</v>
      </c>
      <c r="B33" s="152" t="str">
        <f>CONCATENATE("Debt Service Levy in this ",J1," Budget")</f>
        <v>Debt Service Levy in this 2013 Budget</v>
      </c>
      <c r="C33" s="85"/>
      <c r="D33" s="85"/>
      <c r="E33" s="85"/>
      <c r="F33" s="85"/>
      <c r="G33" s="85"/>
      <c r="H33" s="85"/>
      <c r="I33" s="85"/>
      <c r="J33" s="233">
        <f>'Bond &amp; Interest'!E57</f>
        <v>1010334</v>
      </c>
    </row>
    <row r="34" spans="1:10" ht="15.75">
      <c r="A34" s="231"/>
      <c r="B34" s="152"/>
      <c r="C34" s="85"/>
      <c r="D34" s="85"/>
      <c r="E34" s="85"/>
      <c r="F34" s="85"/>
      <c r="G34" s="85"/>
      <c r="H34" s="85"/>
      <c r="I34" s="85"/>
      <c r="J34" s="88"/>
    </row>
    <row r="35" spans="1:10" ht="16.5" thickBot="1">
      <c r="A35" s="231" t="s">
        <v>277</v>
      </c>
      <c r="B35" s="152" t="s">
        <v>279</v>
      </c>
      <c r="C35" s="85"/>
      <c r="D35" s="85"/>
      <c r="E35" s="85"/>
      <c r="F35" s="85"/>
      <c r="G35" s="85"/>
      <c r="H35" s="85"/>
      <c r="I35" s="85"/>
      <c r="J35" s="238">
        <f>J31+J33</f>
        <v>12508031</v>
      </c>
    </row>
    <row r="36" spans="1:10" ht="16.5" thickTop="1">
      <c r="A36" s="85"/>
      <c r="B36" s="85"/>
      <c r="C36" s="85"/>
      <c r="D36" s="85"/>
      <c r="E36" s="85"/>
      <c r="F36" s="85"/>
      <c r="G36" s="85"/>
      <c r="H36" s="85"/>
      <c r="I36" s="85"/>
      <c r="J36" s="85"/>
    </row>
    <row r="37" spans="1:10" s="239" customFormat="1" ht="18.75">
      <c r="A37" s="762" t="str">
        <f>CONCATENATE("If the ",J1," budget includes tax levies exceeding the total on line 14, you must")</f>
        <v>If the 2013 budget includes tax levies exceeding the total on line 14, you must</v>
      </c>
      <c r="B37" s="762"/>
      <c r="C37" s="762"/>
      <c r="D37" s="762"/>
      <c r="E37" s="762"/>
      <c r="F37" s="762"/>
      <c r="G37" s="762"/>
      <c r="H37" s="762"/>
      <c r="I37" s="762"/>
      <c r="J37" s="762"/>
    </row>
    <row r="38" spans="1:10" s="239" customFormat="1" ht="18.75">
      <c r="A38" s="762" t="s">
        <v>275</v>
      </c>
      <c r="B38" s="762"/>
      <c r="C38" s="762"/>
      <c r="D38" s="762"/>
      <c r="E38" s="762"/>
      <c r="F38" s="762"/>
      <c r="G38" s="762"/>
      <c r="H38" s="762"/>
      <c r="I38" s="762"/>
      <c r="J38" s="762"/>
    </row>
  </sheetData>
  <sheetProtection sheet="1"/>
  <mergeCells count="4">
    <mergeCell ref="A37:J37"/>
    <mergeCell ref="A38:J38"/>
    <mergeCell ref="A3:J3"/>
    <mergeCell ref="E4:G4"/>
  </mergeCells>
  <phoneticPr fontId="0" type="noConversion"/>
  <pageMargins left="0.5" right="0.5" top="0.72" bottom="0.23" header="0.5" footer="0"/>
  <pageSetup scale="85" orientation="portrait" blackAndWhite="1" r:id="rId1"/>
  <headerFooter alignWithMargins="0">
    <oddHeader xml:space="preserve">&amp;RState of Kansas
County
</oddHeader>
    <oddFooter>&amp;CPage No. 2</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I47"/>
  <sheetViews>
    <sheetView topLeftCell="A16" workbookViewId="0">
      <selection activeCell="I56" sqref="I56"/>
    </sheetView>
  </sheetViews>
  <sheetFormatPr defaultColWidth="8.88671875" defaultRowHeight="15.75"/>
  <cols>
    <col min="1" max="1" width="6.88671875" style="2" customWidth="1"/>
    <col min="2" max="2" width="18.77734375" style="2" customWidth="1"/>
    <col min="3" max="3" width="12.77734375" style="2" customWidth="1"/>
    <col min="4" max="4" width="0.21875" style="2" customWidth="1"/>
    <col min="5" max="9" width="11.77734375" style="2" customWidth="1"/>
    <col min="10" max="16384" width="8.88671875" style="2"/>
  </cols>
  <sheetData>
    <row r="1" spans="1:9">
      <c r="A1" s="69"/>
      <c r="B1" s="27" t="str">
        <f>inputPrYr!C2</f>
        <v>Franklin County</v>
      </c>
      <c r="C1" s="14"/>
      <c r="D1" s="14"/>
      <c r="E1" s="14"/>
      <c r="F1" s="14"/>
      <c r="G1" s="13"/>
      <c r="H1" s="13"/>
      <c r="I1" s="66">
        <f>inputPrYr!C4</f>
        <v>2013</v>
      </c>
    </row>
    <row r="2" spans="1:9">
      <c r="A2" s="69"/>
      <c r="B2" s="14"/>
      <c r="C2" s="14"/>
      <c r="D2" s="14"/>
      <c r="E2" s="14"/>
      <c r="F2" s="14"/>
      <c r="G2" s="13"/>
      <c r="H2" s="13"/>
      <c r="I2" s="28"/>
    </row>
    <row r="3" spans="1:9">
      <c r="A3" s="69"/>
      <c r="B3" s="769" t="s">
        <v>837</v>
      </c>
      <c r="C3" s="769"/>
      <c r="D3" s="769"/>
      <c r="E3" s="769"/>
      <c r="F3" s="769"/>
      <c r="G3" s="769"/>
      <c r="H3" s="67"/>
      <c r="I3" s="68"/>
    </row>
    <row r="4" spans="1:9">
      <c r="A4" s="69"/>
      <c r="B4" s="16"/>
      <c r="C4" s="17"/>
      <c r="D4" s="17"/>
      <c r="E4" s="17"/>
      <c r="F4" s="17"/>
      <c r="G4" s="14"/>
      <c r="H4" s="14"/>
      <c r="I4" s="28"/>
    </row>
    <row r="5" spans="1:9" ht="21.75" customHeight="1">
      <c r="A5" s="69"/>
      <c r="B5" s="645" t="s">
        <v>838</v>
      </c>
      <c r="C5" s="761" t="str">
        <f>CONCATENATE("Budget Tax Levy Amount for ",I1-2,"")</f>
        <v>Budget Tax Levy Amount for 2011</v>
      </c>
      <c r="D5" s="764" t="str">
        <f>CONCATENATE("Budget Tax Levy Rate for ",I1-1,"")</f>
        <v>Budget Tax Levy Rate for 2012</v>
      </c>
      <c r="E5" s="766" t="str">
        <f>CONCATENATE("Allocation for Year ",I1,"")</f>
        <v>Allocation for Year 2013</v>
      </c>
      <c r="F5" s="767"/>
      <c r="G5" s="768"/>
      <c r="H5" s="68"/>
      <c r="I5" s="68"/>
    </row>
    <row r="6" spans="1:9">
      <c r="A6" s="69"/>
      <c r="B6" s="12" t="str">
        <f>CONCATENATE("for ",I1-1,"")</f>
        <v>for 2012</v>
      </c>
      <c r="C6" s="741"/>
      <c r="D6" s="765"/>
      <c r="E6" s="217" t="s">
        <v>156</v>
      </c>
      <c r="F6" s="217" t="s">
        <v>241</v>
      </c>
      <c r="G6" s="193" t="s">
        <v>268</v>
      </c>
      <c r="H6" s="63"/>
      <c r="I6" s="68"/>
    </row>
    <row r="7" spans="1:9">
      <c r="A7" s="69"/>
      <c r="B7" s="25" t="str">
        <f>(inputPrYr!B16)</f>
        <v>General</v>
      </c>
      <c r="C7" s="193">
        <f>(inputPrYr!E16)</f>
        <v>3778281</v>
      </c>
      <c r="D7" s="648">
        <f>IF(inputPrYr!F16&gt;0,(inputPrYr!F16),"  ")</f>
        <v>18.175999999999998</v>
      </c>
      <c r="E7" s="193">
        <f>IF(inputPrYr!E16&gt;0,E34-SUM(E8:E31),0)</f>
        <v>451467</v>
      </c>
      <c r="F7" s="193">
        <f>IF(inputPrYr!E16=0,0,F36-SUM(F8:F31))</f>
        <v>6960</v>
      </c>
      <c r="G7" s="193">
        <f>IF(inputPrYr!E16=0,0,G38-SUM(G8:G31))</f>
        <v>13300</v>
      </c>
      <c r="H7" s="63"/>
      <c r="I7" s="68"/>
    </row>
    <row r="8" spans="1:9">
      <c r="A8" s="69"/>
      <c r="B8" s="25" t="str">
        <f>(inputPrYr!B17)</f>
        <v>Debt Service</v>
      </c>
      <c r="C8" s="193">
        <f>IF(inputPrYr!E17&gt;0,inputPrYr!E17," ")</f>
        <v>940342</v>
      </c>
      <c r="D8" s="648">
        <f>IF(inputPrYr!F17&gt;0,(inputPrYr!F17),"  ")</f>
        <v>4.5250000000000004</v>
      </c>
      <c r="E8" s="193">
        <f>IF(inputPrYr!$E$17&gt;0,ROUND(+C8*E$41,0)," ")</f>
        <v>112362</v>
      </c>
      <c r="F8" s="193">
        <f>IF(inputPrYr!$E$17&gt;0,ROUND(+C8*F$43,0)," ")</f>
        <v>1733</v>
      </c>
      <c r="G8" s="193">
        <f>IF(inputPrYr!$E$17&gt;0,ROUND(+C8*G$45,0)," ")</f>
        <v>3310</v>
      </c>
      <c r="H8" s="63"/>
      <c r="I8" s="68"/>
    </row>
    <row r="9" spans="1:9">
      <c r="A9" s="69"/>
      <c r="B9" s="25" t="str">
        <f>(inputPrYr!B18)</f>
        <v>Road &amp; Bridge</v>
      </c>
      <c r="C9" s="193">
        <f>IF(inputPrYr!E18&gt;0,inputPrYr!E18," ")</f>
        <v>2807471</v>
      </c>
      <c r="D9" s="648">
        <f>IF(inputPrYr!F18&gt;0,(inputPrYr!F18),"  ")</f>
        <v>13.506</v>
      </c>
      <c r="E9" s="193">
        <f>IF(inputPrYr!$E$18&gt;0,ROUND(+C9*E$41,0)," ")</f>
        <v>335465</v>
      </c>
      <c r="F9" s="193">
        <f>IF(inputPrYr!$E$18&gt;0,ROUND(+C9*F$43,0)," ")</f>
        <v>5173</v>
      </c>
      <c r="G9" s="193">
        <f>IF(inputPrYr!$E$18&gt;0,ROUND(+C9*G$45,0)," ")</f>
        <v>9882</v>
      </c>
      <c r="H9" s="63"/>
      <c r="I9" s="68"/>
    </row>
    <row r="10" spans="1:9">
      <c r="A10" s="69"/>
      <c r="B10" s="25" t="str">
        <f>IF((inputPrYr!$B19&gt;" "),(inputPrYr!$B19),"  ")</f>
        <v>Special Road and Bridge</v>
      </c>
      <c r="C10" s="193">
        <f>IF(inputPrYr!E19&gt;0,inputPrYr!E19,"  ")</f>
        <v>259405</v>
      </c>
      <c r="D10" s="648">
        <f>IF(inputPrYr!F19&gt;0,(inputPrYr!F19),"  ")</f>
        <v>1.248</v>
      </c>
      <c r="E10" s="193">
        <f>IF(inputPrYr!$E$19&gt;0,ROUND(+C10*E$41,0)," ")</f>
        <v>30996</v>
      </c>
      <c r="F10" s="193">
        <f>IF(inputPrYr!$E$19&gt;0,ROUND(+C10*F$43,0)," ")</f>
        <v>478</v>
      </c>
      <c r="G10" s="193">
        <f>IF(inputPrYr!$E$19&gt;0,ROUND(+C10*G$45,0)," ")</f>
        <v>913</v>
      </c>
      <c r="H10" s="63"/>
      <c r="I10" s="68"/>
    </row>
    <row r="11" spans="1:9">
      <c r="A11" s="69"/>
      <c r="B11" s="25" t="str">
        <f>IF((inputPrYr!$B20&gt;" "),(inputPrYr!$B20),"  ")</f>
        <v>Ambulance</v>
      </c>
      <c r="C11" s="193">
        <f>IF(inputPrYr!E20&gt;0,inputPrYr!E20,"  ")</f>
        <v>744289</v>
      </c>
      <c r="D11" s="648">
        <f>IF(inputPrYr!F20&gt;0,(inputPrYr!F20),"  ")</f>
        <v>3.581</v>
      </c>
      <c r="E11" s="193">
        <f>IF(inputPrYr!E20&gt;0,ROUND(+C11*E$41,0),"  ")</f>
        <v>88935</v>
      </c>
      <c r="F11" s="193">
        <f>IF(inputPrYr!E20&gt;0,ROUND(+C11*F$43,0),"  ")</f>
        <v>1372</v>
      </c>
      <c r="G11" s="193">
        <f>IF(inputPrYr!E20&gt;0,ROUND(+C11*G$45,0),"  ")</f>
        <v>2620</v>
      </c>
      <c r="H11" s="63"/>
      <c r="I11" s="68"/>
    </row>
    <row r="12" spans="1:9">
      <c r="A12" s="69"/>
      <c r="B12" s="25" t="str">
        <f>IF((inputPrYr!$B21&gt;" "),(inputPrYr!$B21),"  ")</f>
        <v>Appraisal</v>
      </c>
      <c r="C12" s="193" t="str">
        <f>IF(inputPrYr!E21&gt;0,inputPrYr!E21,"  ")</f>
        <v xml:space="preserve">  </v>
      </c>
      <c r="D12" s="648" t="str">
        <f>IF(inputPrYr!F21&gt;0,(inputPrYr!F21),"  ")</f>
        <v xml:space="preserve">  </v>
      </c>
      <c r="E12" s="193" t="str">
        <f>IF(inputPrYr!E21&gt;0,ROUND(+C12*E$41,0),"  ")</f>
        <v xml:space="preserve">  </v>
      </c>
      <c r="F12" s="193" t="str">
        <f>IF(inputPrYr!E21&gt;0,ROUND(+C12*F$43,0),"  ")</f>
        <v xml:space="preserve">  </v>
      </c>
      <c r="G12" s="193" t="str">
        <f>IF(inputPrYr!E21&gt;0,ROUND(+C12*G$45,0),"  ")</f>
        <v xml:space="preserve">  </v>
      </c>
      <c r="H12" s="63"/>
      <c r="I12" s="68"/>
    </row>
    <row r="13" spans="1:9">
      <c r="A13" s="69"/>
      <c r="B13" s="25" t="str">
        <f>IF((inputPrYr!$B22&gt;" "),(inputPrYr!$B22),"  ")</f>
        <v>County Building</v>
      </c>
      <c r="C13" s="193">
        <f>IF(inputPrYr!E22&gt;0,inputPrYr!E22,"  ")</f>
        <v>22404</v>
      </c>
      <c r="D13" s="648">
        <f>IF(inputPrYr!F22&gt;0,(inputPrYr!F22),"  ")</f>
        <v>0.108</v>
      </c>
      <c r="E13" s="193">
        <f>IF(inputPrYr!E22&gt;0,ROUND(+C13*E$41,0),"  ")</f>
        <v>2677</v>
      </c>
      <c r="F13" s="193">
        <f>IF(inputPrYr!E22&gt;0,ROUND(+C13*F$43,0),"  ")</f>
        <v>41</v>
      </c>
      <c r="G13" s="193">
        <f>IF(inputPrYr!E22&gt;0,ROUND(+C13*G$45,0),"  ")</f>
        <v>79</v>
      </c>
      <c r="H13" s="63"/>
      <c r="I13" s="68"/>
    </row>
    <row r="14" spans="1:9">
      <c r="A14" s="69"/>
      <c r="B14" s="25" t="str">
        <f>IF((inputPrYr!$B23&gt;" "),(inputPrYr!$B23),"  ")</f>
        <v>Election</v>
      </c>
      <c r="C14" s="193">
        <f>IF(inputPrYr!E23&gt;0,inputPrYr!E23,"  ")</f>
        <v>104154</v>
      </c>
      <c r="D14" s="648">
        <f>IF(inputPrYr!F23&gt;0,(inputPrYr!F23),"  ")</f>
        <v>0.502</v>
      </c>
      <c r="E14" s="193">
        <f>IF(inputPrYr!E23&gt;0,ROUND(+C14*E$41,0),"  ")</f>
        <v>12445</v>
      </c>
      <c r="F14" s="193">
        <f>IF(inputPrYr!E23&gt;0,ROUND(+C14*F$43,0),"  ")</f>
        <v>192</v>
      </c>
      <c r="G14" s="193">
        <f>IF(inputPrYr!E23&gt;0,ROUND(+C14*G$45,0),"  ")</f>
        <v>367</v>
      </c>
      <c r="H14" s="63"/>
      <c r="I14" s="68"/>
    </row>
    <row r="15" spans="1:9">
      <c r="A15" s="69"/>
      <c r="B15" s="25" t="str">
        <f>IF((inputPrYr!$B24&gt;" "),(inputPrYr!$B24),"  ")</f>
        <v>Employee Benefit</v>
      </c>
      <c r="C15" s="193">
        <f>IF(inputPrYr!E24&gt;0,inputPrYr!E24,"  ")</f>
        <v>2632287</v>
      </c>
      <c r="D15" s="648">
        <f>IF(inputPrYr!F24&gt;0,(inputPrYr!F24),"  ")</f>
        <v>12.664</v>
      </c>
      <c r="E15" s="193">
        <f>IF(inputPrYr!E24&gt;0,ROUND(+C15*E$41,0),"  ")</f>
        <v>314533</v>
      </c>
      <c r="F15" s="193">
        <f>IF(inputPrYr!E24&gt;0,ROUND(+C15*F$43,0),"  ")</f>
        <v>4851</v>
      </c>
      <c r="G15" s="193">
        <f>IF(inputPrYr!E24&gt;0,ROUND(+C15*G$45,0),"  ")</f>
        <v>9265</v>
      </c>
      <c r="H15" s="63"/>
      <c r="I15" s="68"/>
    </row>
    <row r="16" spans="1:9">
      <c r="A16" s="69"/>
      <c r="B16" s="25" t="str">
        <f>IF((inputPrYr!$B25&gt;" "),(inputPrYr!$B25),"  ")</f>
        <v>Health Department</v>
      </c>
      <c r="C16" s="193">
        <f>IF(inputPrYr!E25&gt;0,inputPrYr!E25,"  ")</f>
        <v>222836</v>
      </c>
      <c r="D16" s="648">
        <f>IF(inputPrYr!F25&gt;0,(inputPrYr!F25),"  ")</f>
        <v>1.0720000000000001</v>
      </c>
      <c r="E16" s="193">
        <f>IF(inputPrYr!E25&gt;0,ROUND(+C16*E$41,0),"  ")</f>
        <v>26627</v>
      </c>
      <c r="F16" s="193">
        <f>IF(inputPrYr!E25&gt;0,ROUND(+C16*F$43,0),"  ")</f>
        <v>411</v>
      </c>
      <c r="G16" s="193">
        <f>IF(inputPrYr!E25&gt;0,ROUND(+C16*G$45,0),"  ")</f>
        <v>784</v>
      </c>
      <c r="H16" s="63"/>
      <c r="I16" s="68"/>
    </row>
    <row r="17" spans="1:9">
      <c r="A17" s="69"/>
      <c r="B17" s="25" t="str">
        <f>IF((inputPrYr!$B26&gt;" "),(inputPrYr!$B26),"  ")</f>
        <v>Noxious Weeds</v>
      </c>
      <c r="C17" s="193">
        <f>IF(inputPrYr!E26&gt;0,inputPrYr!E26,"  ")</f>
        <v>167619</v>
      </c>
      <c r="D17" s="648">
        <f>IF(inputPrYr!F26&gt;0,(inputPrYr!F26),"  ")</f>
        <v>0.80700000000000005</v>
      </c>
      <c r="E17" s="193">
        <f>IF(inputPrYr!E26&gt;0,ROUND(+C17*E$41,0),"  ")</f>
        <v>20029</v>
      </c>
      <c r="F17" s="193">
        <f>IF(inputPrYr!E26&gt;0,ROUND(+C17*F$43,0),"  ")</f>
        <v>309</v>
      </c>
      <c r="G17" s="193">
        <f>IF(inputPrYr!E26&gt;0,ROUND(+C17*G$45,0),"  ")</f>
        <v>590</v>
      </c>
      <c r="H17" s="63"/>
      <c r="I17" s="68"/>
    </row>
    <row r="18" spans="1:9">
      <c r="A18" s="69"/>
      <c r="B18" s="25" t="str">
        <f>IF((inputPrYr!$B27&gt;" "),(inputPrYr!$B27),"  ")</f>
        <v>Special Liability</v>
      </c>
      <c r="C18" s="193">
        <f>IF(inputPrYr!E27&gt;0,inputPrYr!E27,"  ")</f>
        <v>113388</v>
      </c>
      <c r="D18" s="648">
        <f>IF(inputPrYr!F27&gt;0,(inputPrYr!F27),"  ")</f>
        <v>0.54600000000000004</v>
      </c>
      <c r="E18" s="193">
        <f>IF(inputPrYr!E27&gt;0,ROUND(+C18*E$41,0),"  ")</f>
        <v>13549</v>
      </c>
      <c r="F18" s="193">
        <f>IF(inputPrYr!E27&gt;0,ROUND(+C18*F$43,0),"  ")</f>
        <v>209</v>
      </c>
      <c r="G18" s="193">
        <f>IF(inputPrYr!E27&gt;0,ROUND(+C18*G$45,0),"  ")</f>
        <v>399</v>
      </c>
      <c r="H18" s="63"/>
      <c r="I18" s="68"/>
    </row>
    <row r="19" spans="1:9">
      <c r="A19" s="69"/>
      <c r="B19" s="25" t="str">
        <f>IF((inputPrYr!$B28&gt;" "),(inputPrYr!$B28),"  ")</f>
        <v>Conservation District</v>
      </c>
      <c r="C19" s="193">
        <f>IF(inputPrYr!E28&gt;0,inputPrYr!E28,"  ")</f>
        <v>39985</v>
      </c>
      <c r="D19" s="648">
        <f>IF(inputPrYr!F28&gt;0,(inputPrYr!F28),"  ")</f>
        <v>0.193</v>
      </c>
      <c r="E19" s="193">
        <f>IF(inputPrYr!E28&gt;0,ROUND(+C19*E$41,0),"  ")</f>
        <v>4778</v>
      </c>
      <c r="F19" s="193">
        <f>IF(inputPrYr!E28&gt;0,ROUND(+C19*F$43,0),"  ")</f>
        <v>74</v>
      </c>
      <c r="G19" s="193">
        <f>IF(inputPrYr!E28&gt;0,ROUND(+C19*G$45,0),"  ")</f>
        <v>141</v>
      </c>
      <c r="H19" s="63"/>
      <c r="I19" s="68"/>
    </row>
    <row r="20" spans="1:9">
      <c r="A20" s="69"/>
      <c r="B20" s="25" t="str">
        <f>IF((inputPrYr!$B29&gt;" "),(inputPrYr!$B29),"  ")</f>
        <v>Service for the Elderly</v>
      </c>
      <c r="C20" s="193">
        <f>IF(inputPrYr!E29&gt;0,inputPrYr!E29,"  ")</f>
        <v>171464</v>
      </c>
      <c r="D20" s="648">
        <f>IF(inputPrYr!F29&gt;0,(inputPrYr!F29),"  ")</f>
        <v>0.82499999999999996</v>
      </c>
      <c r="E20" s="193">
        <f>IF(inputPrYr!E29&gt;0,ROUND(+C20*E$41,0),"  ")</f>
        <v>20488</v>
      </c>
      <c r="F20" s="193">
        <f>IF(inputPrYr!E29&gt;0,ROUND(+C20*F$43,0),"  ")</f>
        <v>316</v>
      </c>
      <c r="G20" s="193">
        <f>IF(inputPrYr!E29&gt;0,ROUND(+C20*G$45,0),"  ")</f>
        <v>604</v>
      </c>
      <c r="H20" s="63"/>
      <c r="I20" s="68"/>
    </row>
    <row r="21" spans="1:9">
      <c r="A21" s="69"/>
      <c r="B21" s="25" t="str">
        <f>IF((inputPrYr!$B30&gt;" "),(inputPrYr!$B30),"  ")</f>
        <v>Extension Council</v>
      </c>
      <c r="C21" s="193" t="str">
        <f>IF(inputPrYr!E30&gt;0,inputPrYr!E30,"  ")</f>
        <v xml:space="preserve">  </v>
      </c>
      <c r="D21" s="648" t="str">
        <f>IF(inputPrYr!F30&gt;0,(inputPrYr!F30),"  ")</f>
        <v xml:space="preserve">  </v>
      </c>
      <c r="E21" s="193" t="str">
        <f>IF(inputPrYr!E30&gt;0,ROUND(+C21*E$41,0),"  ")</f>
        <v xml:space="preserve">  </v>
      </c>
      <c r="F21" s="193" t="str">
        <f>IF(inputPrYr!E30&gt;0,ROUND(+C21*F$43,0),"  ")</f>
        <v xml:space="preserve">  </v>
      </c>
      <c r="G21" s="193" t="str">
        <f>IF(inputPrYr!E30&gt;0,ROUND(+C21*G$45,0),"  ")</f>
        <v xml:space="preserve">  </v>
      </c>
      <c r="H21" s="63"/>
      <c r="I21" s="68"/>
    </row>
    <row r="22" spans="1:9">
      <c r="A22" s="69"/>
      <c r="B22" s="25" t="str">
        <f>IF((inputPrYr!$B31&gt;" "),(inputPrYr!$B31),"  ")</f>
        <v>Fair Premium</v>
      </c>
      <c r="C22" s="193">
        <f>IF(inputPrYr!E31&gt;0,inputPrYr!E31,"  ")</f>
        <v>6381</v>
      </c>
      <c r="D22" s="648">
        <f>IF(inputPrYr!F31&gt;0,(inputPrYr!F31),"  ")</f>
        <v>3.1E-2</v>
      </c>
      <c r="E22" s="193">
        <f>IF(inputPrYr!E31&gt;0,ROUND(+C22*E$41,0),"  ")</f>
        <v>762</v>
      </c>
      <c r="F22" s="193">
        <f>IF(inputPrYr!E31&gt;0,ROUND(+C22*F$43,0),"  ")</f>
        <v>12</v>
      </c>
      <c r="G22" s="193">
        <f>IF(inputPrYr!E31&gt;0,ROUND(+C22*G$45,0),"  ")</f>
        <v>22</v>
      </c>
      <c r="H22" s="63"/>
      <c r="I22" s="68"/>
    </row>
    <row r="23" spans="1:9">
      <c r="A23" s="69"/>
      <c r="B23" s="25" t="str">
        <f>IF((inputPrYr!$B32&gt;" "),(inputPrYr!$B32),"  ")</f>
        <v>Fair Building</v>
      </c>
      <c r="C23" s="193">
        <f>IF(inputPrYr!E32&gt;0,inputPrYr!E32,"  ")</f>
        <v>6332</v>
      </c>
      <c r="D23" s="648">
        <f>IF(inputPrYr!F32&gt;0,(inputPrYr!F32),"  ")</f>
        <v>3.1E-2</v>
      </c>
      <c r="E23" s="193">
        <f>IF(inputPrYr!E32&gt;0,ROUND(+C23*E$41,0),"  ")</f>
        <v>757</v>
      </c>
      <c r="F23" s="193">
        <f>IF(inputPrYr!E32&gt;0,ROUND(+C23*F$43,0),"  ")</f>
        <v>12</v>
      </c>
      <c r="G23" s="193">
        <f>IF(inputPrYr!E32&gt;0,ROUND(+C23*G$45,0),"  ")</f>
        <v>22</v>
      </c>
      <c r="H23" s="63"/>
      <c r="I23" s="68"/>
    </row>
    <row r="24" spans="1:9">
      <c r="A24" s="69"/>
      <c r="B24" s="25" t="str">
        <f>IF((inputPrYr!$B33&gt;" "),(inputPrYr!$B33),"  ")</f>
        <v>Historical Society</v>
      </c>
      <c r="C24" s="193">
        <f>IF(inputPrYr!E33&gt;0,inputPrYr!E33,"  ")</f>
        <v>62729</v>
      </c>
      <c r="D24" s="648">
        <f>IF(inputPrYr!F33&gt;0,(inputPrYr!F33),"  ")</f>
        <v>0.30199999999999999</v>
      </c>
      <c r="E24" s="193">
        <f>IF(inputPrYr!E33&gt;0,ROUND(+C24*E$41,0),"  ")</f>
        <v>7496</v>
      </c>
      <c r="F24" s="193">
        <f>IF(inputPrYr!E33&gt;0,ROUND(+C24*F$43,0),"  ")</f>
        <v>116</v>
      </c>
      <c r="G24" s="193">
        <f>IF(inputPrYr!E33&gt;0,ROUND(+C24*G$45,0),"  ")</f>
        <v>221</v>
      </c>
      <c r="H24" s="63"/>
      <c r="I24" s="68"/>
    </row>
    <row r="25" spans="1:9">
      <c r="A25" s="69"/>
      <c r="B25" s="25" t="str">
        <f>IF((inputPrYr!$B34&gt;" "),(inputPrYr!$B34),"  ")</f>
        <v>Mental Health</v>
      </c>
      <c r="C25" s="193">
        <f>IF(inputPrYr!E34&gt;0,inputPrYr!E34,"  ")</f>
        <v>139607</v>
      </c>
      <c r="D25" s="648">
        <f>IF(inputPrYr!F34&gt;0,(inputPrYr!F34),"  ")</f>
        <v>0.67200000000000004</v>
      </c>
      <c r="E25" s="193">
        <f>IF(inputPrYr!E34&gt;0,ROUND(+C25*E$41,0),"  ")</f>
        <v>16682</v>
      </c>
      <c r="F25" s="193">
        <f>IF(inputPrYr!E34&gt;0,ROUND(+C25*F$43,0),"  ")</f>
        <v>257</v>
      </c>
      <c r="G25" s="193">
        <f>IF(inputPrYr!E34&gt;0,ROUND(+C25*G$45,0),"  ")</f>
        <v>491</v>
      </c>
      <c r="H25" s="63"/>
      <c r="I25" s="68"/>
    </row>
    <row r="26" spans="1:9">
      <c r="A26" s="69"/>
      <c r="B26" s="25" t="str">
        <f>IF((inputPrYr!$B35&gt;" "),(inputPrYr!$B35),"  ")</f>
        <v>Developmental Disabilities</v>
      </c>
      <c r="C26" s="193">
        <f>IF(inputPrYr!E35&gt;0,inputPrYr!E35,"  ")</f>
        <v>86750</v>
      </c>
      <c r="D26" s="648">
        <f>IF(inputPrYr!F35&gt;0,(inputPrYr!F35),"  ")</f>
        <v>0.41799999999999998</v>
      </c>
      <c r="E26" s="193">
        <f>IF(inputPrYr!E35&gt;0,ROUND(+C26*E$41,0),"  ")</f>
        <v>10366</v>
      </c>
      <c r="F26" s="193">
        <f>IF(inputPrYr!E35&gt;0,ROUND(+C26*F$43,0),"  ")</f>
        <v>160</v>
      </c>
      <c r="G26" s="193">
        <f>IF(inputPrYr!E35&gt;0,ROUND(+C26*G$45,0),"  ")</f>
        <v>305</v>
      </c>
      <c r="H26" s="63"/>
      <c r="I26" s="68"/>
    </row>
    <row r="27" spans="1:9">
      <c r="A27" s="69"/>
      <c r="B27" s="25" t="str">
        <f>IF((inputPrYr!$B36&gt;" "),(inputPrYr!$B36),"  ")</f>
        <v xml:space="preserve">  </v>
      </c>
      <c r="C27" s="193" t="str">
        <f>IF(inputPrYr!E36&gt;0,inputPrYr!E36,"  ")</f>
        <v xml:space="preserve">  </v>
      </c>
      <c r="D27" s="648" t="str">
        <f>IF(inputPrYr!F36&gt;0,(inputPrYr!F36),"  ")</f>
        <v xml:space="preserve">  </v>
      </c>
      <c r="E27" s="193" t="str">
        <f>IF(inputPrYr!E36&gt;0,ROUND(+C27*E$41,0),"  ")</f>
        <v xml:space="preserve">  </v>
      </c>
      <c r="F27" s="193" t="str">
        <f>IF(inputPrYr!E36&gt;0,ROUND(+C27*F$43,0),"  ")</f>
        <v xml:space="preserve">  </v>
      </c>
      <c r="G27" s="193" t="str">
        <f>IF(inputPrYr!E36&gt;0,ROUND(+C27*G$45,0),"  ")</f>
        <v xml:space="preserve">  </v>
      </c>
      <c r="H27" s="63"/>
      <c r="I27" s="68"/>
    </row>
    <row r="28" spans="1:9">
      <c r="A28" s="69"/>
      <c r="B28" s="25" t="str">
        <f>IF((inputPrYr!$B37&gt;" "),(inputPrYr!$B37),"  ")</f>
        <v xml:space="preserve">  </v>
      </c>
      <c r="C28" s="193" t="str">
        <f>IF(inputPrYr!E37&gt;0,inputPrYr!E37,"  ")</f>
        <v xml:space="preserve">  </v>
      </c>
      <c r="D28" s="648" t="str">
        <f>IF(inputPrYr!F37&gt;0,(inputPrYr!F37),"  ")</f>
        <v xml:space="preserve">  </v>
      </c>
      <c r="E28" s="193" t="str">
        <f>IF(inputPrYr!E37&gt;0,ROUND(+C28*E$41,0),"  ")</f>
        <v xml:space="preserve">  </v>
      </c>
      <c r="F28" s="193" t="str">
        <f>IF(inputPrYr!E37&gt;0,ROUND(+C28*F$43,0),"  ")</f>
        <v xml:space="preserve">  </v>
      </c>
      <c r="G28" s="193" t="str">
        <f>IF(inputPrYr!E37&gt;0,ROUND(+C28*G$45,0),"  ")</f>
        <v xml:space="preserve">  </v>
      </c>
      <c r="H28" s="63"/>
      <c r="I28" s="68"/>
    </row>
    <row r="29" spans="1:9">
      <c r="A29" s="69"/>
      <c r="B29" s="25" t="str">
        <f>IF((inputPrYr!$B38&gt;" "),(inputPrYr!$B38),"  ")</f>
        <v xml:space="preserve">  </v>
      </c>
      <c r="C29" s="193" t="str">
        <f>IF(inputPrYr!E38&gt;0,inputPrYr!E38,"  ")</f>
        <v xml:space="preserve">  </v>
      </c>
      <c r="D29" s="648" t="str">
        <f>IF(inputPrYr!F38&gt;0,(inputPrYr!F38),"  ")</f>
        <v xml:space="preserve">  </v>
      </c>
      <c r="E29" s="193" t="str">
        <f>IF(inputPrYr!E38&gt;0,ROUND(+C29*E$41,0),"  ")</f>
        <v xml:space="preserve">  </v>
      </c>
      <c r="F29" s="193" t="str">
        <f>IF(inputPrYr!E38&gt;0,ROUND(+C29*F$43,0),"  ")</f>
        <v xml:space="preserve">  </v>
      </c>
      <c r="G29" s="193" t="str">
        <f>IF(inputPrYr!E38&gt;0,ROUND(+C29*G$45,0),"  ")</f>
        <v xml:space="preserve">  </v>
      </c>
      <c r="H29" s="63"/>
      <c r="I29" s="68"/>
    </row>
    <row r="30" spans="1:9">
      <c r="A30" s="69"/>
      <c r="B30" s="25" t="str">
        <f>IF((inputPrYr!$B39&gt;" "),(inputPrYr!$B39),"  ")</f>
        <v xml:space="preserve">  </v>
      </c>
      <c r="C30" s="193" t="str">
        <f>IF(inputPrYr!E39&gt;0,inputPrYr!E39,"  ")</f>
        <v xml:space="preserve">  </v>
      </c>
      <c r="D30" s="648" t="str">
        <f>IF(inputPrYr!F39&gt;0,(inputPrYr!F39),"  ")</f>
        <v xml:space="preserve">  </v>
      </c>
      <c r="E30" s="193" t="str">
        <f>IF(inputPrYr!E39&gt;0,ROUND(+C30*E$41,0),"  ")</f>
        <v xml:space="preserve">  </v>
      </c>
      <c r="F30" s="193" t="str">
        <f>IF(inputPrYr!E39&gt;0,ROUND(+C30*F$43,0),"  ")</f>
        <v xml:space="preserve">  </v>
      </c>
      <c r="G30" s="193" t="str">
        <f>IF(inputPrYr!E39&gt;0,ROUND(+C30*G$45,0),"  ")</f>
        <v xml:space="preserve">  </v>
      </c>
      <c r="H30" s="63"/>
      <c r="I30" s="68"/>
    </row>
    <row r="31" spans="1:9">
      <c r="A31" s="69"/>
      <c r="B31" s="25" t="str">
        <f>IF((inputPrYr!$B40&gt;" "),(inputPrYr!$B40),"  ")</f>
        <v xml:space="preserve">  </v>
      </c>
      <c r="C31" s="193" t="str">
        <f>IF(inputPrYr!E40&gt;0,inputPrYr!E40,"  ")</f>
        <v xml:space="preserve">  </v>
      </c>
      <c r="D31" s="648" t="str">
        <f>IF(inputPrYr!F40&gt;0,(inputPrYr!F40),"  ")</f>
        <v xml:space="preserve">  </v>
      </c>
      <c r="E31" s="193" t="str">
        <f>IF(inputPrYr!E40&gt;0,ROUND(+C31*E$41,0),"  ")</f>
        <v xml:space="preserve">  </v>
      </c>
      <c r="F31" s="193" t="str">
        <f>IF(inputPrYr!E40&gt;0,ROUND(+C31*F$43,0),"  ")</f>
        <v xml:space="preserve">  </v>
      </c>
      <c r="G31" s="193" t="str">
        <f>IF(inputPrYr!E40&gt;0,ROUND(+C31*G$45,0),"  ")</f>
        <v xml:space="preserve">  </v>
      </c>
      <c r="H31" s="63"/>
      <c r="I31" s="68"/>
    </row>
    <row r="32" spans="1:9" ht="16.5" thickBot="1">
      <c r="A32" s="69"/>
      <c r="B32" s="103" t="s">
        <v>152</v>
      </c>
      <c r="C32" s="646">
        <f>SUM(C7:C31)</f>
        <v>12305724</v>
      </c>
      <c r="D32" s="647">
        <f>SUM(D7:D31)</f>
        <v>59.207000000000001</v>
      </c>
      <c r="E32" s="646">
        <f>SUM(E7:E31)</f>
        <v>1470414</v>
      </c>
      <c r="F32" s="646">
        <f>SUM(F7:F31)</f>
        <v>22676</v>
      </c>
      <c r="G32" s="646">
        <f>SUM(G7:G31)</f>
        <v>43315</v>
      </c>
      <c r="H32" s="68"/>
      <c r="I32" s="68"/>
    </row>
    <row r="33" spans="1:9" ht="16.5" thickTop="1">
      <c r="A33" s="69"/>
      <c r="B33" s="52"/>
      <c r="C33" s="63"/>
      <c r="D33" s="70"/>
      <c r="E33" s="63"/>
      <c r="F33" s="63"/>
      <c r="G33" s="63"/>
      <c r="H33" s="63"/>
      <c r="I33" s="68"/>
    </row>
    <row r="34" spans="1:9">
      <c r="A34" s="69"/>
      <c r="B34" s="15" t="s">
        <v>153</v>
      </c>
      <c r="C34" s="61"/>
      <c r="D34" s="61"/>
      <c r="E34" s="62">
        <f>(inputOth!E15)</f>
        <v>1470414</v>
      </c>
      <c r="F34" s="61"/>
      <c r="G34" s="30"/>
      <c r="H34" s="30"/>
      <c r="I34" s="53"/>
    </row>
    <row r="35" spans="1:9">
      <c r="A35" s="69"/>
      <c r="B35" s="15"/>
      <c r="C35" s="61"/>
      <c r="D35" s="61"/>
      <c r="E35" s="63"/>
      <c r="F35" s="61"/>
      <c r="G35" s="30"/>
      <c r="H35" s="30"/>
      <c r="I35" s="53"/>
    </row>
    <row r="36" spans="1:9">
      <c r="A36" s="69"/>
      <c r="B36" s="15" t="s">
        <v>154</v>
      </c>
      <c r="C36" s="30"/>
      <c r="D36" s="30"/>
      <c r="E36" s="30"/>
      <c r="F36" s="62">
        <f>(inputOth!E16)</f>
        <v>22676</v>
      </c>
      <c r="G36" s="30"/>
      <c r="H36" s="30"/>
      <c r="I36" s="53"/>
    </row>
    <row r="37" spans="1:9">
      <c r="A37" s="69"/>
      <c r="B37" s="15"/>
      <c r="C37" s="30"/>
      <c r="D37" s="30"/>
      <c r="E37" s="30"/>
      <c r="F37" s="63"/>
      <c r="G37" s="30"/>
      <c r="H37" s="30"/>
      <c r="I37" s="53"/>
    </row>
    <row r="38" spans="1:9">
      <c r="A38" s="69"/>
      <c r="B38" s="15" t="s">
        <v>242</v>
      </c>
      <c r="C38" s="30"/>
      <c r="D38" s="30"/>
      <c r="E38" s="30"/>
      <c r="F38" s="30"/>
      <c r="G38" s="62">
        <f>inputOth!E17</f>
        <v>43315</v>
      </c>
      <c r="H38" s="63"/>
      <c r="I38" s="53"/>
    </row>
    <row r="39" spans="1:9">
      <c r="A39" s="69"/>
      <c r="B39" s="14"/>
      <c r="C39" s="30"/>
      <c r="D39" s="30"/>
      <c r="E39" s="30"/>
      <c r="F39" s="30"/>
      <c r="G39" s="30"/>
      <c r="H39" s="30"/>
      <c r="I39" s="53"/>
    </row>
    <row r="40" spans="1:9">
      <c r="A40" s="69"/>
      <c r="B40" s="14"/>
      <c r="C40" s="30"/>
      <c r="D40" s="30"/>
      <c r="E40" s="30"/>
      <c r="F40" s="30"/>
      <c r="G40" s="30"/>
      <c r="H40" s="30"/>
      <c r="I40" s="53"/>
    </row>
    <row r="41" spans="1:9">
      <c r="A41" s="69"/>
      <c r="B41" s="15" t="s">
        <v>155</v>
      </c>
      <c r="C41" s="30"/>
      <c r="D41" s="30"/>
      <c r="E41" s="64">
        <f>IF(C32=0,0,E34/C32)</f>
        <v>0.11949024697774792</v>
      </c>
      <c r="F41" s="30"/>
      <c r="G41" s="30"/>
      <c r="H41" s="30"/>
      <c r="I41" s="53"/>
    </row>
    <row r="42" spans="1:9">
      <c r="A42" s="69"/>
      <c r="B42" s="15"/>
      <c r="C42" s="30"/>
      <c r="D42" s="30"/>
      <c r="E42" s="65"/>
      <c r="F42" s="30"/>
      <c r="G42" s="30"/>
      <c r="H42" s="30"/>
      <c r="I42" s="53"/>
    </row>
    <row r="43" spans="1:9">
      <c r="A43" s="69"/>
      <c r="B43" s="15" t="s">
        <v>307</v>
      </c>
      <c r="C43" s="30"/>
      <c r="D43" s="30"/>
      <c r="E43" s="30"/>
      <c r="F43" s="64">
        <f>IF(C32=0,0,F36/C32)</f>
        <v>1.8427196969475342E-3</v>
      </c>
      <c r="G43" s="30"/>
      <c r="H43" s="30"/>
      <c r="I43" s="53"/>
    </row>
    <row r="44" spans="1:9">
      <c r="A44" s="69"/>
      <c r="B44" s="15"/>
      <c r="C44" s="30"/>
      <c r="D44" s="30"/>
      <c r="E44" s="30"/>
      <c r="F44" s="65"/>
      <c r="G44" s="30"/>
      <c r="H44" s="30"/>
      <c r="I44" s="53"/>
    </row>
    <row r="45" spans="1:9">
      <c r="A45" s="69"/>
      <c r="B45" s="15" t="s">
        <v>306</v>
      </c>
      <c r="C45" s="30"/>
      <c r="D45" s="30"/>
      <c r="E45" s="30"/>
      <c r="F45" s="30"/>
      <c r="G45" s="64">
        <f>IF(C32=0,0,G38/C32)</f>
        <v>3.5199066710743716E-3</v>
      </c>
      <c r="H45" s="65"/>
      <c r="I45" s="53"/>
    </row>
    <row r="46" spans="1:9">
      <c r="A46" s="69"/>
      <c r="B46" s="28"/>
      <c r="C46" s="53"/>
      <c r="D46" s="53"/>
      <c r="E46" s="53"/>
      <c r="F46" s="53"/>
      <c r="G46" s="53"/>
      <c r="H46" s="53"/>
      <c r="I46" s="53"/>
    </row>
    <row r="47" spans="1:9">
      <c r="A47" s="69"/>
      <c r="B47" s="28"/>
      <c r="C47" s="53"/>
      <c r="D47" s="53"/>
      <c r="E47" s="53"/>
      <c r="F47" s="53"/>
      <c r="G47" s="53"/>
      <c r="H47" s="53"/>
      <c r="I47" s="53"/>
    </row>
  </sheetData>
  <sheetProtection sheet="1"/>
  <mergeCells count="4">
    <mergeCell ref="C5:C6"/>
    <mergeCell ref="D5:D6"/>
    <mergeCell ref="E5:G5"/>
    <mergeCell ref="B3:G3"/>
  </mergeCells>
  <phoneticPr fontId="8" type="noConversion"/>
  <pageMargins left="1.5" right="0.75" top="0.25" bottom="0.18" header="0" footer="0"/>
  <pageSetup scale="79" firstPageNumber="3" orientation="landscape" blackAndWhite="1" useFirstPageNumber="1" r:id="rId1"/>
  <headerFooter alignWithMargins="0">
    <oddHeader>&amp;RState of Kansas
County</oddHeader>
    <oddFooter>&amp;CPage No. 3</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1:F32"/>
  <sheetViews>
    <sheetView topLeftCell="A4" workbookViewId="0">
      <selection activeCell="I56" sqref="I56"/>
    </sheetView>
  </sheetViews>
  <sheetFormatPr defaultColWidth="8.88671875" defaultRowHeight="15.75"/>
  <cols>
    <col min="1" max="2" width="17.77734375" style="143" customWidth="1"/>
    <col min="3" max="6" width="12.77734375" style="143" customWidth="1"/>
    <col min="7" max="16384" width="8.88671875" style="143"/>
  </cols>
  <sheetData>
    <row r="1" spans="1:6">
      <c r="A1" s="228"/>
      <c r="B1" s="85"/>
      <c r="C1" s="85"/>
      <c r="D1" s="85"/>
      <c r="E1" s="240"/>
      <c r="F1" s="85"/>
    </row>
    <row r="2" spans="1:6">
      <c r="A2" s="144" t="str">
        <f>inputPrYr!C2</f>
        <v>Franklin County</v>
      </c>
      <c r="B2" s="144"/>
      <c r="C2" s="85"/>
      <c r="D2" s="85"/>
      <c r="E2" s="240"/>
      <c r="F2" s="85">
        <f>inputPrYr!C4</f>
        <v>2013</v>
      </c>
    </row>
    <row r="3" spans="1:6">
      <c r="A3" s="228"/>
      <c r="B3" s="144"/>
      <c r="C3" s="85"/>
      <c r="D3" s="85"/>
      <c r="E3" s="240"/>
      <c r="F3" s="85"/>
    </row>
    <row r="4" spans="1:6">
      <c r="A4" s="228"/>
      <c r="B4" s="85"/>
      <c r="C4" s="85"/>
      <c r="D4" s="85"/>
      <c r="E4" s="240"/>
      <c r="F4" s="85"/>
    </row>
    <row r="5" spans="1:6" ht="15" customHeight="1">
      <c r="A5" s="763" t="s">
        <v>285</v>
      </c>
      <c r="B5" s="763"/>
      <c r="C5" s="763"/>
      <c r="D5" s="763"/>
      <c r="E5" s="763"/>
      <c r="F5" s="763"/>
    </row>
    <row r="6" spans="1:6" ht="14.25" customHeight="1">
      <c r="A6" s="229"/>
      <c r="B6" s="241"/>
      <c r="C6" s="241"/>
      <c r="D6" s="241"/>
      <c r="E6" s="241"/>
      <c r="F6" s="241"/>
    </row>
    <row r="7" spans="1:6" ht="15" customHeight="1">
      <c r="A7" s="242" t="s">
        <v>661</v>
      </c>
      <c r="B7" s="242" t="s">
        <v>662</v>
      </c>
      <c r="C7" s="243" t="s">
        <v>192</v>
      </c>
      <c r="D7" s="243" t="s">
        <v>308</v>
      </c>
      <c r="E7" s="243" t="s">
        <v>309</v>
      </c>
      <c r="F7" s="243" t="s">
        <v>341</v>
      </c>
    </row>
    <row r="8" spans="1:6" ht="15" customHeight="1">
      <c r="A8" s="244" t="s">
        <v>663</v>
      </c>
      <c r="B8" s="244" t="s">
        <v>664</v>
      </c>
      <c r="C8" s="245" t="s">
        <v>340</v>
      </c>
      <c r="D8" s="245" t="s">
        <v>340</v>
      </c>
      <c r="E8" s="245" t="s">
        <v>340</v>
      </c>
      <c r="F8" s="245" t="s">
        <v>342</v>
      </c>
    </row>
    <row r="9" spans="1:6" s="226" customFormat="1" ht="15" customHeight="1" thickBot="1">
      <c r="A9" s="246" t="s">
        <v>338</v>
      </c>
      <c r="B9" s="247" t="s">
        <v>339</v>
      </c>
      <c r="C9" s="248">
        <f>F2-2</f>
        <v>2011</v>
      </c>
      <c r="D9" s="248">
        <f>F2-1</f>
        <v>2012</v>
      </c>
      <c r="E9" s="248">
        <f>F2</f>
        <v>2013</v>
      </c>
      <c r="F9" s="247" t="s">
        <v>128</v>
      </c>
    </row>
    <row r="10" spans="1:6" ht="15" customHeight="1" thickTop="1">
      <c r="A10" s="249" t="s">
        <v>1044</v>
      </c>
      <c r="B10" s="249" t="s">
        <v>1045</v>
      </c>
      <c r="C10" s="250">
        <v>339661</v>
      </c>
      <c r="D10" s="250">
        <v>200000</v>
      </c>
      <c r="E10" s="250">
        <v>268500</v>
      </c>
      <c r="F10" s="249" t="s">
        <v>1046</v>
      </c>
    </row>
    <row r="11" spans="1:6" ht="15" customHeight="1">
      <c r="A11" s="111" t="s">
        <v>898</v>
      </c>
      <c r="B11" s="111" t="s">
        <v>1045</v>
      </c>
      <c r="C11" s="251">
        <v>18500</v>
      </c>
      <c r="D11" s="251">
        <v>18500</v>
      </c>
      <c r="E11" s="251"/>
      <c r="F11" s="111" t="s">
        <v>1046</v>
      </c>
    </row>
    <row r="12" spans="1:6" ht="15" customHeight="1">
      <c r="A12" s="111" t="s">
        <v>178</v>
      </c>
      <c r="B12" s="111" t="s">
        <v>1047</v>
      </c>
      <c r="C12" s="251">
        <v>50000</v>
      </c>
      <c r="D12" s="251">
        <v>150000</v>
      </c>
      <c r="E12" s="251">
        <v>150000</v>
      </c>
      <c r="F12" s="111" t="s">
        <v>1048</v>
      </c>
    </row>
    <row r="13" spans="1:6" ht="15" customHeight="1">
      <c r="A13" s="111" t="s">
        <v>899</v>
      </c>
      <c r="B13" s="111" t="s">
        <v>926</v>
      </c>
      <c r="C13" s="251">
        <v>75000</v>
      </c>
      <c r="D13" s="251">
        <v>75000</v>
      </c>
      <c r="E13" s="251">
        <v>175000</v>
      </c>
      <c r="F13" s="111" t="s">
        <v>1049</v>
      </c>
    </row>
    <row r="14" spans="1:6" ht="15" customHeight="1">
      <c r="A14" s="111" t="s">
        <v>899</v>
      </c>
      <c r="B14" s="111" t="s">
        <v>929</v>
      </c>
      <c r="C14" s="251">
        <v>75000</v>
      </c>
      <c r="D14" s="251">
        <v>91000</v>
      </c>
      <c r="E14" s="251">
        <v>175000</v>
      </c>
      <c r="F14" s="111" t="s">
        <v>1050</v>
      </c>
    </row>
    <row r="15" spans="1:6" ht="15" customHeight="1">
      <c r="A15" s="111" t="s">
        <v>188</v>
      </c>
      <c r="B15" s="111" t="s">
        <v>928</v>
      </c>
      <c r="C15" s="251">
        <v>96000</v>
      </c>
      <c r="D15" s="251">
        <v>96000</v>
      </c>
      <c r="E15" s="251">
        <v>96000</v>
      </c>
      <c r="F15" s="111" t="s">
        <v>1050</v>
      </c>
    </row>
    <row r="16" spans="1:6" ht="15" customHeight="1">
      <c r="A16" s="111" t="s">
        <v>930</v>
      </c>
      <c r="B16" s="111" t="s">
        <v>1051</v>
      </c>
      <c r="C16" s="251">
        <v>64988</v>
      </c>
      <c r="D16" s="251">
        <v>60000</v>
      </c>
      <c r="E16" s="251">
        <v>60000</v>
      </c>
      <c r="F16" s="111" t="s">
        <v>1052</v>
      </c>
    </row>
    <row r="17" spans="1:6" ht="15" customHeight="1">
      <c r="A17" s="111" t="s">
        <v>903</v>
      </c>
      <c r="B17" s="111" t="s">
        <v>916</v>
      </c>
      <c r="C17" s="251">
        <v>50000</v>
      </c>
      <c r="D17" s="251">
        <v>50000</v>
      </c>
      <c r="E17" s="251">
        <v>50000</v>
      </c>
      <c r="F17" s="111" t="s">
        <v>1053</v>
      </c>
    </row>
    <row r="18" spans="1:6" ht="15" customHeight="1">
      <c r="A18" s="111" t="s">
        <v>965</v>
      </c>
      <c r="B18" s="111" t="s">
        <v>929</v>
      </c>
      <c r="C18" s="251">
        <v>100000</v>
      </c>
      <c r="D18" s="251">
        <v>100000</v>
      </c>
      <c r="E18" s="251">
        <v>210000</v>
      </c>
      <c r="F18" s="111" t="s">
        <v>1049</v>
      </c>
    </row>
    <row r="19" spans="1:6" ht="15" customHeight="1">
      <c r="A19" s="111" t="s">
        <v>924</v>
      </c>
      <c r="B19" s="111" t="s">
        <v>1054</v>
      </c>
      <c r="C19" s="251">
        <v>0</v>
      </c>
      <c r="D19" s="251">
        <v>207811</v>
      </c>
      <c r="E19" s="251">
        <v>0</v>
      </c>
      <c r="F19" s="111" t="s">
        <v>1055</v>
      </c>
    </row>
    <row r="20" spans="1:6" ht="15" customHeight="1">
      <c r="A20" s="111" t="s">
        <v>1061</v>
      </c>
      <c r="B20" s="111" t="s">
        <v>1063</v>
      </c>
      <c r="C20" s="251">
        <v>0</v>
      </c>
      <c r="D20" s="251">
        <v>0</v>
      </c>
      <c r="E20" s="251">
        <v>8343</v>
      </c>
      <c r="F20" s="111" t="s">
        <v>1062</v>
      </c>
    </row>
    <row r="21" spans="1:6" ht="15" customHeight="1">
      <c r="A21" s="111" t="s">
        <v>151</v>
      </c>
      <c r="B21" s="111" t="s">
        <v>1063</v>
      </c>
      <c r="C21" s="251">
        <v>0</v>
      </c>
      <c r="D21" s="251">
        <v>0</v>
      </c>
      <c r="E21" s="251">
        <v>28587</v>
      </c>
      <c r="F21" s="111" t="s">
        <v>1062</v>
      </c>
    </row>
    <row r="22" spans="1:6" ht="15" customHeight="1">
      <c r="A22" s="111" t="s">
        <v>909</v>
      </c>
      <c r="B22" s="111" t="s">
        <v>1064</v>
      </c>
      <c r="C22" s="251">
        <v>0</v>
      </c>
      <c r="D22" s="251">
        <v>0</v>
      </c>
      <c r="E22" s="251">
        <v>17878</v>
      </c>
      <c r="F22" s="111" t="s">
        <v>1062</v>
      </c>
    </row>
    <row r="23" spans="1:6" ht="15" customHeight="1">
      <c r="A23" s="111" t="s">
        <v>1065</v>
      </c>
      <c r="B23" s="111" t="s">
        <v>1064</v>
      </c>
      <c r="C23" s="251">
        <v>0</v>
      </c>
      <c r="D23" s="251">
        <v>0</v>
      </c>
      <c r="E23" s="251">
        <v>35198</v>
      </c>
      <c r="F23" s="111" t="s">
        <v>1062</v>
      </c>
    </row>
    <row r="24" spans="1:6" ht="15" customHeight="1">
      <c r="A24" s="111" t="s">
        <v>898</v>
      </c>
      <c r="B24" s="111" t="s">
        <v>1064</v>
      </c>
      <c r="C24" s="251">
        <v>0</v>
      </c>
      <c r="D24" s="251">
        <v>0</v>
      </c>
      <c r="E24" s="251">
        <v>97625</v>
      </c>
      <c r="F24" s="111" t="s">
        <v>1062</v>
      </c>
    </row>
    <row r="25" spans="1:6" ht="15" customHeight="1">
      <c r="A25" s="111"/>
      <c r="B25" s="111"/>
      <c r="C25" s="251"/>
      <c r="D25" s="251"/>
      <c r="E25" s="251"/>
      <c r="F25" s="111"/>
    </row>
    <row r="26" spans="1:6" ht="15" customHeight="1">
      <c r="A26" s="111"/>
      <c r="B26" s="111"/>
      <c r="C26" s="251"/>
      <c r="D26" s="251"/>
      <c r="E26" s="251"/>
      <c r="F26" s="111"/>
    </row>
    <row r="27" spans="1:6">
      <c r="A27" s="137"/>
      <c r="B27" s="252" t="s">
        <v>130</v>
      </c>
      <c r="C27" s="120">
        <f>SUM(C10:C26)</f>
        <v>869149</v>
      </c>
      <c r="D27" s="120">
        <f>SUM(D10:D26)</f>
        <v>1048311</v>
      </c>
      <c r="E27" s="120">
        <f>SUM(E10:E26)</f>
        <v>1372131</v>
      </c>
      <c r="F27" s="137"/>
    </row>
    <row r="28" spans="1:6">
      <c r="A28" s="137"/>
      <c r="B28" s="253" t="s">
        <v>659</v>
      </c>
      <c r="C28" s="104"/>
      <c r="D28" s="105"/>
      <c r="E28" s="105"/>
      <c r="F28" s="137"/>
    </row>
    <row r="29" spans="1:6">
      <c r="A29" s="137"/>
      <c r="B29" s="252" t="s">
        <v>343</v>
      </c>
      <c r="C29" s="120">
        <f>C27</f>
        <v>869149</v>
      </c>
      <c r="D29" s="120">
        <f>SUM(D27-D28)</f>
        <v>1048311</v>
      </c>
      <c r="E29" s="120">
        <f>SUM(E27-E28)</f>
        <v>1372131</v>
      </c>
      <c r="F29" s="137"/>
    </row>
    <row r="30" spans="1:6">
      <c r="A30" s="137"/>
      <c r="B30" s="137"/>
      <c r="C30" s="137"/>
      <c r="D30" s="137"/>
      <c r="E30" s="137"/>
      <c r="F30" s="137"/>
    </row>
    <row r="31" spans="1:6">
      <c r="A31" s="137"/>
      <c r="B31" s="137"/>
      <c r="C31" s="137"/>
      <c r="D31" s="137"/>
      <c r="E31" s="137"/>
      <c r="F31" s="137"/>
    </row>
    <row r="32" spans="1:6">
      <c r="A32" s="445" t="s">
        <v>660</v>
      </c>
      <c r="B32" s="446" t="str">
        <f>CONCATENATE("Adjustments are required only if the transfer is being made in ",D9," and/or ",E9," from a non-budgeted fund.")</f>
        <v>Adjustments are required only if the transfer is being made in 2012 and/or 2013 from a non-budgeted fund.</v>
      </c>
      <c r="C32" s="137"/>
      <c r="D32" s="137"/>
      <c r="E32" s="137"/>
      <c r="F32" s="137"/>
    </row>
  </sheetData>
  <sheetProtection sheet="1" objects="1" scenarios="1"/>
  <mergeCells count="1">
    <mergeCell ref="A5:F5"/>
  </mergeCells>
  <phoneticPr fontId="0" type="noConversion"/>
  <pageMargins left="0.5" right="0.5" top="0.72" bottom="0.23" header="0.5" footer="0"/>
  <pageSetup scale="84" firstPageNumber="4" orientation="portrait" blackAndWhite="1" r:id="rId1"/>
  <headerFooter alignWithMargins="0">
    <oddHeader xml:space="preserve">&amp;RState of Kansas
County
</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17</vt:i4>
      </vt:variant>
    </vt:vector>
  </HeadingPairs>
  <TitlesOfParts>
    <vt:vector size="70" baseType="lpstr">
      <vt:lpstr>instructions</vt:lpstr>
      <vt:lpstr>inputPrYr</vt:lpstr>
      <vt:lpstr>inputOth</vt:lpstr>
      <vt:lpstr>inputBudSum</vt:lpstr>
      <vt:lpstr>cert</vt:lpstr>
      <vt:lpstr>cert2</vt:lpstr>
      <vt:lpstr>computation</vt:lpstr>
      <vt:lpstr>mvalloc</vt:lpstr>
      <vt:lpstr>transfers</vt:lpstr>
      <vt:lpstr>TransfersStatutes</vt:lpstr>
      <vt:lpstr>debt</vt:lpstr>
      <vt:lpstr>lpform</vt:lpstr>
      <vt:lpstr>general</vt:lpstr>
      <vt:lpstr>General Fund Expd.</vt:lpstr>
      <vt:lpstr>Bond &amp; Interest</vt:lpstr>
      <vt:lpstr>Road &amp; Bridge</vt:lpstr>
      <vt:lpstr>Road &amp; Bridge Expd.</vt:lpstr>
      <vt:lpstr>Special R&amp;B|Ambulance</vt:lpstr>
      <vt:lpstr>Appraisal|County Building</vt:lpstr>
      <vt:lpstr>Election|Employee Benefits</vt:lpstr>
      <vt:lpstr>Health|Noxious Weed</vt:lpstr>
      <vt:lpstr>Special Liability|Conservation</vt:lpstr>
      <vt:lpstr>Elderly|Extension</vt:lpstr>
      <vt:lpstr>Fair Prem|Fair Build</vt:lpstr>
      <vt:lpstr>Historical|Mental</vt:lpstr>
      <vt:lpstr>Developmental</vt:lpstr>
      <vt:lpstr>blank</vt:lpstr>
      <vt:lpstr>blank </vt:lpstr>
      <vt:lpstr>Solid Waste|Annex</vt:lpstr>
      <vt:lpstr>Centropolis|Country Estate</vt:lpstr>
      <vt:lpstr>911 Equipment|Wireless Phone</vt:lpstr>
      <vt:lpstr>Risk Management|Special Alcohol</vt:lpstr>
      <vt:lpstr>Special Parks|Tourism</vt:lpstr>
      <vt:lpstr>County Wide Phone|NW Capital</vt:lpstr>
      <vt:lpstr>Hospital Tax|911 Phone Tax</vt:lpstr>
      <vt:lpstr>blank  </vt:lpstr>
      <vt:lpstr>nonbudA</vt:lpstr>
      <vt:lpstr>nonbudB</vt:lpstr>
      <vt:lpstr>nonbudC</vt:lpstr>
      <vt:lpstr> blank</vt:lpstr>
      <vt:lpstr>NonBudFunds</vt:lpstr>
      <vt:lpstr>summ</vt:lpstr>
      <vt:lpstr>summ2</vt:lpstr>
      <vt:lpstr>Nhood</vt:lpstr>
      <vt:lpstr>Resolution</vt:lpstr>
      <vt:lpstr>Tab A</vt:lpstr>
      <vt:lpstr>Tab B</vt:lpstr>
      <vt:lpstr>Tab C</vt:lpstr>
      <vt:lpstr>Tab D</vt:lpstr>
      <vt:lpstr>Tab E</vt:lpstr>
      <vt:lpstr>Mill Rate Computation</vt:lpstr>
      <vt:lpstr>Helpful Links</vt:lpstr>
      <vt:lpstr>legend</vt:lpstr>
      <vt:lpstr>'Appraisal|County Building'!Print_Area</vt:lpstr>
      <vt:lpstr>blank!Print_Area</vt:lpstr>
      <vt:lpstr>'blank '!Print_Area</vt:lpstr>
      <vt:lpstr>'Bond &amp; Interest'!Print_Area</vt:lpstr>
      <vt:lpstr>Developmental!Print_Area</vt:lpstr>
      <vt:lpstr>'Elderly|Extension'!Print_Area</vt:lpstr>
      <vt:lpstr>'Election|Employee Benefits'!Print_Area</vt:lpstr>
      <vt:lpstr>'Fair Prem|Fair Build'!Print_Area</vt:lpstr>
      <vt:lpstr>general!Print_Area</vt:lpstr>
      <vt:lpstr>'Health|Noxious Weed'!Print_Area</vt:lpstr>
      <vt:lpstr>'Historical|Mental'!Print_Area</vt:lpstr>
      <vt:lpstr>inputPrYr!Print_Area</vt:lpstr>
      <vt:lpstr>instructions!Print_Area</vt:lpstr>
      <vt:lpstr>'Road &amp; Bridge'!Print_Area</vt:lpstr>
      <vt:lpstr>'Special Liability|Conservation'!Print_Area</vt:lpstr>
      <vt:lpstr>'Special R&amp;B|Ambulance'!Print_Area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Rbasinge</cp:lastModifiedBy>
  <cp:lastPrinted>2012-07-26T17:05:05Z</cp:lastPrinted>
  <dcterms:created xsi:type="dcterms:W3CDTF">1998-08-26T13:26:11Z</dcterms:created>
  <dcterms:modified xsi:type="dcterms:W3CDTF">2014-01-20T14:55:30Z</dcterms:modified>
</cp:coreProperties>
</file>