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lpform" sheetId="11" state="hidden" r:id="rId11"/>
    <sheet name="Library Grant" sheetId="12" state="hidden" r:id="rId12"/>
    <sheet name="general" sheetId="13" r:id="rId13"/>
    <sheet name="general-detail" sheetId="14" state="hidden" r:id="rId14"/>
    <sheet name="DebtSvs-Library" sheetId="15" state="hidden" r:id="rId15"/>
    <sheet name="levy page9" sheetId="16" state="hidden" r:id="rId16"/>
    <sheet name="levy page10" sheetId="17" state="hidden" r:id="rId17"/>
    <sheet name="SpecHwy" sheetId="18" r:id="rId18"/>
    <sheet name="no levy page12" sheetId="19" state="hidden" r:id="rId19"/>
    <sheet name="no levy page13" sheetId="20" state="hidden" r:id="rId20"/>
    <sheet name="Sinnolevy14" sheetId="21" state="hidden" r:id="rId21"/>
    <sheet name="nonbud" sheetId="22" state="hidden" r:id="rId22"/>
    <sheet name="NonBudFunds" sheetId="23" state="hidden" r:id="rId23"/>
    <sheet name="summ" sheetId="24" r:id="rId24"/>
    <sheet name="Nhood" sheetId="25" state="hidden"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 name="publication" sheetId="35"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<sst xmlns="http://schemas.openxmlformats.org/spreadsheetml/2006/main" count="1644" uniqueCount="1013">
  <si>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</si>
  <si>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</si>
  <si>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</si>
  <si>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</si>
  <si>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</si>
  <si>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</si>
  <si>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</si>
  <si>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</si>
  <si>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</si>
  <si>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</si>
  <si>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</si>
  <si>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</si>
  <si>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</si>
  <si>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</si>
  <si>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</si>
  <si>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</si>
  <si>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</si>
  <si>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</si>
  <si>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</si>
  <si>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</si>
  <si>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</si>
  <si>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</si>
  <si>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</si>
  <si>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</si>
  <si>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</si>
  <si>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</si>
  <si>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</si>
  <si>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</si>
  <si>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</si>
  <si>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</si>
  <si>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</si>
  <si>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</si>
  <si>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</si>
  <si>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</si>
  <si>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</si>
  <si>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</si>
  <si>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</si>
  <si>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</si>
  <si>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</si>
  <si>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</si>
  <si>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</si>
  <si>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</si>
  <si>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</si>
  <si>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</si>
  <si>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</si>
  <si>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</si>
  <si>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</si>
  <si>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</si>
  <si>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</si>
  <si>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</si>
  <si>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</si>
  <si>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</si>
  <si>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</si>
  <si>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</si>
  <si>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</si>
  <si>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</si>
  <si>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</si>
  <si>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</si>
  <si>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</si>
  <si>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</si>
  <si>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</si>
  <si>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</si>
  <si>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</si>
  <si>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</si>
  <si>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</si>
  <si>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</si>
  <si>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</si>
  <si>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</si>
  <si>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</si>
  <si>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</si>
  <si>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</si>
  <si>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</si>
  <si>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</si>
  <si>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</si>
  <si>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</si>
  <si>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</si>
  <si>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</si>
  <si>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</si>
  <si>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</si>
  <si>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</si>
  <si>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</si>
  <si>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</si>
  <si>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</si>
  <si>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</si>
  <si>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</si>
  <si>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</si>
  <si>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</si>
  <si>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</si>
  <si>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</si>
  <si>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</si>
  <si>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</si>
  <si>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</si>
  <si>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</si>
  <si>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</si>
  <si>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</si>
  <si>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</si>
  <si>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</si>
  <si>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</si>
  <si>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</si>
  <si>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</si>
  <si>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</si>
  <si>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</si>
  <si>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</si>
  <si>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</si>
  <si>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</si>
  <si>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</si>
  <si>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</si>
  <si>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</si>
  <si>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</si>
  <si>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</si>
  <si>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</si>
  <si>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</si>
  <si>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</si>
  <si>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</si>
  <si>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</si>
  <si>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</si>
  <si>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</si>
  <si>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</si>
  <si>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</si>
  <si>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</si>
  <si>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</si>
  <si>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</si>
  <si>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</si>
  <si>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</si>
  <si>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</si>
  <si>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</si>
  <si>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</si>
  <si>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</si>
  <si>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</si>
  <si>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</si>
  <si>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</si>
  <si>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</si>
  <si>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</si>
  <si>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</si>
  <si>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</si>
  <si>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</si>
  <si>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</si>
  <si>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</si>
  <si>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</si>
  <si>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</si>
  <si>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</si>
  <si>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</si>
  <si>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</si>
  <si>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</si>
  <si>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</si>
  <si>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</si>
  <si>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</si>
  <si>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</si>
  <si>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</si>
  <si>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</si>
  <si>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</si>
  <si>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</si>
  <si>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</si>
  <si>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</si>
  <si>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</si>
  <si>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</si>
  <si>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</si>
  <si>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</si>
  <si>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</si>
  <si>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</si>
  <si>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</si>
  <si>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</si>
  <si>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</si>
  <si>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</si>
  <si>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</si>
  <si>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</si>
  <si>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</si>
  <si>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</si>
  <si>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</si>
  <si>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</si>
  <si>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</si>
  <si>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</si>
  <si>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</si>
  <si>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</si>
  <si>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</si>
  <si>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</si>
  <si>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</si>
  <si>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</si>
  <si>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</si>
  <si>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</si>
  <si>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</si>
  <si>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</si>
  <si>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</si>
  <si>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</si>
  <si>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</si>
  <si>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</si>
  <si>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</si>
  <si>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</si>
  <si>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</si>
  <si>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</si>
  <si>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</si>
  <si>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</si>
  <si>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</si>
  <si>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</si>
  <si>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</si>
  <si>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</si>
  <si>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</si>
  <si>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</si>
  <si>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</si>
  <si>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</si>
  <si>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</si>
  <si>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</si>
  <si>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</si>
  <si>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</si>
  <si>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</si>
  <si>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</si>
  <si>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</si>
  <si>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</si>
  <si>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</si>
  <si>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</si>
  <si>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</si>
  <si>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</si>
  <si>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</si>
  <si>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</si>
  <si>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</si>
  <si>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</si>
  <si>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</si>
  <si>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</si>
  <si>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</si>
  <si>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</si>
  <si>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</si>
  <si>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</si>
  <si>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</si>
  <si>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</si>
  <si>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</si>
  <si>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</si>
  <si>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</si>
  <si>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</si>
  <si>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</si>
  <si>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</si>
  <si>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</si>
  <si>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</si>
  <si>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</si>
  <si>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</si>
  <si>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</si>
  <si>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</si>
  <si>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</si>
  <si>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</si>
  <si>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</si>
  <si>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</si>
  <si>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</si>
  <si>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</si>
  <si>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</si>
  <si>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</si>
  <si>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</si>
  <si>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</si>
  <si>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</si>
  <si>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</si>
  <si>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</si>
  <si>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</si>
  <si>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</si>
  <si>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</si>
  <si>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</si>
  <si>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</si>
  <si>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</si>
  <si>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</si>
  <si>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</si>
  <si>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</si>
  <si>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</si>
  <si>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</si>
  <si>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</si>
  <si>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</si>
  <si>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</si>
  <si>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</si>
  <si>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</si>
  <si>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</si>
  <si>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</si>
  <si>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</si>
  <si>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</si>
  <si>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</si>
  <si>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</si>
  <si>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</si>
  <si>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</si>
  <si>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</si>
  <si>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</si>
  <si>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</si>
  <si>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</si>
  <si>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</si>
  <si>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</si>
  <si>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</si>
  <si>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</si>
  <si>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</si>
  <si>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</si>
  <si>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</si>
  <si>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</si>
  <si>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</si>
  <si>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</si>
  <si>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</si>
  <si>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</si>
  <si>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</si>
  <si>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</si>
  <si>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</si>
  <si>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</si>
  <si>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</si>
  <si>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</si>
  <si>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</si>
  <si>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</si>
  <si>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</si>
  <si>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</si>
  <si>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</si>
  <si>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</si>
  <si>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</si>
  <si>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</si>
  <si>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</si>
  <si>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</si>
  <si>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</si>
  <si>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</si>
  <si>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</si>
  <si>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</si>
  <si>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</si>
  <si>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</si>
  <si>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</si>
  <si>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</si>
  <si>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</si>
  <si>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</si>
  <si>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</si>
  <si>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</si>
  <si>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</si>
  <si>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</si>
  <si>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</si>
  <si>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</si>
  <si>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</si>
  <si>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</si>
  <si>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</si>
  <si>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</si>
  <si>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</si>
  <si>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</si>
  <si>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</si>
  <si>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</si>
  <si>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</si>
  <si>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</si>
  <si>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</si>
  <si>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</si>
  <si>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</si>
  <si>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</si>
  <si>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</si>
  <si>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</si>
  <si>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</si>
  <si>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</si>
  <si>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</si>
  <si>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</si>
  <si>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</si>
  <si>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</si>
  <si>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</si>
  <si>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</si>
  <si>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</si>
  <si>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</si>
  <si>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</si>
  <si>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</si>
  <si>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</si>
  <si>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</si>
  <si>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</si>
  <si>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</si>
  <si>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</si>
  <si>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</si>
  <si>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</si>
  <si>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</si>
  <si>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</si>
  <si>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</si>
  <si>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</si>
  <si>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</si>
  <si>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</si>
  <si>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</si>
  <si>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</si>
  <si>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</si>
  <si>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</si>
  <si>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</si>
  <si>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</si>
  <si>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</si>
  <si>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</si>
  <si>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</si>
  <si>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</si>
  <si>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</si>
  <si>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</si>
  <si>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</si>
  <si>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</si>
  <si>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</si>
  <si>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</si>
  <si>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</si>
  <si>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</si>
  <si>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</si>
  <si>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</si>
  <si>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</si>
  <si>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</si>
  <si>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</si>
  <si>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</si>
  <si>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</si>
  <si>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</si>
  <si>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</si>
  <si>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</si>
  <si>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</si>
  <si>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</si>
  <si>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</si>
  <si>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</si>
  <si>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</si>
  <si>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</si>
  <si>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</si>
  <si>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</si>
  <si>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</si>
  <si>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</si>
  <si>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</si>
  <si>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</si>
  <si>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</si>
  <si>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</si>
  <si>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</si>
  <si>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</si>
  <si>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</si>
  <si>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</si>
  <si>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</si>
  <si>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</si>
  <si>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</si>
  <si>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</si>
  <si>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</si>
  <si>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</si>
  <si>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</si>
  <si>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</si>
  <si>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</si>
  <si>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</si>
  <si>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</si>
  <si>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</si>
  <si>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</si>
  <si>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</si>
  <si>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</si>
  <si>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</si>
  <si>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</si>
  <si>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</si>
  <si>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</si>
  <si>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</si>
  <si>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</si>
  <si>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</si>
  <si>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</si>
  <si>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</si>
  <si>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</si>
  <si>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</si>
  <si>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</si>
  <si>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</si>
  <si>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</si>
  <si>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</si>
  <si>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</si>
  <si>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</si>
  <si>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</si>
  <si>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</si>
  <si>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</si>
  <si>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</si>
  <si>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</si>
  <si>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</si>
  <si>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</si>
  <si>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</si>
  <si>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</si>
  <si>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</si>
  <si>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</si>
  <si>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</si>
  <si>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</si>
  <si>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</si>
  <si>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</si>
  <si>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</si>
  <si>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</si>
  <si>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</si>
  <si>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</si>
  <si>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</si>
  <si>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</si>
  <si>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</si>
  <si>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</si>
  <si>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</si>
  <si>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</si>
  <si>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</si>
  <si>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</si>
  <si>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</si>
  <si>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</si>
  <si>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</si>
  <si>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</si>
  <si>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</si>
  <si>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</si>
  <si>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</si>
  <si>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</si>
  <si>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</si>
  <si>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</si>
  <si>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</si>
  <si>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</si>
  <si>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</si>
  <si>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</si>
  <si>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</si>
  <si>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</si>
  <si>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</si>
  <si>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</si>
  <si>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</si>
  <si>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</si>
  <si>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</si>
  <si>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</si>
  <si>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</si>
  <si>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</si>
  <si>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</si>
  <si>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</si>
  <si>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</si>
  <si>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</si>
  <si>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</si>
  <si>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</si>
  <si>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</si>
  <si>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</si>
  <si>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</si>
  <si>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</si>
  <si>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</si>
  <si>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</si>
  <si>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</si>
  <si>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</si>
  <si>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</si>
  <si>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</si>
  <si>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</si>
  <si>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</si>
  <si>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</si>
  <si>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</si>
  <si>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</si>
  <si>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</si>
  <si>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</si>
  <si>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</si>
  <si>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</si>
  <si>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</si>
  <si>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</si>
  <si>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</si>
  <si>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</si>
  <si>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</si>
  <si>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</si>
  <si>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</si>
  <si>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</si>
  <si>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</si>
  <si>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</si>
  <si>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</si>
  <si>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</si>
  <si>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</si>
  <si>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</si>
  <si>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</si>
  <si>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</si>
  <si>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</si>
  <si>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</si>
  <si>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</si>
  <si>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</si>
  <si>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</si>
  <si>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</si>
  <si>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</si>
  <si>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</si>
  <si>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</si>
  <si>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</si>
  <si>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</si>
  <si>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</si>
  <si>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</si>
  <si>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</si>
  <si>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</si>
  <si>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</si>
  <si>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</si>
  <si>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</si>
  <si>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</si>
  <si>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</si>
  <si>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</si>
  <si>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</si>
  <si>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</si>
  <si>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</si>
  <si>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</si>
  <si>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</si>
  <si>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</si>
  <si>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</si>
  <si>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</si>
  <si>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</si>
  <si>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</si>
  <si>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</si>
  <si>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</si>
  <si>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</si>
  <si>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</si>
  <si>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</si>
  <si>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</si>
  <si>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</si>
  <si>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</si>
  <si>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</si>
  <si>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</si>
  <si>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</si>
  <si>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</si>
  <si>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</si>
  <si>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</si>
  <si>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</si>
  <si>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</si>
  <si>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</si>
  <si>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</si>
  <si>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</si>
  <si>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</si>
  <si>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</si>
  <si>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</si>
  <si>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</si>
  <si>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</si>
  <si>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</si>
  <si>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</si>
  <si>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</si>
  <si>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</si>
  <si>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</si>
  <si>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</si>
  <si>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</si>
  <si>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</si>
  <si>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</si>
  <si>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</si>
  <si>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</si>
  <si>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</si>
  <si>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</si>
  <si>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</si>
  <si>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</si>
  <si>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</si>
  <si>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</si>
  <si>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</si>
  <si>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</si>
  <si>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</si>
  <si>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</si>
  <si>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</si>
  <si>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</si>
  <si>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</si>
  <si>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</si>
  <si>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</si>
  <si>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</si>
  <si>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</si>
  <si>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</si>
  <si>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</si>
  <si>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</si>
  <si>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</si>
  <si>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</si>
  <si>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</si>
  <si>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</si>
  <si>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</si>
  <si>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</si>
  <si>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</si>
  <si>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</si>
  <si>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</si>
  <si>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</si>
  <si>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</si>
  <si>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</si>
  <si>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</si>
  <si>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</si>
  <si>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</si>
  <si>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</si>
  <si>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</si>
  <si>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</si>
  <si>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</si>
  <si>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</si>
  <si>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</si>
  <si>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</si>
  <si>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</si>
  <si>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</si>
  <si>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</si>
  <si>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</si>
  <si>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</si>
  <si>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</si>
  <si>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</si>
  <si>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</si>
  <si>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</si>
  <si>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</si>
  <si>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</si>
  <si>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</si>
  <si>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</si>
  <si>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</si>
  <si>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</si>
  <si>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</si>
  <si>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</si>
  <si>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</si>
  <si>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</si>
  <si>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</si>
  <si>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</si>
  <si>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</si>
  <si>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</si>
  <si>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</si>
  <si>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</si>
  <si>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</si>
  <si>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</si>
  <si>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</si>
  <si>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</si>
  <si>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</si>
  <si>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</si>
  <si>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</si>
  <si>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</si>
  <si>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</si>
  <si>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</si>
  <si>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</si>
  <si>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</si>
  <si>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</si>
  <si>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</si>
  <si>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</si>
  <si>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</si>
  <si>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</si>
  <si>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</si>
  <si>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</si>
  <si>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</si>
  <si>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</si>
  <si>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</si>
  <si>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</si>
  <si>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</si>
  <si>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</si>
  <si>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</si>
  <si>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</si>
  <si>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</si>
  <si>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</si>
  <si>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</si>
  <si>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</si>
  <si>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</si>
  <si>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</si>
  <si>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</si>
  <si>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</si>
  <si>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</si>
  <si>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</si>
  <si>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</si>
  <si>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</si>
  <si>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</si>
  <si>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</si>
  <si>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</si>
  <si>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</si>
  <si>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</si>
  <si>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</si>
  <si>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</si>
  <si>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</si>
  <si>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</si>
  <si>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</si>
  <si>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</si>
  <si>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</si>
  <si>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</si>
  <si>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</si>
  <si>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</si>
  <si>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</si>
  <si>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</si>
  <si>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</si>
  <si>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</si>
  <si>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</si>
  <si>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</si>
  <si>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</si>
  <si>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</si>
  <si>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</si>
  <si>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</si>
  <si>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</si>
  <si>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</si>
  <si>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</si>
  <si>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</si>
  <si>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</si>
  <si>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</si>
  <si>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</si>
  <si>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</si>
  <si>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</si>
  <si>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</si>
  <si>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</si>
  <si>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</si>
  <si>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</si>
  <si>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</si>
  <si>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</si>
  <si>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</si>
  <si>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</si>
  <si>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</si>
  <si>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</si>
  <si>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</si>
  <si>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</si>
  <si>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</si>
  <si>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</si>
  <si>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</si>
  <si>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</si>
  <si>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</si>
  <si>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</si>
  <si>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</si>
  <si>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</si>
  <si>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</si>
  <si>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</si>
  <si>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</si>
  <si>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</si>
  <si>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</si>
  <si>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</si>
  <si>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</si>
  <si>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</si>
  <si>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</si>
  <si>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</si>
  <si>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</si>
  <si>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</si>
  <si>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</si>
  <si>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</si>
  <si>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</si>
  <si>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</si>
  <si>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</si>
  <si>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</si>
  <si>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</si>
  <si>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</si>
  <si>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</si>
  <si>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</si>
  <si>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</si>
  <si>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</si>
  <si>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</si>
  <si>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</si>
  <si>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</si>
  <si>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</si>
  <si>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</si>
  <si>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</si>
  <si>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</si>
  <si>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</si>
  <si>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</si>
  <si>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</si>
  <si>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</si>
  <si>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</si>
  <si>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</si>
  <si>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</si>
  <si>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</si>
  <si>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</si>
  <si>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</si>
  <si>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</si>
  <si>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</si>
  <si>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</si>
  <si>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</si>
  <si>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</si>
  <si>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</si>
  <si>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</si>
  <si>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</si>
  <si>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</si>
  <si>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</si>
  <si>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</si>
  <si>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</si>
  <si>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</si>
  <si>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</si>
  <si>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</si>
  <si>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</si>
  <si>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</si>
  <si>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</si>
  <si>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</si>
  <si>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</si>
  <si>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</si>
  <si>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</si>
  <si>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</si>
  <si>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</si>
  <si>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</si>
  <si>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</si>
  <si>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</si>
  <si>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</si>
  <si>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</si>
  <si>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</si>
  <si>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</si>
  <si>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</si>
  <si>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</si>
  <si>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</si>
  <si>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</si>
  <si>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</si>
  <si>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</si>
  <si>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</si>
  <si>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</si>
  <si>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</si>
  <si>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</si>
  <si>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</si>
  <si>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</si>
  <si>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</si>
  <si>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</si>
  <si>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</si>
  <si>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</si>
  <si>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</si>
  <si>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</si>
  <si>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</si>
  <si>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</si>
  <si>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</si>
  <si>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</si>
  <si>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</si>
  <si>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</si>
  <si>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</si>
  <si>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</si>
  <si>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</si>
  <si>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</si>
  <si>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</si>
  <si>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</si>
  <si>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</si>
  <si>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</si>
  <si>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</si>
  <si>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</si>
  <si>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</si>
  <si>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</si>
  <si>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</si>
  <si>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</si>
  <si>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</si>
  <si>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</si>
  <si>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</si>
  <si>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</si>
  <si>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</si>
  <si>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</si>
  <si>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</si>
  <si>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</si>
  <si>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</si>
  <si>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</si>
  <si>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</si>
  <si>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</si>
  <si>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</si>
  <si>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</si>
  <si>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</si>
  <si>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</si>
  <si>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</si>
  <si>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</si>
  <si>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</si>
  <si>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</si>
  <si>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</si>
  <si>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</si>
  <si>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</si>
  <si>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</si>
  <si>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</si>
  <si>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</si>
  <si>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</si>
  <si>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</si>
  <si>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</si>
  <si>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</si>
  <si>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</si>
  <si>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</si>
  <si>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</si>
  <si>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</si>
  <si>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</si>
  <si>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</si>
  <si>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</si>
  <si>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</si>
  <si>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</si>
  <si>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</si>
  <si>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</si>
  <si>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</si>
  <si>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</si>
  <si>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</si>
  <si>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</si>
  <si>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</si>
  <si>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</si>
  <si>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</si>
  <si>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</si>
  <si>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</si>
  <si>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</si>
  <si>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</si>
  <si>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</si>
  <si>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</si>
  <si>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</si>
  <si>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</si>
  <si>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</si>
  <si>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</si>
  <si>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</si>
  <si>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</si>
  <si>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</si>
  <si>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</si>
  <si>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</si>
  <si>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</si>
  <si>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</si>
  <si>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</si>
  <si>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</si>
  <si>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</si>
  <si>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</si>
  <si>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</si>
  <si>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</si>
  <si>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</si>
  <si>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</si>
  <si>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</si>
  <si>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</si>
  <si>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</si>
  <si>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</si>
  <si>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</si>
  <si>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</si>
  <si>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</si>
  <si>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</si>
  <si>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</si>
  <si>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</si>
  <si>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</si>
  <si>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</si>
  <si>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</si>
  <si>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</si>
  <si>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</si>
  <si>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</si>
  <si>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</si>
  <si>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</si>
  <si>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</si>
  <si>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</si>
  <si>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</si>
  <si>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</si>
  <si>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</si>
  <si>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</si>
  <si>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</si>
  <si>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</si>
  <si>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</si>
  <si>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</si>
  <si>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</si>
  <si>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</si>
  <si>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</si>
  <si>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</si>
  <si>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</si>
  <si>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</si>
  <si>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</si>
  <si>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</si>
  <si>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</si>
  <si>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</si>
  <si>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</si>
  <si>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</si>
  <si>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</si>
  <si>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</si>
  <si>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</si>
  <si>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</si>
  <si>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</si>
  <si>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</si>
  <si>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</si>
  <si>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</si>
  <si>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</si>
  <si>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</si>
  <si>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</si>
  <si>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PARKERVILLE</t>
  </si>
  <si>
    <t>MORRIS COUNTY</t>
  </si>
  <si>
    <t>Susan McKenzie</t>
  </si>
  <si>
    <t>Susan McKenzie Residence</t>
  </si>
  <si>
    <t>Morris County Clerk</t>
  </si>
  <si>
    <t>Morris County Clerk's Office</t>
  </si>
  <si>
    <t>501 W Main St</t>
  </si>
  <si>
    <t>Council Grove, Ks  66846</t>
  </si>
  <si>
    <t>morris@tctelco.net</t>
  </si>
  <si>
    <t>Operations</t>
  </si>
  <si>
    <t>Park Maintenance</t>
  </si>
  <si>
    <t>Fire Contract to White City</t>
  </si>
  <si>
    <t>Insurance</t>
  </si>
  <si>
    <t xml:space="preserve">Insurance Dividend </t>
  </si>
  <si>
    <t>Co Treas Bal 1/11</t>
  </si>
  <si>
    <t>xxxxxxxxxxxxxxxxxxxx</t>
  </si>
  <si>
    <t>Co Treas Bal 12/11</t>
  </si>
  <si>
    <t>xxxxxxxxxxxxxxxxxxx</t>
  </si>
  <si>
    <t>Prior Year tax deposit</t>
  </si>
  <si>
    <t>September 4, 2012</t>
  </si>
  <si>
    <t>7:00 p.m.</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</si>
</sst>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 fontId="6" fillId="22" borderId="10" xfId="0" applyNumberFormat="1" applyFont="1" applyFill="1" applyBorder="1" applyAlignment="1" applyProtection="1">
      <alignment horizontal="lef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666750</xdr:colOff>
      <xdr:row>60</xdr:row>
      <xdr:rowOff>171450</xdr:rowOff>
    </xdr:to>
    <xdr:pic>
      <xdr:nvPicPr>
        <xdr:cNvPr id="1" name="Picture 1"/>
        <xdr:cNvPicPr preferRelativeResize="1">
          <a:picLocks noChangeAspect="1"/>
        </xdr:cNvPicPr>
      </xdr:nvPicPr>
      <xdr:blipFill>
        <a:blip r:embed="rId1"/>
        <a:stretch>
          <a:fillRect/>
        </a:stretch>
      </xdr:blipFill>
      <xdr:spPr>
        <a:xfrm>
          <a:off x="0" y="0"/>
          <a:ext cx="9363075" cy="1163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85725</xdr:colOff>
      <xdr:row>39</xdr:row>
      <xdr:rowOff>123825</xdr:rowOff>
    </xdr:to>
    <xdr:pic>
      <xdr:nvPicPr>
        <xdr:cNvPr id="1" name="Picture 1"/>
        <xdr:cNvPicPr preferRelativeResize="1">
          <a:picLocks noChangeAspect="1"/>
        </xdr:cNvPicPr>
      </xdr:nvPicPr>
      <xdr:blipFill>
        <a:blip r:embed="rId1"/>
        <a:stretch>
          <a:fillRect/>
        </a:stretch>
      </xdr:blipFill>
      <xdr:spPr>
        <a:xfrm>
          <a:off x="0" y="0"/>
          <a:ext cx="7629525" cy="7553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971</v>
      </c>
    </row>
    <row r="9" ht="15.75">
      <c r="A9" s="50" t="s">
        <v>62</v>
      </c>
    </row>
    <row r="10" ht="15.75">
      <c r="A10" s="50"/>
    </row>
    <row r="11" ht="27" customHeight="1">
      <c r="A11" s="53" t="s">
        <v>63</v>
      </c>
    </row>
    <row r="12" ht="51.75" customHeight="1" hidden="1"/>
    <row r="13" ht="12" customHeight="1"/>
    <row r="14" ht="42.75" customHeight="1">
      <c r="A14" s="55" t="s">
        <v>670</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761</v>
      </c>
    </row>
    <row r="37" ht="38.25" customHeight="1">
      <c r="A37" s="54" t="s">
        <v>40</v>
      </c>
    </row>
    <row r="38" ht="57" customHeight="1">
      <c r="A38" s="63" t="s">
        <v>14</v>
      </c>
    </row>
    <row r="39" ht="114.75" customHeight="1">
      <c r="A39" s="63" t="s">
        <v>928</v>
      </c>
    </row>
    <row r="40" ht="11.25" customHeight="1"/>
    <row r="41" ht="81" customHeight="1">
      <c r="A41" s="54" t="s">
        <v>669</v>
      </c>
    </row>
    <row r="42" ht="66" customHeight="1">
      <c r="A42" s="54" t="s">
        <v>97</v>
      </c>
    </row>
    <row r="43" ht="105" customHeight="1">
      <c r="A43" s="54" t="s">
        <v>101</v>
      </c>
    </row>
    <row r="44" ht="12.75" customHeight="1"/>
    <row r="45" ht="73.5" customHeight="1">
      <c r="A45" s="393" t="s">
        <v>910</v>
      </c>
    </row>
    <row r="46" ht="69.75" customHeight="1">
      <c r="A46" s="394" t="s">
        <v>621</v>
      </c>
    </row>
    <row r="47" ht="69.75" customHeight="1">
      <c r="A47" s="394" t="s">
        <v>911</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983</v>
      </c>
    </row>
    <row r="54" ht="13.5" customHeight="1">
      <c r="A54" s="54"/>
    </row>
    <row r="55" ht="70.5" customHeight="1">
      <c r="A55" s="54" t="s">
        <v>762</v>
      </c>
    </row>
    <row r="56" ht="117.75" customHeight="1">
      <c r="A56" s="54" t="s">
        <v>625</v>
      </c>
    </row>
    <row r="57" ht="35.25" customHeight="1">
      <c r="A57" s="54" t="s">
        <v>626</v>
      </c>
    </row>
    <row r="58" ht="15.75">
      <c r="A58" s="54"/>
    </row>
    <row r="59" ht="82.5" customHeight="1">
      <c r="A59" s="54" t="s">
        <v>899</v>
      </c>
    </row>
    <row r="61" ht="64.5" customHeight="1">
      <c r="A61" s="54" t="s">
        <v>627</v>
      </c>
    </row>
    <row r="62" ht="42.75" customHeight="1">
      <c r="A62" s="54" t="s">
        <v>646</v>
      </c>
    </row>
    <row r="63" ht="88.5" customHeight="1">
      <c r="A63" s="54" t="s">
        <v>671</v>
      </c>
    </row>
    <row r="64" ht="39" customHeight="1">
      <c r="A64" s="358" t="s">
        <v>647</v>
      </c>
    </row>
    <row r="66" s="54" customFormat="1" ht="58.5" customHeight="1">
      <c r="A66" s="54" t="s">
        <v>628</v>
      </c>
    </row>
    <row r="68" ht="69" customHeight="1">
      <c r="A68" s="54" t="s">
        <v>629</v>
      </c>
    </row>
    <row r="69" ht="11.25" customHeight="1"/>
    <row r="70" ht="147" customHeight="1">
      <c r="A70" s="54" t="s">
        <v>960</v>
      </c>
    </row>
    <row r="71" ht="11.25" customHeight="1"/>
    <row r="72" ht="85.5" customHeight="1">
      <c r="A72" s="54" t="s">
        <v>972</v>
      </c>
    </row>
    <row r="73" ht="85.5" customHeight="1">
      <c r="A73" s="54" t="s">
        <v>912</v>
      </c>
    </row>
    <row r="74" ht="104.25" customHeight="1">
      <c r="A74" s="493" t="s">
        <v>959</v>
      </c>
    </row>
    <row r="75" ht="73.5" customHeight="1">
      <c r="A75" s="493" t="s">
        <v>958</v>
      </c>
    </row>
    <row r="76" ht="73.5" customHeight="1">
      <c r="A76" s="493" t="s">
        <v>964</v>
      </c>
    </row>
    <row r="77" ht="136.5" customHeight="1">
      <c r="A77" s="54" t="s">
        <v>913</v>
      </c>
    </row>
    <row r="78" ht="85.5" customHeight="1">
      <c r="A78" s="54" t="s">
        <v>914</v>
      </c>
    </row>
    <row r="79" ht="116.25" customHeight="1">
      <c r="A79" s="54" t="s">
        <v>915</v>
      </c>
    </row>
    <row r="80" ht="140.25" customHeight="1">
      <c r="A80" s="54" t="s">
        <v>973</v>
      </c>
    </row>
    <row r="81" ht="63" customHeight="1">
      <c r="A81" s="54" t="s">
        <v>916</v>
      </c>
    </row>
    <row r="82" ht="128.25" customHeight="1">
      <c r="A82" s="54" t="s">
        <v>917</v>
      </c>
    </row>
    <row r="83" ht="52.5" customHeight="1">
      <c r="A83" s="54" t="s">
        <v>918</v>
      </c>
    </row>
    <row r="84" ht="81" customHeight="1">
      <c r="A84" s="54" t="s">
        <v>919</v>
      </c>
    </row>
    <row r="85" ht="129" customHeight="1">
      <c r="A85" s="359" t="s">
        <v>920</v>
      </c>
    </row>
    <row r="86" ht="130.5" customHeight="1">
      <c r="A86" s="360" t="s">
        <v>921</v>
      </c>
    </row>
    <row r="87" ht="70.5" customHeight="1">
      <c r="A87" s="361" t="s">
        <v>922</v>
      </c>
    </row>
    <row r="88" ht="12" customHeight="1"/>
    <row r="89" ht="54" customHeight="1">
      <c r="A89" s="54" t="s">
        <v>900</v>
      </c>
    </row>
    <row r="90" ht="72" customHeight="1">
      <c r="A90" s="745" t="s">
        <v>976</v>
      </c>
    </row>
    <row r="91" ht="38.25" customHeight="1">
      <c r="A91" s="395" t="s">
        <v>977</v>
      </c>
    </row>
    <row r="92" ht="36.75" customHeight="1">
      <c r="A92" s="493" t="s">
        <v>978</v>
      </c>
    </row>
    <row r="93" ht="131.25" customHeight="1">
      <c r="A93" s="493" t="s">
        <v>979</v>
      </c>
    </row>
    <row r="94" ht="153.75" customHeight="1">
      <c r="A94" s="493" t="s">
        <v>980</v>
      </c>
    </row>
    <row r="95" ht="92.25" customHeight="1">
      <c r="A95" s="396" t="s">
        <v>981</v>
      </c>
    </row>
    <row r="96" ht="89.25" customHeight="1">
      <c r="A96" s="397" t="s">
        <v>982</v>
      </c>
    </row>
    <row r="97" ht="12" customHeight="1"/>
    <row r="98" ht="127.5" customHeight="1">
      <c r="A98" s="54" t="s">
        <v>901</v>
      </c>
    </row>
    <row r="99" ht="117" customHeight="1">
      <c r="A99" s="54" t="s">
        <v>902</v>
      </c>
    </row>
    <row r="100" ht="56.25" customHeight="1">
      <c r="A100" s="54" t="s">
        <v>903</v>
      </c>
    </row>
    <row r="101" ht="26.25" customHeight="1">
      <c r="A101" s="54" t="s">
        <v>904</v>
      </c>
    </row>
    <row r="102" ht="14.25" customHeight="1">
      <c r="A102" s="54"/>
    </row>
    <row r="103" ht="68.25" customHeight="1">
      <c r="A103" s="54" t="s">
        <v>905</v>
      </c>
    </row>
    <row r="105" ht="63.75" customHeight="1">
      <c r="A105" s="493" t="s">
        <v>906</v>
      </c>
    </row>
    <row r="106" ht="105.75" customHeight="1">
      <c r="A106" s="493" t="s">
        <v>907</v>
      </c>
    </row>
    <row r="107" ht="130.5" customHeight="1">
      <c r="A107" s="493" t="s">
        <v>908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PARKERVILLE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656</v>
      </c>
      <c r="H5" s="65"/>
      <c r="I5" s="65"/>
      <c r="J5" s="242" t="s">
        <v>199</v>
      </c>
      <c r="K5" s="243"/>
      <c r="L5" s="242" t="s">
        <v>199</v>
      </c>
      <c r="M5" s="243"/>
    </row>
    <row r="6" spans="2:13" ht="15.75">
      <c r="B6" s="244" t="s">
        <v>924</v>
      </c>
      <c r="C6" s="244" t="s">
        <v>200</v>
      </c>
      <c r="D6" s="244" t="s">
        <v>323</v>
      </c>
      <c r="E6" s="244" t="s">
        <v>201</v>
      </c>
      <c r="F6" s="244" t="s">
        <v>157</v>
      </c>
      <c r="G6" s="244" t="s">
        <v>291</v>
      </c>
      <c r="H6" s="781" t="s">
        <v>202</v>
      </c>
      <c r="I6" s="782"/>
      <c r="J6" s="781">
        <f>inputPrYr!$C$5-1</f>
        <v>2012</v>
      </c>
      <c r="K6" s="784"/>
      <c r="L6" s="783">
        <f>inputPrYr!$C$5</f>
        <v>2013</v>
      </c>
      <c r="M6" s="784"/>
    </row>
    <row r="7" spans="2:13" ht="15.75">
      <c r="B7" s="247" t="s">
        <v>923</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PARKERVILLE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925</v>
      </c>
      <c r="C7" s="244" t="s">
        <v>216</v>
      </c>
      <c r="D7" s="244" t="s">
        <v>217</v>
      </c>
      <c r="E7" s="244" t="s">
        <v>201</v>
      </c>
      <c r="F7" s="244" t="s">
        <v>218</v>
      </c>
      <c r="G7" s="244" t="s">
        <v>318</v>
      </c>
      <c r="H7" s="244" t="s">
        <v>219</v>
      </c>
      <c r="I7" s="244" t="s">
        <v>219</v>
      </c>
    </row>
    <row r="8" spans="2:9" ht="15.75">
      <c r="B8" s="247" t="s">
        <v>926</v>
      </c>
      <c r="C8" s="247" t="s">
        <v>198</v>
      </c>
      <c r="D8" s="271" t="s">
        <v>220</v>
      </c>
      <c r="E8" s="247" t="s">
        <v>178</v>
      </c>
      <c r="F8" s="271" t="s">
        <v>292</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5" t="s">
        <v>849</v>
      </c>
      <c r="C2" s="785"/>
      <c r="D2" s="785"/>
      <c r="E2" s="785"/>
      <c r="F2" s="785"/>
      <c r="G2" s="785"/>
      <c r="H2" s="785"/>
      <c r="I2" s="785"/>
    </row>
    <row r="3" spans="2:9" ht="15.75">
      <c r="B3" s="785" t="s">
        <v>850</v>
      </c>
      <c r="C3" s="785"/>
      <c r="D3" s="785"/>
      <c r="E3" s="785"/>
      <c r="F3" s="785"/>
      <c r="G3" s="785"/>
      <c r="H3" s="785"/>
      <c r="I3" s="785"/>
    </row>
    <row r="4" spans="2:9" ht="15.75">
      <c r="B4" s="674"/>
      <c r="C4" s="674"/>
      <c r="D4" s="674"/>
      <c r="E4" s="674"/>
      <c r="F4" s="674"/>
      <c r="G4" s="674"/>
      <c r="H4" s="674"/>
      <c r="I4" s="674"/>
    </row>
    <row r="5" spans="2:9" ht="15.75">
      <c r="B5" s="786" t="str">
        <f>CONCATENATE("Budgeted Year: ",inputPrYr!C5,"")</f>
        <v>Budgeted Year: 2013</v>
      </c>
      <c r="C5" s="786"/>
      <c r="D5" s="786"/>
      <c r="E5" s="786"/>
      <c r="F5" s="786"/>
      <c r="G5" s="786"/>
      <c r="H5" s="786"/>
      <c r="I5" s="786"/>
    </row>
    <row r="6" spans="2:9" ht="15.75">
      <c r="B6" s="675"/>
      <c r="C6" s="674"/>
      <c r="D6" s="674"/>
      <c r="E6" s="674"/>
      <c r="F6" s="674"/>
      <c r="G6" s="674"/>
      <c r="H6" s="674"/>
      <c r="I6" s="674"/>
    </row>
    <row r="7" spans="2:9" ht="15.75">
      <c r="B7" s="675" t="str">
        <f>CONCATENATE("Library found in: ",inputPrYr!D2,"")</f>
        <v>Library found in: CITY OF PARKERVILLE</v>
      </c>
      <c r="C7" s="674"/>
      <c r="D7" s="674"/>
      <c r="E7" s="674"/>
      <c r="F7" s="674"/>
      <c r="G7" s="674"/>
      <c r="H7" s="674"/>
      <c r="I7" s="674"/>
    </row>
    <row r="8" spans="2:9" ht="15.75">
      <c r="B8" s="675" t="str">
        <f>inputPrYr!D3</f>
        <v>MORRIS COUNTY</v>
      </c>
      <c r="C8" s="674"/>
      <c r="D8" s="674"/>
      <c r="E8" s="674"/>
      <c r="F8" s="674"/>
      <c r="G8" s="674"/>
      <c r="H8" s="674"/>
      <c r="I8" s="674"/>
    </row>
    <row r="9" spans="2:9" ht="15.75">
      <c r="B9" s="674"/>
      <c r="C9" s="674"/>
      <c r="D9" s="674"/>
      <c r="E9" s="674"/>
      <c r="F9" s="674"/>
      <c r="G9" s="674"/>
      <c r="H9" s="674"/>
      <c r="I9" s="674"/>
    </row>
    <row r="10" spans="2:9" ht="39" customHeight="1">
      <c r="B10" s="787" t="s">
        <v>851</v>
      </c>
      <c r="C10" s="787"/>
      <c r="D10" s="787"/>
      <c r="E10" s="787"/>
      <c r="F10" s="787"/>
      <c r="G10" s="787"/>
      <c r="H10" s="787"/>
      <c r="I10" s="787"/>
    </row>
    <row r="11" spans="2:9" ht="15.75">
      <c r="B11" s="674"/>
      <c r="C11" s="674"/>
      <c r="D11" s="674"/>
      <c r="E11" s="674"/>
      <c r="F11" s="674"/>
      <c r="G11" s="674"/>
      <c r="H11" s="674"/>
      <c r="I11" s="674"/>
    </row>
    <row r="12" spans="2:9" ht="15.75">
      <c r="B12" s="676" t="s">
        <v>852</v>
      </c>
      <c r="C12" s="674"/>
      <c r="D12" s="674"/>
      <c r="E12" s="674"/>
      <c r="F12" s="674"/>
      <c r="G12" s="674"/>
      <c r="H12" s="674"/>
      <c r="I12" s="674"/>
    </row>
    <row r="13" spans="2:9" ht="15.75">
      <c r="B13" s="674"/>
      <c r="C13" s="674"/>
      <c r="D13" s="674"/>
      <c r="E13" s="677" t="s">
        <v>853</v>
      </c>
      <c r="F13" s="674"/>
      <c r="G13" s="677" t="s">
        <v>854</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855</v>
      </c>
      <c r="C22" s="674"/>
      <c r="D22" s="674"/>
      <c r="E22" s="680">
        <f>SUM(E15:E21)</f>
        <v>0</v>
      </c>
      <c r="F22" s="674"/>
      <c r="G22" s="680">
        <f>SUM(G15:G21)</f>
        <v>0</v>
      </c>
      <c r="H22" s="674"/>
      <c r="I22" s="674"/>
    </row>
    <row r="23" spans="2:9" ht="15.75">
      <c r="B23" s="674" t="s">
        <v>856</v>
      </c>
      <c r="C23" s="674"/>
      <c r="D23" s="674"/>
      <c r="E23" s="681">
        <f>G22-E22</f>
        <v>0</v>
      </c>
      <c r="F23" s="674"/>
      <c r="G23" s="682"/>
      <c r="H23" s="674"/>
      <c r="I23" s="674"/>
    </row>
    <row r="24" spans="2:9" ht="15.75">
      <c r="B24" s="674" t="s">
        <v>857</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858</v>
      </c>
      <c r="C26" s="674"/>
      <c r="D26" s="674"/>
      <c r="E26" s="674"/>
      <c r="F26" s="674"/>
      <c r="G26" s="674"/>
      <c r="H26" s="674"/>
      <c r="I26" s="674"/>
    </row>
    <row r="27" spans="2:9" ht="15.75">
      <c r="B27" s="674" t="s">
        <v>190</v>
      </c>
      <c r="C27" s="674"/>
      <c r="D27" s="674"/>
      <c r="E27" s="679">
        <f>summ!D35</f>
        <v>101162</v>
      </c>
      <c r="F27" s="674"/>
      <c r="G27" s="679">
        <f>summ!F35</f>
        <v>91749</v>
      </c>
      <c r="H27" s="674"/>
      <c r="I27" s="674"/>
    </row>
    <row r="28" spans="2:9" ht="15.75">
      <c r="B28" s="674" t="s">
        <v>859</v>
      </c>
      <c r="C28" s="674"/>
      <c r="D28" s="674"/>
      <c r="E28" s="684" t="str">
        <f>IF(G27-E27&gt;0,"No","Yes")</f>
        <v>Yes</v>
      </c>
      <c r="F28" s="674"/>
      <c r="G28" s="674"/>
      <c r="H28" s="674"/>
      <c r="I28" s="674"/>
    </row>
    <row r="29" spans="2:9" ht="15.75">
      <c r="B29" s="674" t="s">
        <v>860</v>
      </c>
      <c r="C29" s="674"/>
      <c r="D29" s="674"/>
      <c r="E29" s="677" t="str">
        <f>summ!E18</f>
        <v>  </v>
      </c>
      <c r="F29" s="674"/>
      <c r="G29" s="692">
        <f>summ!H18</f>
      </c>
      <c r="H29" s="674"/>
      <c r="I29" s="674"/>
    </row>
    <row r="30" spans="2:9" ht="15.75">
      <c r="B30" s="674" t="s">
        <v>861</v>
      </c>
      <c r="C30" s="674"/>
      <c r="D30" s="674"/>
      <c r="E30" s="693" t="e">
        <f>G29-E29</f>
        <v>#VALUE!</v>
      </c>
      <c r="F30" s="674"/>
      <c r="G30" s="674"/>
      <c r="H30" s="674"/>
      <c r="I30" s="674"/>
    </row>
    <row r="31" spans="2:9" ht="15.75">
      <c r="B31" s="674" t="s">
        <v>857</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862</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7" t="s">
        <v>863</v>
      </c>
      <c r="C36" s="787"/>
      <c r="D36" s="787"/>
      <c r="E36" s="787"/>
      <c r="F36" s="787"/>
      <c r="G36" s="787"/>
      <c r="H36" s="787"/>
      <c r="I36" s="787"/>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8" t="s">
        <v>864</v>
      </c>
      <c r="C43" s="789"/>
      <c r="D43" s="789"/>
      <c r="E43" s="789"/>
      <c r="F43" s="789"/>
      <c r="G43" s="789"/>
      <c r="H43" s="789"/>
      <c r="I43" s="789"/>
    </row>
    <row r="44" spans="2:9" ht="15.75">
      <c r="B44" s="674"/>
      <c r="C44" s="674"/>
      <c r="D44" s="674"/>
      <c r="E44" s="674"/>
      <c r="F44" s="674"/>
      <c r="G44" s="674"/>
      <c r="H44" s="674"/>
      <c r="I44" s="674"/>
    </row>
    <row r="45" spans="2:9" ht="15.75">
      <c r="B45" s="686" t="s">
        <v>865</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866</v>
      </c>
      <c r="C49" s="686"/>
      <c r="D49" s="687"/>
      <c r="E49" s="687"/>
      <c r="F49" s="687"/>
      <c r="G49" s="687"/>
      <c r="H49" s="687"/>
      <c r="I49" s="687"/>
    </row>
    <row r="50" spans="2:9" ht="15.75">
      <c r="B50" s="686" t="s">
        <v>867</v>
      </c>
      <c r="C50" s="686"/>
      <c r="D50" s="687"/>
      <c r="E50" s="687"/>
      <c r="F50" s="687"/>
      <c r="G50" s="687"/>
      <c r="H50" s="687"/>
      <c r="I50" s="687"/>
    </row>
    <row r="51" spans="2:9" ht="15.75">
      <c r="B51" s="686" t="s">
        <v>868</v>
      </c>
      <c r="C51" s="686"/>
      <c r="D51" s="687"/>
      <c r="E51" s="687"/>
      <c r="F51" s="687"/>
      <c r="G51" s="687"/>
      <c r="H51" s="687"/>
      <c r="I51" s="687"/>
    </row>
    <row r="52" spans="2:9" ht="15">
      <c r="B52" s="687"/>
      <c r="C52" s="687"/>
      <c r="D52" s="687"/>
      <c r="E52" s="687"/>
      <c r="F52" s="687"/>
      <c r="G52" s="687"/>
      <c r="H52" s="687"/>
      <c r="I52" s="687"/>
    </row>
    <row r="53" spans="2:9" ht="15.75">
      <c r="B53" s="688" t="s">
        <v>869</v>
      </c>
      <c r="C53" s="687"/>
      <c r="D53" s="687"/>
      <c r="E53" s="687"/>
      <c r="F53" s="687"/>
      <c r="G53" s="687"/>
      <c r="H53" s="687"/>
      <c r="I53" s="687"/>
    </row>
    <row r="54" spans="2:9" ht="15">
      <c r="B54" s="687"/>
      <c r="C54" s="687"/>
      <c r="D54" s="687"/>
      <c r="E54" s="687"/>
      <c r="F54" s="687"/>
      <c r="G54" s="687"/>
      <c r="H54" s="687"/>
      <c r="I54" s="687"/>
    </row>
    <row r="55" spans="2:9" ht="15.75">
      <c r="B55" s="686" t="s">
        <v>870</v>
      </c>
      <c r="C55" s="687"/>
      <c r="D55" s="687"/>
      <c r="E55" s="687"/>
      <c r="F55" s="687"/>
      <c r="G55" s="687"/>
      <c r="H55" s="687"/>
      <c r="I55" s="687"/>
    </row>
    <row r="56" spans="2:9" ht="15.75">
      <c r="B56" s="686" t="s">
        <v>871</v>
      </c>
      <c r="C56" s="687"/>
      <c r="D56" s="687"/>
      <c r="E56" s="687"/>
      <c r="F56" s="687"/>
      <c r="G56" s="687"/>
      <c r="H56" s="687"/>
      <c r="I56" s="687"/>
    </row>
    <row r="57" spans="2:9" ht="15">
      <c r="B57" s="687"/>
      <c r="C57" s="687"/>
      <c r="D57" s="687"/>
      <c r="E57" s="687"/>
      <c r="F57" s="687"/>
      <c r="G57" s="687"/>
      <c r="H57" s="687"/>
      <c r="I57" s="687"/>
    </row>
    <row r="58" spans="2:9" ht="15.75">
      <c r="B58" s="688" t="s">
        <v>872</v>
      </c>
      <c r="C58" s="686"/>
      <c r="D58" s="686"/>
      <c r="E58" s="686"/>
      <c r="F58" s="686"/>
      <c r="G58" s="687"/>
      <c r="H58" s="687"/>
      <c r="I58" s="687"/>
    </row>
    <row r="59" spans="2:9" ht="15.75">
      <c r="B59" s="686"/>
      <c r="C59" s="686"/>
      <c r="D59" s="686"/>
      <c r="E59" s="686"/>
      <c r="F59" s="686"/>
      <c r="G59" s="687"/>
      <c r="H59" s="687"/>
      <c r="I59" s="687"/>
    </row>
    <row r="60" spans="2:9" ht="15.75">
      <c r="B60" s="686" t="s">
        <v>873</v>
      </c>
      <c r="C60" s="686"/>
      <c r="D60" s="686"/>
      <c r="E60" s="686"/>
      <c r="F60" s="686"/>
      <c r="G60" s="687"/>
      <c r="H60" s="687"/>
      <c r="I60" s="687"/>
    </row>
    <row r="61" spans="2:9" ht="15.75">
      <c r="B61" s="686" t="s">
        <v>874</v>
      </c>
      <c r="C61" s="686"/>
      <c r="D61" s="686"/>
      <c r="E61" s="686"/>
      <c r="F61" s="686"/>
      <c r="G61" s="687"/>
      <c r="H61" s="687"/>
      <c r="I61" s="687"/>
    </row>
    <row r="62" spans="2:9" ht="15.75">
      <c r="B62" s="686" t="s">
        <v>875</v>
      </c>
      <c r="C62" s="686"/>
      <c r="D62" s="686"/>
      <c r="E62" s="686"/>
      <c r="F62" s="686"/>
      <c r="G62" s="687"/>
      <c r="H62" s="687"/>
      <c r="I62" s="687"/>
    </row>
    <row r="63" spans="2:9" ht="15.75">
      <c r="B63" s="686" t="s">
        <v>876</v>
      </c>
      <c r="C63" s="686"/>
      <c r="D63" s="686"/>
      <c r="E63" s="686"/>
      <c r="F63" s="686"/>
      <c r="G63" s="687"/>
      <c r="H63" s="687"/>
      <c r="I63" s="687"/>
    </row>
    <row r="64" spans="2:9" ht="15">
      <c r="B64" s="689"/>
      <c r="C64" s="689"/>
      <c r="D64" s="689"/>
      <c r="E64" s="689"/>
      <c r="F64" s="689"/>
      <c r="G64" s="687"/>
      <c r="H64" s="687"/>
      <c r="I64" s="687"/>
    </row>
    <row r="65" spans="2:9" ht="15.75">
      <c r="B65" s="686" t="s">
        <v>877</v>
      </c>
      <c r="C65" s="689"/>
      <c r="D65" s="689"/>
      <c r="E65" s="689"/>
      <c r="F65" s="689"/>
      <c r="G65" s="687"/>
      <c r="H65" s="687"/>
      <c r="I65" s="687"/>
    </row>
    <row r="66" spans="2:9" ht="15.75">
      <c r="B66" s="686" t="s">
        <v>878</v>
      </c>
      <c r="C66" s="689"/>
      <c r="D66" s="689"/>
      <c r="E66" s="689"/>
      <c r="F66" s="689"/>
      <c r="G66" s="687"/>
      <c r="H66" s="687"/>
      <c r="I66" s="687"/>
    </row>
    <row r="67" spans="2:9" ht="15">
      <c r="B67" s="689"/>
      <c r="C67" s="689"/>
      <c r="D67" s="689"/>
      <c r="E67" s="689"/>
      <c r="F67" s="689"/>
      <c r="G67" s="687"/>
      <c r="H67" s="687"/>
      <c r="I67" s="687"/>
    </row>
    <row r="68" spans="2:9" ht="15.75">
      <c r="B68" s="686" t="s">
        <v>879</v>
      </c>
      <c r="C68" s="689"/>
      <c r="D68" s="689"/>
      <c r="E68" s="689"/>
      <c r="F68" s="689"/>
      <c r="G68" s="687"/>
      <c r="H68" s="687"/>
      <c r="I68" s="687"/>
    </row>
    <row r="69" spans="2:9" ht="15.75">
      <c r="B69" s="686" t="s">
        <v>880</v>
      </c>
      <c r="C69" s="689"/>
      <c r="D69" s="689"/>
      <c r="E69" s="689"/>
      <c r="F69" s="689"/>
      <c r="G69" s="687"/>
      <c r="H69" s="687"/>
      <c r="I69" s="687"/>
    </row>
    <row r="70" spans="2:9" ht="15">
      <c r="B70" s="689"/>
      <c r="C70" s="689"/>
      <c r="D70" s="689"/>
      <c r="E70" s="689"/>
      <c r="F70" s="689"/>
      <c r="G70" s="687"/>
      <c r="H70" s="687"/>
      <c r="I70" s="687"/>
    </row>
    <row r="71" spans="2:9" ht="15.75">
      <c r="B71" s="688" t="s">
        <v>881</v>
      </c>
      <c r="C71" s="689"/>
      <c r="D71" s="689"/>
      <c r="E71" s="689"/>
      <c r="F71" s="689"/>
      <c r="G71" s="687"/>
      <c r="H71" s="687"/>
      <c r="I71" s="687"/>
    </row>
    <row r="72" spans="2:9" ht="15">
      <c r="B72" s="689"/>
      <c r="C72" s="689"/>
      <c r="D72" s="689"/>
      <c r="E72" s="689"/>
      <c r="F72" s="689"/>
      <c r="G72" s="687"/>
      <c r="H72" s="687"/>
      <c r="I72" s="687"/>
    </row>
    <row r="73" spans="2:9" ht="15.75">
      <c r="B73" s="686" t="s">
        <v>882</v>
      </c>
      <c r="C73" s="689"/>
      <c r="D73" s="689"/>
      <c r="E73" s="689"/>
      <c r="F73" s="689"/>
      <c r="G73" s="687"/>
      <c r="H73" s="687"/>
      <c r="I73" s="687"/>
    </row>
    <row r="74" spans="2:9" ht="15.75">
      <c r="B74" s="686" t="s">
        <v>883</v>
      </c>
      <c r="C74" s="689"/>
      <c r="D74" s="689"/>
      <c r="E74" s="689"/>
      <c r="F74" s="689"/>
      <c r="G74" s="687"/>
      <c r="H74" s="687"/>
      <c r="I74" s="687"/>
    </row>
    <row r="75" spans="2:9" ht="15">
      <c r="B75" s="689"/>
      <c r="C75" s="689"/>
      <c r="D75" s="689"/>
      <c r="E75" s="689"/>
      <c r="F75" s="689"/>
      <c r="G75" s="687"/>
      <c r="H75" s="687"/>
      <c r="I75" s="687"/>
    </row>
    <row r="76" spans="2:9" ht="15.75">
      <c r="B76" s="688" t="s">
        <v>884</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885</v>
      </c>
      <c r="C79" s="689"/>
      <c r="D79" s="689"/>
      <c r="E79" s="689"/>
      <c r="F79" s="689"/>
      <c r="G79" s="687"/>
      <c r="H79" s="687"/>
      <c r="I79" s="687"/>
    </row>
    <row r="80" spans="2:9" ht="15">
      <c r="B80" s="689"/>
      <c r="C80" s="689"/>
      <c r="D80" s="689"/>
      <c r="E80" s="689"/>
      <c r="F80" s="689"/>
      <c r="G80" s="687"/>
      <c r="H80" s="687"/>
      <c r="I80" s="687"/>
    </row>
    <row r="81" spans="2:9" ht="15.75">
      <c r="B81" s="688" t="s">
        <v>480</v>
      </c>
      <c r="C81" s="689"/>
      <c r="D81" s="689"/>
      <c r="E81" s="689"/>
      <c r="F81" s="689"/>
      <c r="G81" s="687"/>
      <c r="H81" s="687"/>
      <c r="I81" s="687"/>
    </row>
    <row r="82" spans="2:9" ht="15">
      <c r="B82" s="689"/>
      <c r="C82" s="689"/>
      <c r="D82" s="689"/>
      <c r="E82" s="689"/>
      <c r="F82" s="689"/>
      <c r="G82" s="687"/>
      <c r="H82" s="687"/>
      <c r="I82" s="687"/>
    </row>
    <row r="83" spans="2:9" ht="15.75">
      <c r="B83" s="686" t="s">
        <v>886</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887</v>
      </c>
      <c r="C86" s="689"/>
      <c r="D86" s="689"/>
      <c r="E86" s="689"/>
      <c r="F86" s="689"/>
      <c r="G86" s="687"/>
      <c r="H86" s="687"/>
      <c r="I86" s="687"/>
    </row>
    <row r="87" spans="2:9" ht="15.75">
      <c r="B87" s="686" t="s">
        <v>888</v>
      </c>
      <c r="C87" s="689"/>
      <c r="D87" s="689"/>
      <c r="E87" s="689"/>
      <c r="F87" s="689"/>
      <c r="G87" s="687"/>
      <c r="H87" s="687"/>
      <c r="I87" s="687"/>
    </row>
    <row r="88" spans="2:9" ht="15.75">
      <c r="B88" s="686" t="s">
        <v>889</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890</v>
      </c>
      <c r="C92" s="689"/>
      <c r="D92" s="689"/>
      <c r="E92" s="689"/>
      <c r="F92" s="689"/>
      <c r="G92" s="687"/>
      <c r="H92" s="687"/>
      <c r="I92" s="687"/>
    </row>
    <row r="93" spans="2:9" ht="15.75">
      <c r="B93" s="686" t="s">
        <v>891</v>
      </c>
      <c r="C93" s="689"/>
      <c r="D93" s="689"/>
      <c r="E93" s="689"/>
      <c r="F93" s="689"/>
      <c r="G93" s="687"/>
      <c r="H93" s="687"/>
      <c r="I93" s="687"/>
    </row>
    <row r="94" spans="2:9" ht="15.75">
      <c r="B94" s="686" t="s">
        <v>892</v>
      </c>
      <c r="C94" s="689"/>
      <c r="D94" s="689"/>
      <c r="E94" s="689"/>
      <c r="F94" s="689"/>
      <c r="G94" s="687"/>
      <c r="H94" s="687"/>
      <c r="I94" s="687"/>
    </row>
    <row r="95" spans="2:9" ht="15">
      <c r="B95" s="689"/>
      <c r="C95" s="689"/>
      <c r="D95" s="689"/>
      <c r="E95" s="689"/>
      <c r="F95" s="689"/>
      <c r="G95" s="687"/>
      <c r="H95" s="687"/>
      <c r="I95" s="687"/>
    </row>
    <row r="96" spans="2:9" ht="15.75">
      <c r="B96" s="688" t="s">
        <v>893</v>
      </c>
      <c r="C96" s="689"/>
      <c r="D96" s="689"/>
      <c r="E96" s="689"/>
      <c r="F96" s="689"/>
      <c r="G96" s="687"/>
      <c r="H96" s="687"/>
      <c r="I96" s="687"/>
    </row>
    <row r="97" spans="2:9" ht="15">
      <c r="B97" s="689"/>
      <c r="C97" s="689"/>
      <c r="D97" s="689"/>
      <c r="E97" s="689"/>
      <c r="F97" s="689"/>
      <c r="G97" s="687"/>
      <c r="H97" s="687"/>
      <c r="I97" s="687"/>
    </row>
    <row r="98" spans="2:9" ht="15.75">
      <c r="B98" s="686" t="s">
        <v>894</v>
      </c>
      <c r="C98" s="689"/>
      <c r="D98" s="689"/>
      <c r="E98" s="689"/>
      <c r="F98" s="689"/>
      <c r="G98" s="687"/>
      <c r="H98" s="687"/>
      <c r="I98" s="687"/>
    </row>
    <row r="99" spans="2:9" ht="15.75">
      <c r="B99" s="686" t="s">
        <v>895</v>
      </c>
      <c r="C99" s="689"/>
      <c r="D99" s="689"/>
      <c r="E99" s="689"/>
      <c r="F99" s="689"/>
      <c r="G99" s="687"/>
      <c r="H99" s="687"/>
      <c r="I99" s="687"/>
    </row>
    <row r="100" spans="2:9" ht="15">
      <c r="B100" s="689"/>
      <c r="C100" s="689"/>
      <c r="D100" s="689"/>
      <c r="E100" s="689"/>
      <c r="F100" s="689"/>
      <c r="G100" s="687"/>
      <c r="H100" s="687"/>
      <c r="I100" s="687"/>
    </row>
    <row r="101" spans="2:9" ht="15.75">
      <c r="B101" s="686" t="s">
        <v>896</v>
      </c>
      <c r="C101" s="689"/>
      <c r="D101" s="689"/>
      <c r="E101" s="689"/>
      <c r="F101" s="689"/>
      <c r="G101" s="687"/>
      <c r="H101" s="687"/>
      <c r="I101" s="687"/>
    </row>
    <row r="102" spans="2:9" ht="15.75">
      <c r="B102" s="686" t="s">
        <v>897</v>
      </c>
      <c r="C102" s="689"/>
      <c r="D102" s="689"/>
      <c r="E102" s="689"/>
      <c r="F102" s="689"/>
      <c r="G102" s="687"/>
      <c r="H102" s="687"/>
      <c r="I102" s="687"/>
    </row>
    <row r="103" spans="2:9" ht="15.75">
      <c r="B103" s="686" t="s">
        <v>898</v>
      </c>
      <c r="C103" s="689"/>
      <c r="D103" s="689"/>
      <c r="E103" s="689"/>
      <c r="F103" s="689"/>
      <c r="G103" s="687"/>
      <c r="H103" s="687"/>
      <c r="I103" s="687"/>
    </row>
    <row r="104" spans="2:9" ht="15.75">
      <c r="B104" s="686" t="s">
        <v>957</v>
      </c>
      <c r="C104" s="689"/>
      <c r="D104" s="689"/>
      <c r="E104" s="689"/>
      <c r="F104" s="689"/>
      <c r="G104" s="687"/>
      <c r="H104" s="687"/>
      <c r="I104" s="687"/>
    </row>
    <row r="105" spans="2:9" ht="15.75">
      <c r="B105" s="746" t="s">
        <v>984</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5">
      <selection activeCell="E38" sqref="E3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PARKERVILLE</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841</v>
      </c>
      <c r="D5" s="719" t="s">
        <v>842</v>
      </c>
      <c r="E5" s="175" t="s">
        <v>843</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20862</v>
      </c>
      <c r="D7" s="442">
        <f>C62</f>
        <v>19572</v>
      </c>
      <c r="E7" s="278">
        <f>D62</f>
        <v>15374</v>
      </c>
    </row>
    <row r="8" spans="2:5" ht="15.75">
      <c r="B8" s="279" t="s">
        <v>286</v>
      </c>
      <c r="C8" s="425"/>
      <c r="D8" s="442"/>
      <c r="E8" s="280"/>
    </row>
    <row r="9" spans="2:5" ht="15.75">
      <c r="B9" s="179" t="s">
        <v>166</v>
      </c>
      <c r="C9" s="424">
        <v>979</v>
      </c>
      <c r="D9" s="442">
        <f>IF(inputPrYr!H16&gt;0,inputPrYr!G17,inputPrYr!E17)</f>
        <v>1205</v>
      </c>
      <c r="E9" s="281" t="s">
        <v>153</v>
      </c>
    </row>
    <row r="10" spans="2:5" ht="15.75">
      <c r="B10" s="179" t="s">
        <v>167</v>
      </c>
      <c r="C10" s="424">
        <v>319</v>
      </c>
      <c r="D10" s="426">
        <v>141</v>
      </c>
      <c r="E10" s="282"/>
    </row>
    <row r="11" spans="2:5" ht="15.75">
      <c r="B11" s="179" t="s">
        <v>168</v>
      </c>
      <c r="C11" s="424">
        <v>422</v>
      </c>
      <c r="D11" s="426">
        <v>382</v>
      </c>
      <c r="E11" s="283">
        <f>Mvalloc!D9</f>
        <v>514</v>
      </c>
    </row>
    <row r="12" spans="2:5" ht="15.75">
      <c r="B12" s="179" t="s">
        <v>169</v>
      </c>
      <c r="C12" s="424"/>
      <c r="D12" s="426"/>
      <c r="E12" s="283">
        <f>Mvalloc!E9</f>
        <v>0</v>
      </c>
    </row>
    <row r="13" spans="2:5" ht="15.75">
      <c r="B13" s="284" t="s">
        <v>221</v>
      </c>
      <c r="C13" s="424">
        <v>14</v>
      </c>
      <c r="D13" s="426">
        <v>17</v>
      </c>
      <c r="E13" s="283">
        <f>Mvalloc!F9</f>
        <v>17</v>
      </c>
    </row>
    <row r="14" spans="2:5" ht="15.75">
      <c r="B14" s="284" t="s">
        <v>265</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749" t="s">
        <v>1010</v>
      </c>
      <c r="C17" s="424">
        <v>699</v>
      </c>
      <c r="D17" s="426"/>
      <c r="E17" s="282"/>
    </row>
    <row r="18" spans="2:5" ht="15.75">
      <c r="B18" s="285" t="s">
        <v>170</v>
      </c>
      <c r="C18" s="424"/>
      <c r="D18" s="426"/>
      <c r="E18" s="282"/>
    </row>
    <row r="19" spans="2:5" ht="15.75">
      <c r="B19" s="443" t="s">
        <v>659</v>
      </c>
      <c r="C19" s="424">
        <v>431</v>
      </c>
      <c r="D19" s="426">
        <v>400</v>
      </c>
      <c r="E19" s="282">
        <v>400</v>
      </c>
    </row>
    <row r="20" spans="2:5" ht="15.75">
      <c r="B20" s="285" t="s">
        <v>258</v>
      </c>
      <c r="C20" s="424">
        <v>2974</v>
      </c>
      <c r="D20" s="426">
        <v>2900</v>
      </c>
      <c r="E20" s="286">
        <v>2900</v>
      </c>
    </row>
    <row r="21" spans="2:5" ht="15.75">
      <c r="B21" s="285" t="s">
        <v>259</v>
      </c>
      <c r="C21" s="424">
        <v>1116</v>
      </c>
      <c r="D21" s="426">
        <v>1000</v>
      </c>
      <c r="E21" s="282">
        <v>1000</v>
      </c>
    </row>
    <row r="22" spans="2:5" ht="15.75">
      <c r="B22" s="285" t="s">
        <v>260</v>
      </c>
      <c r="C22" s="424"/>
      <c r="D22" s="426"/>
      <c r="E22" s="282"/>
    </row>
    <row r="23" spans="2:5" ht="15.75">
      <c r="B23" s="285" t="s">
        <v>261</v>
      </c>
      <c r="C23" s="424"/>
      <c r="D23" s="426"/>
      <c r="E23" s="282"/>
    </row>
    <row r="24" spans="2:5" ht="15.75">
      <c r="B24" s="41" t="s">
        <v>653</v>
      </c>
      <c r="C24" s="424"/>
      <c r="D24" s="426"/>
      <c r="E24" s="282"/>
    </row>
    <row r="25" spans="2:5" ht="15.75">
      <c r="B25" s="285" t="s">
        <v>1005</v>
      </c>
      <c r="C25" s="424">
        <v>53</v>
      </c>
      <c r="D25" s="426"/>
      <c r="E25" s="282"/>
    </row>
    <row r="26" spans="2:5" ht="15.75">
      <c r="B26" s="285" t="s">
        <v>1006</v>
      </c>
      <c r="C26" s="422">
        <v>0</v>
      </c>
      <c r="D26" s="426">
        <v>17</v>
      </c>
      <c r="E26" s="282" t="s">
        <v>1007</v>
      </c>
    </row>
    <row r="27" spans="2:5" ht="15.75">
      <c r="B27" s="285" t="s">
        <v>1008</v>
      </c>
      <c r="C27" s="422">
        <v>-17</v>
      </c>
      <c r="D27" s="426" t="s">
        <v>1009</v>
      </c>
      <c r="E27" s="282" t="s">
        <v>1007</v>
      </c>
    </row>
    <row r="28" spans="2:5" ht="15.75">
      <c r="B28" s="285"/>
      <c r="C28" s="424"/>
      <c r="D28" s="426"/>
      <c r="E28" s="282"/>
    </row>
    <row r="29" spans="2:5" ht="15.75">
      <c r="B29" s="285" t="s">
        <v>171</v>
      </c>
      <c r="C29" s="424"/>
      <c r="D29" s="426"/>
      <c r="E29" s="282"/>
    </row>
    <row r="30" spans="2:5" ht="15.75">
      <c r="B30" s="287" t="s">
        <v>172</v>
      </c>
      <c r="C30" s="424">
        <v>145</v>
      </c>
      <c r="D30" s="426"/>
      <c r="E30" s="282"/>
    </row>
    <row r="31" spans="2:5" ht="15.75">
      <c r="B31" s="192" t="s">
        <v>262</v>
      </c>
      <c r="C31" s="422"/>
      <c r="D31" s="426"/>
      <c r="E31" s="288"/>
    </row>
    <row r="32" spans="2:5" ht="15.75">
      <c r="B32" s="192" t="s">
        <v>658</v>
      </c>
      <c r="C32" s="415">
        <f>IF(C33*0.1&lt;C31,"Exceed 10% Rule","")</f>
      </c>
      <c r="D32" s="427">
        <f>IF(D33*0.1&lt;D31,"Exceed 10% Rule","")</f>
      </c>
      <c r="E32" s="289">
        <f>IF(E33*0.1+E68&lt;E31,"Exceed 10% Rule","")</f>
      </c>
    </row>
    <row r="33" spans="2:5" ht="15.75">
      <c r="B33" s="290" t="s">
        <v>173</v>
      </c>
      <c r="C33" s="421">
        <f>SUM(C9:C31)</f>
        <v>7135</v>
      </c>
      <c r="D33" s="428">
        <f>SUM(D9:D31)</f>
        <v>6062</v>
      </c>
      <c r="E33" s="291">
        <f>SUM(E9:E31)</f>
        <v>4831</v>
      </c>
    </row>
    <row r="34" spans="2:5" ht="15.75">
      <c r="B34" s="290" t="s">
        <v>174</v>
      </c>
      <c r="C34" s="421">
        <f>C7+C33</f>
        <v>27997</v>
      </c>
      <c r="D34" s="428">
        <f>D7+D33</f>
        <v>25634</v>
      </c>
      <c r="E34" s="292">
        <f>E7+E33</f>
        <v>20205</v>
      </c>
    </row>
    <row r="35" spans="2:5" ht="15.75">
      <c r="B35" s="279" t="s">
        <v>175</v>
      </c>
      <c r="C35" s="423"/>
      <c r="D35" s="429"/>
      <c r="E35" s="283"/>
    </row>
    <row r="36" spans="2:5" ht="15.75">
      <c r="B36" s="293"/>
      <c r="C36" s="422"/>
      <c r="D36" s="426"/>
      <c r="E36" s="440"/>
    </row>
    <row r="37" spans="2:5" ht="15.75">
      <c r="B37" s="293" t="s">
        <v>1001</v>
      </c>
      <c r="C37" s="422">
        <v>3429</v>
      </c>
      <c r="D37" s="625">
        <v>5000</v>
      </c>
      <c r="E37" s="633">
        <v>14050</v>
      </c>
    </row>
    <row r="38" spans="2:5" ht="15.75">
      <c r="B38" s="293" t="s">
        <v>1002</v>
      </c>
      <c r="C38" s="422">
        <v>3800</v>
      </c>
      <c r="D38" s="625">
        <v>4000</v>
      </c>
      <c r="E38" s="633">
        <v>6000</v>
      </c>
    </row>
    <row r="39" spans="2:5" ht="15.75">
      <c r="B39" s="628" t="s">
        <v>1003</v>
      </c>
      <c r="C39" s="422">
        <v>247</v>
      </c>
      <c r="D39" s="625">
        <v>260</v>
      </c>
      <c r="E39" s="633">
        <v>260</v>
      </c>
    </row>
    <row r="40" spans="2:5" ht="15.75">
      <c r="B40" s="628" t="s">
        <v>1004</v>
      </c>
      <c r="C40" s="422">
        <v>949</v>
      </c>
      <c r="D40" s="625">
        <v>1000</v>
      </c>
      <c r="E40" s="633">
        <v>1100</v>
      </c>
    </row>
    <row r="41" spans="2:5" ht="15.75">
      <c r="B41" s="628"/>
      <c r="C41" s="422"/>
      <c r="D41" s="625"/>
      <c r="E41" s="633"/>
    </row>
    <row r="42" spans="2:5" ht="15.75">
      <c r="B42" s="628"/>
      <c r="C42" s="422"/>
      <c r="D42" s="625"/>
      <c r="E42" s="633"/>
    </row>
    <row r="43" spans="2:5" ht="15.75">
      <c r="B43" s="628"/>
      <c r="C43" s="422"/>
      <c r="D43" s="625"/>
      <c r="E43" s="633"/>
    </row>
    <row r="44" spans="2:5" ht="15.75">
      <c r="B44" s="628"/>
      <c r="C44" s="422"/>
      <c r="D44" s="625"/>
      <c r="E44" s="633"/>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90"/>
      <c r="H48" s="791"/>
      <c r="I48" s="791"/>
      <c r="J48" s="791"/>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2" t="str">
        <f>CONCATENATE("Desired Carryover Into ",E1+1,"")</f>
        <v>Desired Carryover Into 2014</v>
      </c>
      <c r="H52" s="793"/>
      <c r="I52" s="793"/>
      <c r="J52" s="794"/>
    </row>
    <row r="53" spans="2:10" ht="15.75">
      <c r="B53" s="293"/>
      <c r="C53" s="422"/>
      <c r="D53" s="426"/>
      <c r="E53" s="282"/>
      <c r="G53" s="568"/>
      <c r="H53" s="466"/>
      <c r="I53" s="482"/>
      <c r="J53" s="569"/>
    </row>
    <row r="54" spans="2:10" ht="15.75">
      <c r="B54" s="293"/>
      <c r="C54" s="422"/>
      <c r="D54" s="426"/>
      <c r="E54" s="282"/>
      <c r="G54" s="488" t="s">
        <v>667</v>
      </c>
      <c r="H54" s="482"/>
      <c r="I54" s="482"/>
      <c r="J54" s="476">
        <v>0</v>
      </c>
    </row>
    <row r="55" spans="2:10" ht="15.75">
      <c r="B55" s="293"/>
      <c r="C55" s="422"/>
      <c r="D55" s="426"/>
      <c r="E55" s="282"/>
      <c r="G55" s="568" t="s">
        <v>666</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845</v>
      </c>
      <c r="H57" s="702"/>
      <c r="I57" s="702"/>
      <c r="J57" s="666">
        <f>IF(J54&gt;0,J56-E65,0)</f>
        <v>0</v>
      </c>
    </row>
    <row r="58" spans="2:5" ht="15.75">
      <c r="B58" s="192" t="s">
        <v>53</v>
      </c>
      <c r="C58" s="422"/>
      <c r="D58" s="426"/>
      <c r="E58" s="283">
        <f>Nhood!E7</f>
      </c>
    </row>
    <row r="59" spans="2:10" ht="15.75">
      <c r="B59" s="192" t="s">
        <v>262</v>
      </c>
      <c r="C59" s="422"/>
      <c r="D59" s="426"/>
      <c r="E59" s="282"/>
      <c r="G59" s="792" t="str">
        <f>CONCATENATE("Projected Carryover Into ",E1+1,"")</f>
        <v>Projected Carryover Into 2014</v>
      </c>
      <c r="H59" s="793"/>
      <c r="I59" s="793"/>
      <c r="J59" s="794"/>
    </row>
    <row r="60" spans="2:10" ht="15.75">
      <c r="B60" s="192" t="s">
        <v>657</v>
      </c>
      <c r="C60" s="415">
        <f>IF(C61*0.1&lt;C59,"Exceed 10% Rule","")</f>
      </c>
      <c r="D60" s="427">
        <f>IF(D61*0.1&lt;D59,"Exceed 10% Rule","")</f>
      </c>
      <c r="E60" s="289">
        <f>IF(E61*0.1&lt;E59,"Exceed 10% Rule","")</f>
      </c>
      <c r="G60" s="477"/>
      <c r="H60" s="466"/>
      <c r="I60" s="466"/>
      <c r="J60" s="478"/>
    </row>
    <row r="61" spans="2:10" ht="15.75">
      <c r="B61" s="290" t="s">
        <v>176</v>
      </c>
      <c r="C61" s="421">
        <f>SUM(C36:C59)</f>
        <v>8425</v>
      </c>
      <c r="D61" s="428">
        <f>SUM(D36:D59)</f>
        <v>10260</v>
      </c>
      <c r="E61" s="291">
        <f>SUM(E36:E59)</f>
        <v>21410</v>
      </c>
      <c r="G61" s="479">
        <f>D62</f>
        <v>15374</v>
      </c>
      <c r="H61" s="480" t="str">
        <f>CONCATENATE("",E1-1," Ending Cash Balance (est.)")</f>
        <v>2012 Ending Cash Balance (est.)</v>
      </c>
      <c r="I61" s="481"/>
      <c r="J61" s="478"/>
    </row>
    <row r="62" spans="2:10" ht="15.75">
      <c r="B62" s="179" t="s">
        <v>285</v>
      </c>
      <c r="C62" s="414">
        <f>C34-C61</f>
        <v>19572</v>
      </c>
      <c r="D62" s="236">
        <f>D34-D61</f>
        <v>15374</v>
      </c>
      <c r="E62" s="281" t="s">
        <v>153</v>
      </c>
      <c r="G62" s="479">
        <f>E33</f>
        <v>4831</v>
      </c>
      <c r="H62" s="482" t="str">
        <f>CONCATENATE("",E1," Non-AV Receipts (est.)")</f>
        <v>2013 Non-AV Receipts (est.)</v>
      </c>
      <c r="I62" s="481"/>
      <c r="J62" s="478"/>
    </row>
    <row r="63" spans="2:11" ht="15.75">
      <c r="B63" s="211" t="str">
        <f>CONCATENATE("",E1-2,"/",E1-1," Budget Authority Amount:")</f>
        <v>2011/2012 Budget Authority Amount:</v>
      </c>
      <c r="C63" s="222">
        <f>inputOth!B55</f>
        <v>21152</v>
      </c>
      <c r="D63" s="222">
        <f>inputPrYr!D17</f>
        <v>17195</v>
      </c>
      <c r="E63" s="281" t="s">
        <v>153</v>
      </c>
      <c r="F63" s="295"/>
      <c r="G63" s="483">
        <f>IF(E67&gt;0,E66,E68)</f>
        <v>1205</v>
      </c>
      <c r="H63" s="482" t="str">
        <f>CONCATENATE("",E1," Ad Valorem Tax (est.)")</f>
        <v>2013 Ad Valorem Tax (est.)</v>
      </c>
      <c r="I63" s="481"/>
      <c r="J63" s="478"/>
      <c r="K63" s="704">
        <f>IF(G63=E68,"","Note: Does not include Delinquent Taxes")</f>
      </c>
    </row>
    <row r="64" spans="2:10" ht="15.75">
      <c r="B64" s="211"/>
      <c r="C64" s="800" t="s">
        <v>660</v>
      </c>
      <c r="D64" s="801"/>
      <c r="E64" s="88"/>
      <c r="F64" s="472">
        <f>IF(E61/0.95-E61&lt;E64,"Exceeds 5%","")</f>
      </c>
      <c r="G64" s="479">
        <f>SUM(G61:G63)</f>
        <v>21410</v>
      </c>
      <c r="H64" s="482" t="str">
        <f>CONCATENATE("Total ",E1," Resources Available")</f>
        <v>Total 2013 Resources Available</v>
      </c>
      <c r="I64" s="481"/>
      <c r="J64" s="478"/>
    </row>
    <row r="65" spans="2:10" ht="15.75">
      <c r="B65" s="430" t="str">
        <f>CONCATENATE(C77,"     ",D77)</f>
        <v>     </v>
      </c>
      <c r="C65" s="802" t="s">
        <v>661</v>
      </c>
      <c r="D65" s="803"/>
      <c r="E65" s="190">
        <f>E61+E64</f>
        <v>21410</v>
      </c>
      <c r="G65" s="484"/>
      <c r="H65" s="482"/>
      <c r="I65" s="482"/>
      <c r="J65" s="478"/>
    </row>
    <row r="66" spans="2:10" ht="15.75">
      <c r="B66" s="430" t="str">
        <f>CONCATENATE(C78,"     ",D78)</f>
        <v>     </v>
      </c>
      <c r="C66" s="296"/>
      <c r="D66" s="219" t="s">
        <v>177</v>
      </c>
      <c r="E66" s="647">
        <f>IF(E65-E34&gt;0,E65-E34,0)</f>
        <v>1205</v>
      </c>
      <c r="G66" s="483">
        <f>ROUND(C61*0.05+C61,0)</f>
        <v>8846</v>
      </c>
      <c r="H66" s="482" t="str">
        <f>CONCATENATE("Less ",E1-2," Expenditures + 5%")</f>
        <v>Less 2011 Expenditures + 5%</v>
      </c>
      <c r="I66" s="481"/>
      <c r="J66" s="478"/>
    </row>
    <row r="67" spans="2:10" ht="15.75">
      <c r="B67" s="297"/>
      <c r="C67" s="444" t="s">
        <v>662</v>
      </c>
      <c r="D67" s="708">
        <f>inputOth!E41</f>
        <v>0</v>
      </c>
      <c r="E67" s="190">
        <f>ROUND(IF(inputOth!E41&gt;0,(E66*inputOth!E41),0),0)</f>
        <v>0</v>
      </c>
      <c r="G67" s="489">
        <f>G64-G66</f>
        <v>12564</v>
      </c>
      <c r="H67" s="485" t="str">
        <f>CONCATENATE("Projected ",E1+1," Carryover (est.)")</f>
        <v>Projected 2014 Carryover (est.)</v>
      </c>
      <c r="I67" s="486"/>
      <c r="J67" s="487"/>
    </row>
    <row r="68" spans="2:5" ht="16.5" thickBot="1">
      <c r="B68" s="65"/>
      <c r="C68" s="795" t="str">
        <f>CONCATENATE("Amount of  ",E1-1," Ad Valorem Tax")</f>
        <v>Amount of  2012 Ad Valorem Tax</v>
      </c>
      <c r="D68" s="796"/>
      <c r="E68" s="709">
        <f>E66+E67</f>
        <v>1205</v>
      </c>
    </row>
    <row r="69" spans="2:10" ht="16.5" thickTop="1">
      <c r="B69" s="219"/>
      <c r="C69" s="795"/>
      <c r="D69" s="796"/>
      <c r="E69" s="65"/>
      <c r="G69" s="804" t="s">
        <v>963</v>
      </c>
      <c r="H69" s="805"/>
      <c r="I69" s="805"/>
      <c r="J69" s="806"/>
    </row>
    <row r="70" spans="2:16" ht="15.75">
      <c r="B70" s="211"/>
      <c r="C70" s="219"/>
      <c r="D70" s="467"/>
      <c r="E70" s="65"/>
      <c r="G70" s="710"/>
      <c r="H70" s="480"/>
      <c r="I70" s="660"/>
      <c r="J70" s="661"/>
      <c r="M70" s="790"/>
      <c r="N70" s="790"/>
      <c r="O70" s="790"/>
      <c r="P70" s="799"/>
    </row>
    <row r="71" spans="2:16" ht="15.75">
      <c r="B71" s="211" t="s">
        <v>179</v>
      </c>
      <c r="C71" s="70">
        <f>IF(inputPrYr!D19&gt;0,8,7)</f>
        <v>7</v>
      </c>
      <c r="D71" s="219"/>
      <c r="E71" s="219"/>
      <c r="G71" s="712">
        <f>summ!H16</f>
        <v>13.134</v>
      </c>
      <c r="H71" s="480" t="str">
        <f>CONCATENATE("",E1," Fund Mill Rate")</f>
        <v>2013 Fund Mill Rate</v>
      </c>
      <c r="I71" s="660"/>
      <c r="J71" s="661"/>
      <c r="M71" s="497"/>
      <c r="N71" s="497"/>
      <c r="O71" s="497"/>
      <c r="P71" s="497"/>
    </row>
    <row r="72" spans="3:16" ht="15.75">
      <c r="C72" s="418"/>
      <c r="D72" s="418"/>
      <c r="E72" s="473"/>
      <c r="F72" s="462"/>
      <c r="G72" s="711">
        <f>summ!E16</f>
        <v>11.912</v>
      </c>
      <c r="H72" s="480" t="str">
        <f>CONCATENATE("",E1-1," Fund Mill Rate")</f>
        <v>2012 Fund Mill Rate</v>
      </c>
      <c r="I72" s="660"/>
      <c r="J72" s="661"/>
      <c r="L72" s="502"/>
      <c r="M72" s="498"/>
      <c r="N72" s="499"/>
      <c r="O72" s="499"/>
      <c r="P72" s="500"/>
    </row>
    <row r="73" spans="3:16" ht="15.75">
      <c r="C73" s="474"/>
      <c r="D73" s="670"/>
      <c r="E73" s="671"/>
      <c r="F73" s="420"/>
      <c r="G73" s="713">
        <f>summ!H31</f>
        <v>13.134</v>
      </c>
      <c r="H73" s="480" t="str">
        <f>CONCATENATE("Total ",E1," Mill Rate")</f>
        <v>Total 2013 Mill Rate</v>
      </c>
      <c r="I73" s="660"/>
      <c r="J73" s="661"/>
      <c r="M73" s="474"/>
      <c r="N73" s="420"/>
      <c r="O73" s="474"/>
      <c r="P73" s="500"/>
    </row>
    <row r="74" spans="3:16" ht="15.75">
      <c r="C74" s="475"/>
      <c r="D74" s="420"/>
      <c r="E74" s="420"/>
      <c r="F74" s="420"/>
      <c r="G74" s="711">
        <f>summ!E31</f>
        <v>11.912</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7" t="s">
        <v>844</v>
      </c>
      <c r="H78" s="798"/>
      <c r="I78" s="798"/>
      <c r="J78" s="659">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600" verticalDpi="600" orientation="portrait" scale="6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PARKERVILLE</v>
      </c>
      <c r="B1" s="65"/>
      <c r="C1" s="350"/>
      <c r="D1" s="65">
        <f>inputPrYr!C5</f>
        <v>2013</v>
      </c>
    </row>
    <row r="2" spans="1:4" ht="15.75">
      <c r="A2" s="65"/>
      <c r="B2" s="65"/>
      <c r="C2" s="65"/>
      <c r="D2" s="350"/>
    </row>
    <row r="3" spans="1:4" ht="15.75">
      <c r="A3" s="82" t="s">
        <v>66</v>
      </c>
      <c r="B3" s="351"/>
      <c r="C3" s="351"/>
      <c r="D3" s="351"/>
    </row>
    <row r="4" spans="1:4" ht="15.75">
      <c r="A4" s="350" t="s">
        <v>165</v>
      </c>
      <c r="B4" s="718" t="s">
        <v>841</v>
      </c>
      <c r="C4" s="719" t="s">
        <v>842</v>
      </c>
      <c r="D4" s="175" t="s">
        <v>843</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PARKERVILLE</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96"/>
      <c r="D18" s="450"/>
      <c r="E18" s="88"/>
    </row>
    <row r="19" spans="2:5" ht="15.75">
      <c r="B19" s="179" t="s">
        <v>658</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2" t="str">
        <f>CONCATENATE("Desired Carryover Into ",E1+1,"")</f>
        <v>Desired Carryover Into 2014</v>
      </c>
      <c r="H24" s="793"/>
      <c r="I24" s="793"/>
      <c r="J24" s="794"/>
    </row>
    <row r="25" spans="2:10" ht="15.75">
      <c r="B25" s="348"/>
      <c r="C25" s="450"/>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5" ht="15.75">
      <c r="B30" s="344" t="s">
        <v>53</v>
      </c>
      <c r="C30" s="445"/>
      <c r="D30" s="450"/>
      <c r="E30" s="190">
        <f>Nhood!E8</f>
      </c>
    </row>
    <row r="31" spans="2:10" ht="15.75">
      <c r="B31" s="344" t="s">
        <v>262</v>
      </c>
      <c r="C31" s="496"/>
      <c r="D31" s="450"/>
      <c r="E31" s="88"/>
      <c r="G31" s="792" t="str">
        <f>CONCATENATE("Projected Carryover Into ",E1+1,"")</f>
        <v>Projected Carryover Into 2014</v>
      </c>
      <c r="H31" s="807"/>
      <c r="I31" s="807"/>
      <c r="J31" s="808"/>
    </row>
    <row r="32" spans="2:10" ht="15.75">
      <c r="B32" s="344" t="s">
        <v>664</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285</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800" t="s">
        <v>660</v>
      </c>
      <c r="D36" s="801"/>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2" t="s">
        <v>661</v>
      </c>
      <c r="D37" s="803"/>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662</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5" t="str">
        <f>CONCATENATE("Amount of  ",E1-1," Ad Valorem Tax")</f>
        <v>Amount of  2012 Ad Valorem Tax</v>
      </c>
      <c r="D40" s="796"/>
      <c r="E40" s="715">
        <f>SUM(E38:E39)</f>
        <v>0</v>
      </c>
      <c r="F40"/>
    </row>
    <row r="41" spans="2:10" ht="16.5" thickTop="1">
      <c r="B41" s="65"/>
      <c r="C41" s="795"/>
      <c r="D41" s="796"/>
      <c r="E41" s="716"/>
      <c r="F41"/>
      <c r="G41" s="804" t="s">
        <v>963</v>
      </c>
      <c r="H41" s="805"/>
      <c r="I41" s="805"/>
      <c r="J41" s="806"/>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841</v>
      </c>
      <c r="D44" s="719" t="s">
        <v>842</v>
      </c>
      <c r="E44" s="175" t="s">
        <v>843</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13.134</v>
      </c>
      <c r="H45" s="480" t="str">
        <f>CONCATENATE("Total ",E1," Mill Rate")</f>
        <v>Total 2013 Mill Rate</v>
      </c>
      <c r="I45" s="660"/>
      <c r="J45" s="661"/>
    </row>
    <row r="46" spans="2:10" ht="15.75">
      <c r="B46" s="179" t="s">
        <v>284</v>
      </c>
      <c r="C46" s="445">
        <v>0</v>
      </c>
      <c r="D46" s="448">
        <f>C74</f>
        <v>0</v>
      </c>
      <c r="E46" s="190">
        <f>D74</f>
        <v>0</v>
      </c>
      <c r="F46"/>
      <c r="G46" s="711">
        <f>summ!E31</f>
        <v>11.912</v>
      </c>
      <c r="H46" s="648" t="str">
        <f>CONCATENATE("Total ",E1-1," Mill Rate")</f>
        <v>Total 2012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262</v>
      </c>
      <c r="C58" s="496"/>
      <c r="D58" s="496"/>
      <c r="E58" s="588"/>
    </row>
    <row r="59" spans="2:5" ht="15.75">
      <c r="B59" s="179" t="s">
        <v>658</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2" t="str">
        <f>CONCATENATE("Desired Carryover Into ",E1+1,"")</f>
        <v>Desired Carryover Into 2014</v>
      </c>
      <c r="H64" s="793"/>
      <c r="I64" s="793"/>
      <c r="J64" s="794"/>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6" ht="15.75">
      <c r="B70" s="192" t="s">
        <v>53</v>
      </c>
      <c r="C70" s="445"/>
      <c r="D70" s="450"/>
      <c r="E70" s="190">
        <f>Nhood!E9</f>
      </c>
      <c r="F70"/>
    </row>
    <row r="71" spans="2:10" ht="15.75">
      <c r="B71" s="192" t="s">
        <v>262</v>
      </c>
      <c r="C71" s="496"/>
      <c r="D71" s="450"/>
      <c r="E71" s="88"/>
      <c r="F71"/>
      <c r="G71" s="792" t="str">
        <f>CONCATENATE("Projected Carryover Into ",E1+1,"")</f>
        <v>Projected Carryover Into 2014</v>
      </c>
      <c r="H71" s="809"/>
      <c r="I71" s="809"/>
      <c r="J71" s="808"/>
    </row>
    <row r="72" spans="2:10" ht="15.75">
      <c r="B72" s="192" t="s">
        <v>657</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285</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800" t="s">
        <v>660</v>
      </c>
      <c r="D76" s="801"/>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2" t="s">
        <v>661</v>
      </c>
      <c r="D77" s="803"/>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662</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5" t="str">
        <f>CONCATENATE("Amount of  ",E1-1," Ad Valorem Tax")</f>
        <v>Amount of  2012 Ad Valorem Tax</v>
      </c>
      <c r="D80" s="796"/>
      <c r="E80" s="715">
        <f>E78+E79</f>
        <v>0</v>
      </c>
      <c r="F80" s="696" t="e">
        <f>IF('Library Grant'!F33="","",IF('Library Grant'!F33="Qualify","Qualifies for State Library Grant","See 'Library Grant' tab"))</f>
        <v>#VALUE!</v>
      </c>
    </row>
    <row r="81" spans="2:10" ht="16.5" thickTop="1">
      <c r="B81" s="219"/>
      <c r="C81" s="795"/>
      <c r="D81" s="796"/>
      <c r="E81" s="716"/>
      <c r="F81"/>
      <c r="G81" s="804" t="s">
        <v>963</v>
      </c>
      <c r="H81" s="805"/>
      <c r="I81" s="805"/>
      <c r="J81" s="806"/>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13.134</v>
      </c>
      <c r="H85" s="480" t="str">
        <f>CONCATENATE("Total ",E1," Mill Rate")</f>
        <v>Total 2013 Mill Rate</v>
      </c>
      <c r="I85" s="660"/>
      <c r="J85" s="661"/>
    </row>
    <row r="86" spans="7:10" ht="15.75">
      <c r="G86" s="711">
        <f>summ!E31</f>
        <v>11.912</v>
      </c>
      <c r="H86" s="648" t="str">
        <f>CONCATENATE("Total ",E1-1," Mill Rate")</f>
        <v>Total 2012 Mill Rate</v>
      </c>
      <c r="I86" s="649"/>
      <c r="J86" s="650"/>
    </row>
    <row r="87" spans="7:10" ht="15.75">
      <c r="G87" s="717"/>
      <c r="H87" s="717"/>
      <c r="I87" s="717"/>
      <c r="J87" s="717"/>
    </row>
    <row r="88" spans="3:4" ht="15.75">
      <c r="C88" s="66" t="s">
        <v>663</v>
      </c>
      <c r="D88" s="66" t="s">
        <v>663</v>
      </c>
    </row>
    <row r="89" spans="3:4" ht="15.75">
      <c r="C89" s="66" t="s">
        <v>663</v>
      </c>
      <c r="D89" s="66" t="s">
        <v>663</v>
      </c>
    </row>
    <row r="91" spans="3:4" ht="15.75">
      <c r="C91" s="66" t="s">
        <v>663</v>
      </c>
      <c r="D91" s="66" t="s">
        <v>663</v>
      </c>
    </row>
    <row r="92" spans="3:4" ht="15.75">
      <c r="C92" s="66" t="s">
        <v>663</v>
      </c>
      <c r="D92" s="66" t="s">
        <v>663</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PARKERVILLE</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45"/>
      <c r="D18" s="450"/>
      <c r="E18" s="88"/>
    </row>
    <row r="19" spans="2:5" ht="15.75">
      <c r="B19" s="179" t="s">
        <v>658</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2" t="str">
        <f>CONCATENATE("Desired Carryover Into ",E1+1,"")</f>
        <v>Desired Carryover Into 2014</v>
      </c>
      <c r="H24" s="793"/>
      <c r="I24" s="793"/>
      <c r="J24" s="794"/>
    </row>
    <row r="25" spans="2:10" ht="15.75">
      <c r="B25" s="348"/>
      <c r="C25" s="445"/>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10" ht="15.75">
      <c r="B30" s="344" t="s">
        <v>53</v>
      </c>
      <c r="C30" s="445"/>
      <c r="D30" s="450"/>
      <c r="E30" s="190">
        <f>Nhood!E10</f>
      </c>
      <c r="J30" s="2"/>
    </row>
    <row r="31" spans="2:10" ht="15.75">
      <c r="B31" s="344" t="s">
        <v>262</v>
      </c>
      <c r="C31" s="445"/>
      <c r="D31" s="450"/>
      <c r="E31" s="88"/>
      <c r="G31" s="792" t="str">
        <f>CONCATENATE("Projected Carryover Into ",E1+1,"")</f>
        <v>Projected Carryover Into 2014</v>
      </c>
      <c r="H31" s="807"/>
      <c r="I31" s="807"/>
      <c r="J31" s="808"/>
    </row>
    <row r="32" spans="2:10" ht="15.75">
      <c r="B32" s="344" t="s">
        <v>664</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285</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800" t="s">
        <v>660</v>
      </c>
      <c r="D36" s="801"/>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2" t="s">
        <v>661</v>
      </c>
      <c r="D37" s="803"/>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662</v>
      </c>
      <c r="D39" s="708">
        <f>inputOth!E41</f>
        <v>0</v>
      </c>
      <c r="E39" s="190">
        <f>ROUND(IF(D39&gt;0,(E38*D39),0),0)</f>
        <v>0</v>
      </c>
      <c r="G39" s="700">
        <f>G36-G38</f>
        <v>0</v>
      </c>
      <c r="H39" s="701" t="str">
        <f>CONCATENATE("Projected ",E1+1," carryover (est.)")</f>
        <v>Projected 2014 carryover (est.)</v>
      </c>
      <c r="I39" s="486"/>
      <c r="J39" s="740"/>
    </row>
    <row r="40" spans="2:10" ht="16.5" thickBot="1">
      <c r="B40" s="65"/>
      <c r="C40" s="795" t="str">
        <f>CONCATENATE("Amount of  ",E1-1," Ad Valorem Tax")</f>
        <v>Amount of  2012 Ad Valorem Tax</v>
      </c>
      <c r="D40" s="796"/>
      <c r="E40" s="715">
        <f>E38+E39</f>
        <v>0</v>
      </c>
      <c r="G40" s="2"/>
      <c r="H40" s="2"/>
      <c r="I40" s="2"/>
      <c r="J40" s="2"/>
    </row>
    <row r="41" spans="2:10" ht="16.5" thickTop="1">
      <c r="B41" s="65"/>
      <c r="C41" s="795"/>
      <c r="D41" s="796"/>
      <c r="E41" s="65"/>
      <c r="G41" s="804" t="s">
        <v>963</v>
      </c>
      <c r="H41" s="805"/>
      <c r="I41" s="805"/>
      <c r="J41" s="806"/>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841</v>
      </c>
      <c r="D44" s="719" t="s">
        <v>842</v>
      </c>
      <c r="E44" s="175" t="s">
        <v>843</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13.134</v>
      </c>
      <c r="H45" s="480" t="str">
        <f>CONCATENATE("Total ",E1," Mill Rate")</f>
        <v>Total 2013 Mill Rate</v>
      </c>
      <c r="I45" s="660"/>
      <c r="J45" s="661"/>
    </row>
    <row r="46" spans="2:10" ht="15.75">
      <c r="B46" s="179" t="s">
        <v>284</v>
      </c>
      <c r="C46" s="445"/>
      <c r="D46" s="448">
        <f>C74</f>
        <v>0</v>
      </c>
      <c r="E46" s="190">
        <f>D74</f>
        <v>0</v>
      </c>
      <c r="G46" s="711">
        <f>summ!E31</f>
        <v>11.912</v>
      </c>
      <c r="H46" s="648" t="str">
        <f>CONCATENATE("Total ",E1-1," Mill Rate")</f>
        <v>Total 2012 Mill Rate</v>
      </c>
      <c r="I46" s="649"/>
      <c r="J46" s="650"/>
    </row>
    <row r="47" spans="2:5" ht="15.75">
      <c r="B47" s="279" t="s">
        <v>286</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262</v>
      </c>
      <c r="C58" s="445"/>
      <c r="D58" s="450"/>
      <c r="E58" s="88"/>
    </row>
    <row r="59" spans="2:5" ht="15.75">
      <c r="B59" s="179" t="s">
        <v>658</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2" t="str">
        <f>CONCATENATE("Desired Carryover Into ",E1+1,"")</f>
        <v>Desired Carryover Into 2014</v>
      </c>
      <c r="H64" s="793"/>
      <c r="I64" s="793"/>
      <c r="J64" s="794"/>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10" ht="15.75">
      <c r="B70" s="192" t="s">
        <v>53</v>
      </c>
      <c r="C70" s="445"/>
      <c r="D70" s="450"/>
      <c r="E70" s="190">
        <f>Nhood!E11</f>
      </c>
      <c r="J70" s="2"/>
    </row>
    <row r="71" spans="2:10" ht="15.75">
      <c r="B71" s="192" t="s">
        <v>262</v>
      </c>
      <c r="C71" s="445"/>
      <c r="D71" s="450"/>
      <c r="E71" s="88"/>
      <c r="G71" s="792" t="str">
        <f>CONCATENATE("Projected Carryover Into ",E1+1,"")</f>
        <v>Projected Carryover Into 2014</v>
      </c>
      <c r="H71" s="809"/>
      <c r="I71" s="809"/>
      <c r="J71" s="808"/>
    </row>
    <row r="72" spans="2:10" ht="15.75">
      <c r="B72" s="192" t="s">
        <v>657</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285</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800" t="s">
        <v>660</v>
      </c>
      <c r="D76" s="801"/>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2" t="s">
        <v>661</v>
      </c>
      <c r="D77" s="803"/>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662</v>
      </c>
      <c r="D79" s="708">
        <f>inputOth!E41</f>
        <v>0</v>
      </c>
      <c r="E79" s="190">
        <f>ROUND(IF(D79&gt;0,(E78*D79),0),0)</f>
        <v>0</v>
      </c>
      <c r="G79" s="582">
        <f>G76-G78</f>
        <v>0</v>
      </c>
      <c r="H79" s="583" t="str">
        <f>CONCATENATE("Projected ",E1+1," carryover (est.)")</f>
        <v>Projected 2014 carryover (est.)</v>
      </c>
      <c r="I79" s="487"/>
      <c r="J79" s="740"/>
    </row>
    <row r="80" spans="2:9" ht="16.5" thickBot="1">
      <c r="B80" s="65"/>
      <c r="C80" s="795" t="str">
        <f>CONCATENATE("Amount of  ",E1-1," Ad Valorem Tax")</f>
        <v>Amount of  2012 Ad Valorem Tax</v>
      </c>
      <c r="D80" s="796"/>
      <c r="E80" s="715">
        <f>E78+E79</f>
        <v>0</v>
      </c>
      <c r="G80" s="2"/>
      <c r="H80" s="2"/>
      <c r="I80" s="2"/>
    </row>
    <row r="81" spans="2:10" ht="16.5" thickTop="1">
      <c r="B81" s="65"/>
      <c r="C81" s="795"/>
      <c r="D81" s="796"/>
      <c r="E81" s="65"/>
      <c r="G81" s="804" t="s">
        <v>963</v>
      </c>
      <c r="H81" s="805"/>
      <c r="I81" s="805"/>
      <c r="J81" s="806"/>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13.134</v>
      </c>
      <c r="H85" s="480" t="str">
        <f>CONCATENATE("Total ",E1," Mill Rate")</f>
        <v>Total 2013 Mill Rate</v>
      </c>
      <c r="I85" s="660"/>
      <c r="J85" s="661"/>
    </row>
    <row r="86" spans="7:10" ht="15.75">
      <c r="G86" s="711">
        <f>summ!E31</f>
        <v>11.912</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PARKERVILLE</v>
      </c>
      <c r="C1" s="202"/>
      <c r="D1" s="65"/>
      <c r="E1" s="162">
        <f>inputPrYr!$C$5</f>
        <v>2013</v>
      </c>
    </row>
    <row r="2" spans="2:5" ht="15.75">
      <c r="B2" s="65"/>
      <c r="C2" s="65"/>
      <c r="D2" s="65"/>
      <c r="E2" s="219"/>
    </row>
    <row r="3" spans="2:5" ht="15.75">
      <c r="B3" s="82" t="s">
        <v>225</v>
      </c>
      <c r="C3" s="345"/>
      <c r="D3" s="173"/>
      <c r="E3" s="164"/>
    </row>
    <row r="4" spans="2:5" ht="15.75">
      <c r="B4" s="70" t="s">
        <v>165</v>
      </c>
      <c r="C4" s="718" t="s">
        <v>841</v>
      </c>
      <c r="D4" s="719" t="s">
        <v>842</v>
      </c>
      <c r="E4" s="175" t="s">
        <v>843</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284</v>
      </c>
      <c r="C6" s="445"/>
      <c r="D6" s="448">
        <f>C34</f>
        <v>0</v>
      </c>
      <c r="E6" s="190">
        <f>D34</f>
        <v>0</v>
      </c>
    </row>
    <row r="7" spans="2:5" ht="15.75">
      <c r="B7" s="279" t="s">
        <v>286</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262</v>
      </c>
      <c r="C18" s="450"/>
      <c r="D18" s="450"/>
      <c r="E18" s="88"/>
    </row>
    <row r="19" spans="2:5" ht="15.75">
      <c r="B19" s="342" t="s">
        <v>658</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2" t="str">
        <f>CONCATENATE("Desired Carryover Into ",E1+1,"")</f>
        <v>Desired Carryover Into 2014</v>
      </c>
      <c r="H24" s="793"/>
      <c r="I24" s="793"/>
      <c r="J24" s="794"/>
    </row>
    <row r="25" spans="2:10" ht="15.75">
      <c r="B25" s="293"/>
      <c r="C25" s="450"/>
      <c r="D25" s="450"/>
      <c r="E25" s="88"/>
      <c r="G25" s="568"/>
      <c r="H25" s="466"/>
      <c r="I25" s="482"/>
      <c r="J25" s="569"/>
    </row>
    <row r="26" spans="2:10" ht="15.75">
      <c r="B26" s="293"/>
      <c r="C26" s="450"/>
      <c r="D26" s="450"/>
      <c r="E26" s="88"/>
      <c r="G26" s="488" t="s">
        <v>667</v>
      </c>
      <c r="H26" s="482"/>
      <c r="I26" s="482"/>
      <c r="J26" s="476">
        <v>0</v>
      </c>
    </row>
    <row r="27" spans="2:10" ht="15.75">
      <c r="B27" s="293"/>
      <c r="C27" s="450"/>
      <c r="D27" s="450"/>
      <c r="E27" s="88"/>
      <c r="G27" s="568" t="s">
        <v>666</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845</v>
      </c>
      <c r="H29" s="702"/>
      <c r="I29" s="702"/>
      <c r="J29" s="666">
        <f>IF(J26&gt;0,J28-E38,0)</f>
        <v>0</v>
      </c>
    </row>
    <row r="30" spans="2:10" ht="15.75">
      <c r="B30" s="192" t="s">
        <v>53</v>
      </c>
      <c r="C30" s="450"/>
      <c r="D30" s="450"/>
      <c r="E30" s="190">
        <f>Nhood!E12</f>
      </c>
      <c r="J30" s="2"/>
    </row>
    <row r="31" spans="2:10" ht="15.75">
      <c r="B31" s="192" t="s">
        <v>262</v>
      </c>
      <c r="C31" s="450"/>
      <c r="D31" s="450"/>
      <c r="E31" s="88"/>
      <c r="G31" s="792" t="str">
        <f>CONCATENATE("Projected Carryover Into ",E1+1,"")</f>
        <v>Projected Carryover Into 2014</v>
      </c>
      <c r="H31" s="807"/>
      <c r="I31" s="807"/>
      <c r="J31" s="808"/>
    </row>
    <row r="32" spans="2:10" ht="15.75">
      <c r="B32" s="192" t="s">
        <v>657</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285</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800" t="s">
        <v>660</v>
      </c>
      <c r="D36" s="801"/>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2" t="s">
        <v>661</v>
      </c>
      <c r="D37" s="803"/>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662</v>
      </c>
      <c r="D39" s="708">
        <f>inputOth!E41</f>
        <v>0</v>
      </c>
      <c r="E39" s="190">
        <f>ROUND(IF(D39&gt;0,(E38*D39),0),0)</f>
        <v>0</v>
      </c>
      <c r="G39" s="700">
        <f>G36-G38</f>
        <v>0</v>
      </c>
      <c r="H39" s="701" t="str">
        <f>CONCATENATE("Projected ",E1+1," carryover (est.)")</f>
        <v>Projected 2014 carryover (est.)</v>
      </c>
      <c r="I39" s="486"/>
      <c r="J39" s="740"/>
    </row>
    <row r="40" spans="2:10" ht="16.5" thickBot="1">
      <c r="B40" s="65"/>
      <c r="C40" s="810" t="str">
        <f>CONCATENATE("Amount of  ",E1-1," Ad Valorem Tax")</f>
        <v>Amount of  2012 Ad Valorem Tax</v>
      </c>
      <c r="D40" s="811"/>
      <c r="E40" s="715">
        <f>E38+E39</f>
        <v>0</v>
      </c>
      <c r="G40" s="2"/>
      <c r="H40" s="2"/>
      <c r="I40" s="2"/>
      <c r="J40" s="2"/>
    </row>
    <row r="41" spans="2:10" ht="16.5" thickTop="1">
      <c r="B41" s="65"/>
      <c r="C41" s="795"/>
      <c r="D41" s="796"/>
      <c r="E41" s="65"/>
      <c r="G41" s="804" t="s">
        <v>963</v>
      </c>
      <c r="H41" s="805"/>
      <c r="I41" s="805"/>
      <c r="J41" s="806"/>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841</v>
      </c>
      <c r="D44" s="719" t="s">
        <v>842</v>
      </c>
      <c r="E44" s="175" t="s">
        <v>843</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13.134</v>
      </c>
      <c r="H45" s="480" t="str">
        <f>CONCATENATE("Total ",E1," Mill Rate")</f>
        <v>Total 2013 Mill Rate</v>
      </c>
      <c r="I45" s="660"/>
      <c r="J45" s="661"/>
    </row>
    <row r="46" spans="2:10" ht="15.75">
      <c r="B46" s="179" t="s">
        <v>284</v>
      </c>
      <c r="C46" s="449"/>
      <c r="D46" s="448">
        <f>C74</f>
        <v>0</v>
      </c>
      <c r="E46" s="190">
        <f>D74</f>
        <v>0</v>
      </c>
      <c r="G46" s="711">
        <f>summ!E31</f>
        <v>11.912</v>
      </c>
      <c r="H46" s="648" t="str">
        <f>CONCATENATE("Total ",E1-1," Mill Rate")</f>
        <v>Total 2012 Mill Rate</v>
      </c>
      <c r="I46" s="649"/>
      <c r="J46" s="650"/>
    </row>
    <row r="47" spans="2:5" ht="15.75">
      <c r="B47" s="179" t="s">
        <v>286</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262</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2" t="str">
        <f>CONCATENATE("Desired Carryover Into ",E1+1,"")</f>
        <v>Desired Carryover Into 2014</v>
      </c>
      <c r="H64" s="793"/>
      <c r="I64" s="793"/>
      <c r="J64" s="794"/>
    </row>
    <row r="65" spans="2:10" ht="15.75">
      <c r="B65" s="293"/>
      <c r="C65" s="445"/>
      <c r="D65" s="445"/>
      <c r="E65" s="88"/>
      <c r="G65" s="568"/>
      <c r="H65" s="466"/>
      <c r="I65" s="482"/>
      <c r="J65" s="569"/>
    </row>
    <row r="66" spans="2:10" ht="15.75">
      <c r="B66" s="293"/>
      <c r="C66" s="445"/>
      <c r="D66" s="445"/>
      <c r="E66" s="88"/>
      <c r="G66" s="488" t="s">
        <v>667</v>
      </c>
      <c r="H66" s="482"/>
      <c r="I66" s="482"/>
      <c r="J66" s="476">
        <v>0</v>
      </c>
    </row>
    <row r="67" spans="2:10" ht="15.75">
      <c r="B67" s="293"/>
      <c r="C67" s="445"/>
      <c r="D67" s="445"/>
      <c r="E67" s="88"/>
      <c r="G67" s="568" t="s">
        <v>666</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845</v>
      </c>
      <c r="H69" s="702"/>
      <c r="I69" s="702"/>
      <c r="J69" s="666">
        <f>IF(J66&gt;0,J68-E77,0)</f>
        <v>0</v>
      </c>
    </row>
    <row r="70" spans="2:10" ht="15.75">
      <c r="B70" s="192" t="s">
        <v>53</v>
      </c>
      <c r="C70" s="445"/>
      <c r="D70" s="445"/>
      <c r="E70" s="190">
        <f>Nhood!E13</f>
      </c>
      <c r="J70" s="2"/>
    </row>
    <row r="71" spans="2:10" ht="15.75">
      <c r="B71" s="192" t="s">
        <v>262</v>
      </c>
      <c r="C71" s="445"/>
      <c r="D71" s="445"/>
      <c r="E71" s="88"/>
      <c r="G71" s="792" t="str">
        <f>CONCATENATE("Projected Carryover Into ",E1+1,"")</f>
        <v>Projected Carryover Into 2014</v>
      </c>
      <c r="H71" s="809"/>
      <c r="I71" s="809"/>
      <c r="J71" s="808"/>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285</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800" t="s">
        <v>660</v>
      </c>
      <c r="D76" s="801"/>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2" t="s">
        <v>661</v>
      </c>
      <c r="D77" s="803"/>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662</v>
      </c>
      <c r="D79" s="708">
        <f>inputOth!E41</f>
        <v>0</v>
      </c>
      <c r="E79" s="190">
        <f>ROUND(IF(D79&gt;0,(E78*D79),0),0)</f>
        <v>0</v>
      </c>
      <c r="G79" s="582">
        <f>G76-G78</f>
        <v>0</v>
      </c>
      <c r="H79" s="583" t="str">
        <f>CONCATENATE("Projected ",E1+1," carryover (est.)")</f>
        <v>Projected 2014 carryover (est.)</v>
      </c>
      <c r="I79" s="487"/>
      <c r="J79" s="740"/>
    </row>
    <row r="80" spans="2:9" ht="16.5" thickBot="1">
      <c r="B80" s="65"/>
      <c r="C80" s="810" t="str">
        <f>CONCATENATE("Amount of  ",E1-1," Ad Valorem Tax")</f>
        <v>Amount of  2012 Ad Valorem Tax</v>
      </c>
      <c r="D80" s="811"/>
      <c r="E80" s="715">
        <f>E78+E79</f>
        <v>0</v>
      </c>
      <c r="G80" s="2"/>
      <c r="H80" s="2"/>
      <c r="I80" s="2"/>
    </row>
    <row r="81" spans="2:10" ht="16.5" thickTop="1">
      <c r="B81" s="65"/>
      <c r="C81" s="795"/>
      <c r="D81" s="796"/>
      <c r="E81" s="65"/>
      <c r="G81" s="804" t="s">
        <v>963</v>
      </c>
      <c r="H81" s="805"/>
      <c r="I81" s="805"/>
      <c r="J81" s="806"/>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13.134</v>
      </c>
      <c r="H85" s="480" t="str">
        <f>CONCATENATE("Total ",E1," Mill Rate")</f>
        <v>Total 2013 Mill Rate</v>
      </c>
      <c r="I85" s="660"/>
      <c r="J85" s="661"/>
    </row>
    <row r="86" spans="7:10" ht="15.75">
      <c r="G86" s="711">
        <f>summ!E31</f>
        <v>11.912</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PARKERVILLE</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0</v>
      </c>
      <c r="D6" s="190">
        <f>C25</f>
        <v>1459</v>
      </c>
      <c r="E6" s="190">
        <f>D25</f>
        <v>1479</v>
      </c>
    </row>
    <row r="7" spans="2:5" ht="15.75">
      <c r="B7" s="279" t="s">
        <v>286</v>
      </c>
      <c r="C7" s="190"/>
      <c r="D7" s="190"/>
      <c r="E7" s="190"/>
    </row>
    <row r="8" spans="2:5" ht="15.75">
      <c r="B8" s="344" t="s">
        <v>181</v>
      </c>
      <c r="C8" s="88">
        <v>1709</v>
      </c>
      <c r="D8" s="190">
        <f>inputOth!E47</f>
        <v>1520</v>
      </c>
      <c r="E8" s="190">
        <f>inputOth!E45</f>
        <v>1540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1709</v>
      </c>
      <c r="D15" s="341">
        <f>SUM(D8:D13)</f>
        <v>1520</v>
      </c>
      <c r="E15" s="341">
        <f>SUM(E8:E13)</f>
        <v>1540</v>
      </c>
    </row>
    <row r="16" spans="2:5" ht="15.75">
      <c r="B16" s="290" t="s">
        <v>174</v>
      </c>
      <c r="C16" s="341">
        <f>C6+C15</f>
        <v>1709</v>
      </c>
      <c r="D16" s="341">
        <f>D6+D15</f>
        <v>2979</v>
      </c>
      <c r="E16" s="341">
        <f>E6+E15</f>
        <v>3019</v>
      </c>
    </row>
    <row r="17" spans="2:5" ht="15.75">
      <c r="B17" s="179" t="s">
        <v>175</v>
      </c>
      <c r="C17" s="190"/>
      <c r="D17" s="190"/>
      <c r="E17" s="190"/>
    </row>
    <row r="18" spans="2:5" ht="15.75">
      <c r="B18" s="293" t="s">
        <v>182</v>
      </c>
      <c r="C18" s="88">
        <v>250</v>
      </c>
      <c r="D18" s="88">
        <v>1500</v>
      </c>
      <c r="E18" s="88">
        <v>3000</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657</v>
      </c>
      <c r="C23" s="456">
        <f>IF(C24*0.1&lt;C22,"Exceed 10% Rule","")</f>
      </c>
      <c r="D23" s="339">
        <f>IF(D24*0.1&lt;D22,"Exceed 10% Rule","")</f>
      </c>
      <c r="E23" s="339">
        <f>IF(E24*0.1&lt;E22,"Exceed 10% Rule","")</f>
      </c>
    </row>
    <row r="24" spans="2:5" ht="15.75">
      <c r="B24" s="290" t="s">
        <v>176</v>
      </c>
      <c r="C24" s="341">
        <f>SUM(C18:C22)</f>
        <v>250</v>
      </c>
      <c r="D24" s="341">
        <f>SUM(D18:D22)</f>
        <v>1500</v>
      </c>
      <c r="E24" s="341">
        <f>SUM(E18:E22)</f>
        <v>3000</v>
      </c>
    </row>
    <row r="25" spans="2:5" ht="15.75">
      <c r="B25" s="179" t="s">
        <v>285</v>
      </c>
      <c r="C25" s="95">
        <f>C16-C24</f>
        <v>1459</v>
      </c>
      <c r="D25" s="95">
        <f>D16-D24</f>
        <v>1479</v>
      </c>
      <c r="E25" s="95">
        <f>E16-E24</f>
        <v>19</v>
      </c>
    </row>
    <row r="26" spans="2:5" ht="15.75">
      <c r="B26" s="211" t="str">
        <f>CONCATENATE("",E1-2,"/",E1-1," Budget Authority Amount:")</f>
        <v>2011/2012 Budget Authority Amount:</v>
      </c>
      <c r="C26" s="222">
        <f>inputOth!B62</f>
        <v>3600</v>
      </c>
      <c r="D26" s="222">
        <f>inputPrYr!D28</f>
        <v>6000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841</v>
      </c>
      <c r="D30" s="719" t="s">
        <v>842</v>
      </c>
      <c r="E30" s="175" t="s">
        <v>843</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284</v>
      </c>
      <c r="C32" s="88">
        <v>0</v>
      </c>
      <c r="D32" s="190">
        <f>C61</f>
        <v>0</v>
      </c>
      <c r="E32" s="190">
        <f>D61</f>
        <v>0</v>
      </c>
    </row>
    <row r="33" spans="2:5" ht="15.75">
      <c r="B33" s="179" t="s">
        <v>286</v>
      </c>
      <c r="C33" s="190"/>
      <c r="D33" s="190"/>
      <c r="E33" s="190"/>
    </row>
    <row r="34" spans="2:5" ht="15.75">
      <c r="B34" s="293"/>
      <c r="C34" s="88"/>
      <c r="D34" s="88"/>
      <c r="E34" s="88"/>
    </row>
    <row r="35" spans="2:5" ht="15.75">
      <c r="B35" s="293"/>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0</v>
      </c>
      <c r="D43" s="341">
        <f>SUM(D34:D41)</f>
        <v>0</v>
      </c>
      <c r="E43" s="341">
        <f>SUM(E34:E41)</f>
        <v>0</v>
      </c>
    </row>
    <row r="44" spans="2:5" ht="15.75">
      <c r="B44" s="290" t="s">
        <v>174</v>
      </c>
      <c r="C44" s="341">
        <f>C32+C43</f>
        <v>0</v>
      </c>
      <c r="D44" s="341">
        <f>D32+D43</f>
        <v>0</v>
      </c>
      <c r="E44" s="341">
        <f>E32+E43</f>
        <v>0</v>
      </c>
    </row>
    <row r="45" spans="2:5" ht="15.75">
      <c r="B45" s="179" t="s">
        <v>175</v>
      </c>
      <c r="C45" s="190"/>
      <c r="D45" s="190"/>
      <c r="E45" s="190"/>
    </row>
    <row r="46" spans="2:5" ht="15.75">
      <c r="B46" s="293"/>
      <c r="C46" s="88"/>
      <c r="D46" s="88"/>
      <c r="E46" s="88"/>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262</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0</v>
      </c>
      <c r="D60" s="341">
        <f>SUM(D46:D58)</f>
        <v>0</v>
      </c>
      <c r="E60" s="341">
        <f>SUM(E46:E58)</f>
        <v>0</v>
      </c>
    </row>
    <row r="61" spans="2:5" ht="15.75">
      <c r="B61" s="179" t="s">
        <v>285</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PARKERVILLE</v>
      </c>
      <c r="C1" s="65"/>
      <c r="D1" s="65"/>
      <c r="E1" s="162">
        <f>inputPrYr!$C$5</f>
        <v>2013</v>
      </c>
    </row>
    <row r="2" spans="2:5" ht="15.75">
      <c r="B2" s="65"/>
      <c r="C2" s="65"/>
      <c r="D2" s="65"/>
      <c r="E2" s="219"/>
    </row>
    <row r="3" spans="2:5" ht="15.75">
      <c r="B3" s="82" t="s">
        <v>226</v>
      </c>
      <c r="C3" s="173"/>
      <c r="D3" s="173"/>
      <c r="E3" s="164"/>
    </row>
    <row r="4" spans="2:5" ht="15.75">
      <c r="B4" s="70" t="s">
        <v>165</v>
      </c>
      <c r="C4" s="718" t="s">
        <v>841</v>
      </c>
      <c r="D4" s="719" t="s">
        <v>842</v>
      </c>
      <c r="E4" s="175" t="s">
        <v>843</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284</v>
      </c>
      <c r="C6" s="88">
        <v>0</v>
      </c>
      <c r="D6" s="190">
        <f>C31</f>
        <v>0</v>
      </c>
      <c r="E6" s="190">
        <f>D31</f>
        <v>0</v>
      </c>
    </row>
    <row r="7" spans="2:5" ht="15.75">
      <c r="B7" s="279" t="s">
        <v>286</v>
      </c>
      <c r="C7" s="190"/>
      <c r="D7" s="190"/>
      <c r="E7" s="190"/>
    </row>
    <row r="8" spans="2:5" ht="15.75">
      <c r="B8" s="293"/>
      <c r="C8" s="88"/>
      <c r="D8" s="88"/>
      <c r="E8" s="88"/>
    </row>
    <row r="9" spans="2:5" ht="15.75">
      <c r="B9" s="293" t="s">
        <v>183</v>
      </c>
      <c r="C9" s="88"/>
      <c r="D9" s="88"/>
      <c r="E9" s="88"/>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262</v>
      </c>
      <c r="C28" s="88"/>
      <c r="D28" s="410"/>
      <c r="E28" s="88"/>
    </row>
    <row r="29" spans="2:5" ht="15.75">
      <c r="B29" s="192" t="s">
        <v>657</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841</v>
      </c>
      <c r="D37" s="719" t="s">
        <v>842</v>
      </c>
      <c r="E37" s="175" t="s">
        <v>843</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279" t="s">
        <v>286</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58" sqref="E5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992</v>
      </c>
      <c r="E2" s="68"/>
    </row>
    <row r="3" spans="1:5" ht="15.75">
      <c r="A3" s="67" t="s">
        <v>74</v>
      </c>
      <c r="B3" s="65"/>
      <c r="C3" s="65"/>
      <c r="D3" s="627" t="s">
        <v>993</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2" t="s">
        <v>927</v>
      </c>
      <c r="H8" s="753"/>
    </row>
    <row r="9" spans="1:8" ht="15.75" customHeight="1">
      <c r="A9" s="75"/>
      <c r="B9" s="74"/>
      <c r="C9" s="74"/>
      <c r="D9" s="74"/>
      <c r="E9" s="74"/>
      <c r="F9" s="65"/>
      <c r="G9" s="754"/>
      <c r="H9" s="753"/>
    </row>
    <row r="10" spans="1:8" ht="15.75">
      <c r="A10" s="750" t="s">
        <v>22</v>
      </c>
      <c r="B10" s="751"/>
      <c r="C10" s="751"/>
      <c r="D10" s="751"/>
      <c r="E10" s="751"/>
      <c r="F10" s="65"/>
      <c r="G10" s="754"/>
      <c r="H10" s="753"/>
    </row>
    <row r="11" spans="1:8" ht="15.75">
      <c r="A11" s="75"/>
      <c r="B11" s="74"/>
      <c r="C11" s="74"/>
      <c r="D11" s="74"/>
      <c r="E11" s="74"/>
      <c r="F11" s="65"/>
      <c r="G11" s="754"/>
      <c r="H11" s="753"/>
    </row>
    <row r="12" spans="1:8" ht="15.75">
      <c r="A12" s="77" t="s">
        <v>23</v>
      </c>
      <c r="B12" s="78"/>
      <c r="C12" s="65"/>
      <c r="D12" s="65"/>
      <c r="E12" s="65"/>
      <c r="F12" s="65"/>
      <c r="G12" s="754"/>
      <c r="H12" s="753"/>
    </row>
    <row r="13" spans="1:8" ht="15.75">
      <c r="A13" s="79" t="str">
        <f>CONCATENATE("the ",C5-1," Budget, Certificate Page:")</f>
        <v>the 2012 Budget, Certificate Page:</v>
      </c>
      <c r="B13" s="80"/>
      <c r="C13" s="81"/>
      <c r="D13" s="65"/>
      <c r="E13" s="65"/>
      <c r="F13" s="65"/>
      <c r="G13" s="754"/>
      <c r="H13" s="753"/>
    </row>
    <row r="14" spans="1:8" ht="15.75">
      <c r="A14" s="79" t="s">
        <v>349</v>
      </c>
      <c r="B14" s="80"/>
      <c r="C14" s="81"/>
      <c r="D14" s="65"/>
      <c r="E14" s="65"/>
      <c r="F14" s="65"/>
      <c r="G14" s="97"/>
      <c r="H14" s="706"/>
    </row>
    <row r="15" spans="1:8" ht="15.75">
      <c r="A15" s="82"/>
      <c r="B15" s="65"/>
      <c r="C15" s="65"/>
      <c r="D15" s="83">
        <f>$C$5-1</f>
        <v>2012</v>
      </c>
      <c r="E15" s="83">
        <f>$C$5-2</f>
        <v>2011</v>
      </c>
      <c r="G15" s="220" t="s">
        <v>830</v>
      </c>
      <c r="H15" s="188" t="s">
        <v>178</v>
      </c>
    </row>
    <row r="16" spans="1:8" ht="15.75">
      <c r="A16" s="70" t="s">
        <v>129</v>
      </c>
      <c r="B16" s="65"/>
      <c r="C16" s="84" t="s">
        <v>130</v>
      </c>
      <c r="D16" s="85" t="s">
        <v>348</v>
      </c>
      <c r="E16" s="85" t="s">
        <v>113</v>
      </c>
      <c r="G16" s="247" t="str">
        <f>CONCATENATE("",E15," Ad Valorem Tax")</f>
        <v>2011 Ad Valorem Tax</v>
      </c>
      <c r="H16" s="705">
        <v>0</v>
      </c>
    </row>
    <row r="17" spans="1:7" ht="15.75">
      <c r="A17" s="65"/>
      <c r="B17" s="86" t="s">
        <v>131</v>
      </c>
      <c r="C17" s="188" t="s">
        <v>289</v>
      </c>
      <c r="D17" s="88">
        <v>17195</v>
      </c>
      <c r="E17" s="88">
        <v>1205</v>
      </c>
      <c r="G17" s="190">
        <f>IF(H16&gt;0,ROUND(E17-(E17*H16),0),0)</f>
        <v>0</v>
      </c>
    </row>
    <row r="18" spans="1:7" ht="15.75">
      <c r="A18" s="65"/>
      <c r="B18" s="86" t="s">
        <v>108</v>
      </c>
      <c r="C18" s="188" t="s">
        <v>315</v>
      </c>
      <c r="D18" s="88"/>
      <c r="E18" s="88"/>
      <c r="G18" s="190">
        <f>IF(H16&gt;0,ROUND(E18-(E18*H16),0),0)</f>
        <v>0</v>
      </c>
    </row>
    <row r="19" spans="1:7" ht="15.75">
      <c r="A19" s="65"/>
      <c r="B19" s="86" t="s">
        <v>847</v>
      </c>
      <c r="C19" s="188" t="s">
        <v>848</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1205</v>
      </c>
    </row>
    <row r="26" spans="1:5" ht="15.75">
      <c r="A26" s="100"/>
      <c r="B26" s="97"/>
      <c r="C26" s="97"/>
      <c r="D26" s="209"/>
      <c r="E26" s="97"/>
    </row>
    <row r="27" spans="1:5" ht="15.75">
      <c r="A27" s="70" t="s">
        <v>133</v>
      </c>
      <c r="B27" s="65"/>
      <c r="C27" s="65"/>
      <c r="D27" s="65"/>
      <c r="E27" s="65"/>
    </row>
    <row r="28" spans="1:5" ht="15.75">
      <c r="A28" s="65"/>
      <c r="B28" s="96" t="s">
        <v>134</v>
      </c>
      <c r="C28" s="97"/>
      <c r="D28" s="88">
        <v>6000</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23195</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11.532</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11.532</v>
      </c>
      <c r="E54" s="65"/>
    </row>
    <row r="55" spans="1:5" ht="15.75">
      <c r="A55" s="65"/>
      <c r="B55" s="65"/>
      <c r="C55" s="65"/>
      <c r="D55" s="65"/>
      <c r="E55" s="65"/>
    </row>
    <row r="56" spans="1:5" ht="15.75">
      <c r="A56" s="113" t="str">
        <f>CONCATENATE("Total Tax Levied (",C5-2," budget column)")</f>
        <v>Total Tax Levied (2011 budget column)</v>
      </c>
      <c r="B56" s="114"/>
      <c r="C56" s="93"/>
      <c r="D56" s="104"/>
      <c r="E56" s="88">
        <v>1140</v>
      </c>
    </row>
    <row r="57" spans="1:5" ht="15.75">
      <c r="A57" s="113" t="str">
        <f>CONCATENATE("Assessed Valuation  (",C5-2," budget column)")</f>
        <v>Assessed Valuation  (2011 budget column)</v>
      </c>
      <c r="B57" s="115"/>
      <c r="C57" s="116"/>
      <c r="D57" s="117"/>
      <c r="E57" s="88">
        <v>98854</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c r="E60" s="124"/>
    </row>
    <row r="61" spans="1:5" ht="15.75">
      <c r="A61" s="125" t="s">
        <v>326</v>
      </c>
      <c r="B61" s="125"/>
      <c r="C61" s="126"/>
      <c r="D61" s="124"/>
      <c r="E61" s="124"/>
    </row>
    <row r="62" spans="1:5" ht="15.75">
      <c r="A62" s="125" t="s">
        <v>327</v>
      </c>
      <c r="B62" s="125"/>
      <c r="C62" s="126"/>
      <c r="D62" s="124"/>
      <c r="E62" s="124"/>
    </row>
    <row r="63" spans="1:5" ht="15.7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PARKERVILLE</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284</v>
      </c>
      <c r="C6" s="88"/>
      <c r="D6" s="190">
        <f>C31</f>
        <v>0</v>
      </c>
      <c r="E6" s="190">
        <f>D31</f>
        <v>0</v>
      </c>
    </row>
    <row r="7" spans="2:5" ht="15.75">
      <c r="B7" s="279" t="s">
        <v>286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658</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657</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841</v>
      </c>
      <c r="D37" s="719" t="s">
        <v>842</v>
      </c>
      <c r="E37" s="175" t="s">
        <v>843</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PARKERVILLE</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800</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799</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PARKERVILLE</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2">
        <f>inputPrYr!B38</f>
        <v>0</v>
      </c>
      <c r="B5" s="813"/>
      <c r="C5" s="812">
        <f>inputPrYr!B39</f>
        <v>0</v>
      </c>
      <c r="D5" s="813"/>
      <c r="E5" s="812">
        <f>inputPrYr!B40</f>
        <v>0</v>
      </c>
      <c r="F5" s="813"/>
      <c r="G5" s="812">
        <f>inputPrYr!B41</f>
        <v>0</v>
      </c>
      <c r="H5" s="813"/>
      <c r="I5" s="812">
        <f>inputPrYr!B42</f>
        <v>0</v>
      </c>
      <c r="J5" s="813"/>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678</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4" t="s">
        <v>223</v>
      </c>
      <c r="B2" s="814"/>
      <c r="C2" s="814"/>
      <c r="D2" s="814"/>
      <c r="E2" s="814"/>
      <c r="F2" s="814"/>
      <c r="G2" s="814"/>
      <c r="H2" s="814"/>
    </row>
    <row r="3" spans="1:8" ht="15.75">
      <c r="A3" s="7"/>
      <c r="B3" s="7"/>
      <c r="C3" s="7"/>
      <c r="D3" s="7"/>
      <c r="E3" s="7"/>
      <c r="F3" s="7"/>
      <c r="G3" s="7"/>
      <c r="H3" s="7"/>
    </row>
    <row r="4" spans="1:8" ht="15.75">
      <c r="A4" s="815" t="s">
        <v>184</v>
      </c>
      <c r="B4" s="815"/>
      <c r="C4" s="815"/>
      <c r="D4" s="815"/>
      <c r="E4" s="815"/>
      <c r="F4" s="815"/>
      <c r="G4" s="815"/>
      <c r="H4" s="815"/>
    </row>
    <row r="5" spans="1:8" ht="15.75">
      <c r="A5" s="816" t="str">
        <f>inputPrYr!D2</f>
        <v>CITY OF PARKERVILLE</v>
      </c>
      <c r="B5" s="816"/>
      <c r="C5" s="816"/>
      <c r="D5" s="816"/>
      <c r="E5" s="816"/>
      <c r="F5" s="816"/>
      <c r="G5" s="816"/>
      <c r="H5" s="816"/>
    </row>
    <row r="6" spans="1:8" ht="15.75">
      <c r="A6" s="817" t="str">
        <f>CONCATENATE("will meet on ",inputBudSum!B7," at ",inputBudSum!B9," at ",inputBudSum!B11," for the purpose of hearing and")</f>
        <v>will meet on September 4, 2012 at 7:00 p.m. at Susan McKenzie Residence for the purpose of hearing and</v>
      </c>
      <c r="B6" s="817"/>
      <c r="C6" s="817"/>
      <c r="D6" s="817"/>
      <c r="E6" s="817"/>
      <c r="F6" s="817"/>
      <c r="G6" s="817"/>
      <c r="H6" s="817"/>
    </row>
    <row r="7" spans="1:8" ht="15.75">
      <c r="A7" s="815" t="s">
        <v>634</v>
      </c>
      <c r="B7" s="815"/>
      <c r="C7" s="815"/>
      <c r="D7" s="815"/>
      <c r="E7" s="815"/>
      <c r="F7" s="815"/>
      <c r="G7" s="815"/>
      <c r="H7" s="815"/>
    </row>
    <row r="8" spans="1:8" ht="15.75">
      <c r="A8" s="815" t="str">
        <f>CONCATENATE("Detailed budget information is available at ",inputBudSum!B14," and will be available at this hearing.")</f>
        <v>Detailed budget information is available at Morris County Clerk's Office and will be available at this hearing.</v>
      </c>
      <c r="B8" s="815"/>
      <c r="C8" s="815"/>
      <c r="D8" s="815"/>
      <c r="E8" s="815"/>
      <c r="F8" s="815"/>
      <c r="G8" s="815"/>
      <c r="H8" s="815"/>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665</v>
      </c>
      <c r="G15" s="16" t="s">
        <v>166</v>
      </c>
      <c r="H15" s="12" t="s">
        <v>186</v>
      </c>
    </row>
    <row r="16" spans="1:8" ht="15.75">
      <c r="A16" s="86" t="s">
        <v>131</v>
      </c>
      <c r="B16" s="222">
        <f>IF((general!$C$61)&lt;&gt;0,general!$C$61,"  ")</f>
        <v>8425</v>
      </c>
      <c r="C16" s="723">
        <f>IF(inputPrYr!D47&gt;0,inputPrYr!D47,"  ")</f>
        <v>11.532</v>
      </c>
      <c r="D16" s="222">
        <f>IF((general!$D$61)&lt;&gt;0,general!$D$61,"  ")</f>
        <v>10260</v>
      </c>
      <c r="E16" s="723">
        <f>IF(inputOth!D21&gt;0,inputOth!D21,"  ")</f>
        <v>11.912</v>
      </c>
      <c r="F16" s="222">
        <f>IF((general!$E$61)&lt;&gt;0,general!$E$61,"  ")</f>
        <v>21410</v>
      </c>
      <c r="G16" s="222">
        <f>IF((general!$E$68)&lt;&gt;0,(general!$E$68),"  ")</f>
        <v>1205</v>
      </c>
      <c r="H16" s="723">
        <f>IF((general!E68&gt;0),ROUND(G16/$F$35*1000,3),"  ")</f>
        <v>13.134</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8" t="str">
        <f>CONCATENATE("Estimated Value Of One Mill For ",H1,"")</f>
        <v>Estimated Value Of One Mill For 2013</v>
      </c>
      <c r="K20" s="821"/>
      <c r="L20" s="821"/>
      <c r="M20" s="822"/>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677</v>
      </c>
      <c r="K22" s="510"/>
      <c r="L22" s="510"/>
      <c r="M22" s="511">
        <f>ROUND(F35/1000,0)</f>
        <v>92</v>
      </c>
    </row>
    <row r="23" spans="1:8" ht="15.75">
      <c r="A23" s="109" t="str">
        <f>IF((inputPrYr!$B28&gt;"  "),(inputPrYr!$B28),"  ")</f>
        <v>Special Highway</v>
      </c>
      <c r="B23" s="222">
        <f>IF((SpecHwy!$C$24)&lt;&gt;0,(SpecHwy!$C$24),"  ")</f>
        <v>250</v>
      </c>
      <c r="C23" s="188"/>
      <c r="D23" s="222">
        <f>IF((SpecHwy!$D$24)&lt;&gt;0,(SpecHwy!$D$24),"  ")</f>
        <v>1500</v>
      </c>
      <c r="E23" s="188"/>
      <c r="F23" s="222">
        <f>IF((SpecHwy!$E$24)&lt;&gt;0,(SpecHwy!$E$24),"  ")</f>
        <v>3000</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18" t="str">
        <f>CONCATENATE("Want The Mill Rate The Same As For ",H1-1,"?")</f>
        <v>Want The Mill Rate The Same As For 2012?</v>
      </c>
      <c r="K24" s="823"/>
      <c r="L24" s="823"/>
      <c r="M24" s="824"/>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11.912</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-112</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763</v>
      </c>
      <c r="B31" s="725">
        <f>SUM(B16:B30)</f>
        <v>8675</v>
      </c>
      <c r="C31" s="726">
        <f>SUM(C16:C22)</f>
        <v>11.532</v>
      </c>
      <c r="D31" s="725">
        <f>SUM(D16:D30)</f>
        <v>11760</v>
      </c>
      <c r="E31" s="726">
        <f>SUM(E16:E22)</f>
        <v>11.912</v>
      </c>
      <c r="F31" s="725">
        <f>SUM(F16:F30)</f>
        <v>24410</v>
      </c>
      <c r="G31" s="725">
        <f>SUM(G16:G22)</f>
        <v>1205</v>
      </c>
      <c r="H31" s="726">
        <f>SUM(H16:H30)</f>
        <v>13.134</v>
      </c>
      <c r="J31" s="818" t="str">
        <f>CONCATENATE("Impact On Keeping The Same Mill Rate As For ",H1-1,"")</f>
        <v>Impact On Keeping The Same Mill Rate As For 2012</v>
      </c>
      <c r="K31" s="821"/>
      <c r="L31" s="821"/>
      <c r="M31" s="822"/>
    </row>
    <row r="32" spans="1:13" ht="15.75">
      <c r="A32" s="8" t="s">
        <v>187</v>
      </c>
      <c r="B32" s="727">
        <f>Transfers!$C$15</f>
        <v>0</v>
      </c>
      <c r="C32" s="728"/>
      <c r="D32" s="727">
        <f>Transfers!$D$15</f>
        <v>0</v>
      </c>
      <c r="E32" s="729"/>
      <c r="F32" s="727">
        <f>Transfers!$E$15</f>
        <v>0</v>
      </c>
      <c r="G32" s="646"/>
      <c r="H32" s="730"/>
      <c r="I32" s="465"/>
      <c r="J32" s="513"/>
      <c r="K32" s="507"/>
      <c r="L32" s="507"/>
      <c r="M32" s="514"/>
    </row>
    <row r="33" spans="1:13" ht="16.5" thickBot="1">
      <c r="A33" s="49" t="s">
        <v>188</v>
      </c>
      <c r="B33" s="731">
        <f>B31-B32</f>
        <v>8675</v>
      </c>
      <c r="C33" s="65"/>
      <c r="D33" s="731">
        <f>D31-D32</f>
        <v>11760</v>
      </c>
      <c r="E33" s="65"/>
      <c r="F33" s="731">
        <f>F31-F32</f>
        <v>24410</v>
      </c>
      <c r="G33" s="65"/>
      <c r="H33" s="65"/>
      <c r="J33" s="513" t="str">
        <f>CONCATENATE("",H1," Ad Valorem Tax Revenue:")</f>
        <v>2013 Ad Valorem Tax Revenue:</v>
      </c>
      <c r="K33" s="507"/>
      <c r="L33" s="507"/>
      <c r="M33" s="508">
        <f>G31</f>
        <v>1205</v>
      </c>
    </row>
    <row r="34" spans="1:13" ht="16.5" thickTop="1">
      <c r="A34" s="8" t="s">
        <v>189</v>
      </c>
      <c r="B34" s="727">
        <f>inputPrYr!E56</f>
        <v>1140</v>
      </c>
      <c r="C34" s="732"/>
      <c r="D34" s="727">
        <f>inputPrYr!E25</f>
        <v>1205</v>
      </c>
      <c r="E34" s="733"/>
      <c r="F34" s="734" t="s">
        <v>153</v>
      </c>
      <c r="G34" s="735"/>
      <c r="H34" s="735"/>
      <c r="J34" s="513" t="str">
        <f>CONCATENATE("",H1-1," Ad Valorem Tax Revenue:")</f>
        <v>2012 Ad Valorem Tax Revenue:</v>
      </c>
      <c r="K34" s="507"/>
      <c r="L34" s="507"/>
      <c r="M34" s="521">
        <f>ROUND(F35*M26/1000,0)</f>
        <v>1093</v>
      </c>
    </row>
    <row r="35" spans="1:13" ht="15.75">
      <c r="A35" s="8" t="s">
        <v>190</v>
      </c>
      <c r="B35" s="222">
        <f>inputPrYr!E57</f>
        <v>98854</v>
      </c>
      <c r="C35" s="244"/>
      <c r="D35" s="222">
        <f>inputOth!E30</f>
        <v>101162</v>
      </c>
      <c r="E35" s="221"/>
      <c r="F35" s="222">
        <f>inputOth!E7</f>
        <v>91749</v>
      </c>
      <c r="G35" s="735"/>
      <c r="H35" s="735"/>
      <c r="J35" s="518" t="s">
        <v>679</v>
      </c>
      <c r="K35" s="519"/>
      <c r="L35" s="519"/>
      <c r="M35" s="511">
        <f>M33-M34</f>
        <v>112</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8" t="s">
        <v>739</v>
      </c>
      <c r="K37" s="819"/>
      <c r="L37" s="819"/>
      <c r="M37" s="820"/>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13.134</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294</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5" t="str">
        <f>inputBudSum!B3</f>
        <v>Susan McKenzie</v>
      </c>
      <c r="B47" s="826"/>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9</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PARKERVILLE</v>
      </c>
      <c r="B1" s="4"/>
      <c r="C1" s="4"/>
      <c r="D1" s="4"/>
      <c r="E1" s="4"/>
      <c r="F1" s="4">
        <f>inputPrYr!C5</f>
        <v>2013</v>
      </c>
    </row>
    <row r="2" spans="1:6" ht="15.75">
      <c r="A2" s="42"/>
      <c r="B2" s="4"/>
      <c r="C2" s="4"/>
      <c r="D2" s="4"/>
      <c r="E2" s="4"/>
      <c r="F2" s="4"/>
    </row>
    <row r="3" spans="1:6" ht="15.75">
      <c r="A3" s="4"/>
      <c r="B3" s="4"/>
      <c r="C3" s="4"/>
      <c r="D3" s="4"/>
      <c r="E3" s="4"/>
      <c r="F3" s="4"/>
    </row>
    <row r="4" spans="1:6" ht="15.75">
      <c r="A4" s="7"/>
      <c r="B4" s="827" t="str">
        <f>CONCATENATE("",F1," Neighborhood Revitalization Rebate")</f>
        <v>2013 Neighborhood Revitalization Rebate</v>
      </c>
      <c r="C4" s="828"/>
      <c r="D4" s="828"/>
      <c r="E4" s="829"/>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2" t="str">
        <f>CONCATENATE("",F1-1," July 1 Valuation:")</f>
        <v>2012 July 1 Valuation:</v>
      </c>
      <c r="B17" s="831"/>
      <c r="C17" s="832"/>
      <c r="D17" s="37">
        <f>inputOth!E7</f>
        <v>91749</v>
      </c>
      <c r="E17" s="7"/>
      <c r="F17" s="4"/>
    </row>
    <row r="18" spans="1:6" ht="15.75">
      <c r="A18" s="7"/>
      <c r="B18" s="7"/>
      <c r="C18" s="7"/>
      <c r="D18" s="7"/>
      <c r="E18" s="7"/>
      <c r="F18" s="4"/>
    </row>
    <row r="19" spans="1:6" ht="15.75">
      <c r="A19" s="7"/>
      <c r="B19" s="832" t="s">
        <v>352</v>
      </c>
      <c r="C19" s="832"/>
      <c r="D19" s="43">
        <f>IF(D17&gt;0,(D17*0.001),"")</f>
        <v>91.749</v>
      </c>
      <c r="E19" s="7"/>
      <c r="F19" s="4"/>
    </row>
    <row r="20" spans="1:6" ht="15.75">
      <c r="A20" s="7"/>
      <c r="B20" s="15"/>
      <c r="C20" s="15"/>
      <c r="D20" s="44"/>
      <c r="E20" s="7"/>
      <c r="F20" s="4"/>
    </row>
    <row r="21" spans="1:6" ht="15.75">
      <c r="A21" s="830" t="s">
        <v>353</v>
      </c>
      <c r="B21" s="829"/>
      <c r="C21" s="829"/>
      <c r="D21" s="45">
        <f>inputOth!E17</f>
        <v>0</v>
      </c>
      <c r="E21" s="26"/>
      <c r="F21" s="26"/>
    </row>
    <row r="22" spans="1:6" ht="15">
      <c r="A22" s="26"/>
      <c r="B22" s="26"/>
      <c r="C22" s="26"/>
      <c r="D22" s="46"/>
      <c r="E22" s="26"/>
      <c r="F22" s="26"/>
    </row>
    <row r="23" spans="1:6" ht="15.75">
      <c r="A23" s="26"/>
      <c r="B23" s="830" t="s">
        <v>354</v>
      </c>
      <c r="C23" s="831"/>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v>10</v>
      </c>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3" t="s">
        <v>300</v>
      </c>
      <c r="B1" s="833"/>
      <c r="C1" s="833"/>
      <c r="D1" s="833"/>
      <c r="E1" s="833"/>
      <c r="F1" s="833"/>
      <c r="G1" s="833"/>
    </row>
    <row r="2" spans="1:7" ht="16.5" customHeight="1">
      <c r="A2" s="833"/>
      <c r="B2" s="833"/>
      <c r="C2" s="833"/>
      <c r="D2" s="833"/>
      <c r="E2" s="833"/>
      <c r="F2" s="833"/>
      <c r="G2" s="833"/>
    </row>
    <row r="3" spans="1:7" ht="16.5" customHeight="1">
      <c r="A3" s="834"/>
      <c r="B3" s="834"/>
      <c r="C3" s="834"/>
      <c r="D3" s="834"/>
      <c r="E3" s="834"/>
      <c r="F3" s="834"/>
      <c r="G3" s="834"/>
    </row>
    <row r="4" spans="1:7" ht="16.5" customHeight="1">
      <c r="A4" s="835" t="str">
        <f>CONCATENATE("AN ORDINANCE ATTESTING TO AN INCREASE IN TAX REVENUES FOR BUDGET YEAR ",(inputPrYr!$C$5)," FOR THE ",(inputPrYr!$D$2))</f>
        <v>AN ORDINANCE ATTESTING TO AN INCREASE IN TAX REVENUES FOR BUDGET YEAR 2013 FOR THE CITY OF PARKERVILLE</v>
      </c>
      <c r="B4" s="835"/>
      <c r="C4" s="835"/>
      <c r="D4" s="835"/>
      <c r="E4" s="835"/>
      <c r="F4" s="835"/>
      <c r="G4" s="835"/>
    </row>
    <row r="5" spans="1:7" ht="16.5" customHeight="1">
      <c r="A5" s="835"/>
      <c r="B5" s="835"/>
      <c r="C5" s="835"/>
      <c r="D5" s="835"/>
      <c r="E5" s="835"/>
      <c r="F5" s="835"/>
      <c r="G5" s="835"/>
    </row>
    <row r="6" spans="1:7" ht="16.5" customHeight="1">
      <c r="A6" s="833"/>
      <c r="B6" s="833"/>
      <c r="C6" s="833"/>
      <c r="D6" s="833"/>
      <c r="E6" s="833"/>
      <c r="F6" s="833"/>
      <c r="G6" s="833"/>
    </row>
    <row r="7" spans="1:14" ht="16.5" customHeight="1">
      <c r="A7" s="835" t="str">
        <f>CONCATENATE("WHEREAS, the  ",(inputPrYr!$D$2)," must continue to provide services to protect the health, safety, and welfare of the citizens of this community; and")</f>
        <v>WHEREAS, the  CITY OF PARKERVILLE must continue to provide services to protect the health, safety, and welfare of the citizens of this community; and</v>
      </c>
      <c r="B7" s="835"/>
      <c r="C7" s="835"/>
      <c r="D7" s="835"/>
      <c r="E7" s="835"/>
      <c r="F7" s="835"/>
      <c r="G7" s="835"/>
      <c r="H7" s="22"/>
      <c r="I7" s="22"/>
      <c r="J7" s="22"/>
      <c r="K7" s="22"/>
      <c r="L7" s="22"/>
      <c r="M7" s="22"/>
      <c r="N7" s="22"/>
    </row>
    <row r="8" spans="1:14" ht="16.5" customHeight="1">
      <c r="A8" s="835"/>
      <c r="B8" s="835"/>
      <c r="C8" s="835"/>
      <c r="D8" s="835"/>
      <c r="E8" s="835"/>
      <c r="F8" s="835"/>
      <c r="G8" s="835"/>
      <c r="H8" s="22"/>
      <c r="I8" s="22"/>
      <c r="J8" s="22"/>
      <c r="K8" s="22"/>
      <c r="L8" s="22"/>
      <c r="M8" s="22"/>
      <c r="N8" s="22"/>
    </row>
    <row r="9" spans="1:7" ht="16.5" customHeight="1">
      <c r="A9" s="31"/>
      <c r="B9" s="31"/>
      <c r="C9" s="31"/>
      <c r="D9" s="31"/>
      <c r="E9" s="31"/>
      <c r="F9" s="31"/>
      <c r="G9" s="31"/>
    </row>
    <row r="10" spans="1:7" ht="16.5" customHeight="1">
      <c r="A10" s="835" t="s">
        <v>301</v>
      </c>
      <c r="B10" s="835"/>
      <c r="C10" s="835"/>
      <c r="D10" s="835"/>
      <c r="E10" s="835"/>
      <c r="F10" s="835"/>
      <c r="G10" s="835"/>
    </row>
    <row r="11" spans="1:7" ht="16.5" customHeight="1">
      <c r="A11" s="835"/>
      <c r="B11" s="835"/>
      <c r="C11" s="835"/>
      <c r="D11" s="835"/>
      <c r="E11" s="835"/>
      <c r="F11" s="835"/>
      <c r="G11" s="835"/>
    </row>
    <row r="12" spans="1:7" ht="16.5" customHeight="1">
      <c r="A12" s="31"/>
      <c r="B12" s="31"/>
      <c r="C12" s="31"/>
      <c r="D12" s="31"/>
      <c r="E12" s="31"/>
      <c r="F12" s="31"/>
      <c r="G12" s="31"/>
    </row>
    <row r="13" spans="1:14" ht="16.5" customHeight="1">
      <c r="A13" s="835" t="str">
        <f>CONCATENATE("NOW THEREFORE, be it ordained by the Governing Body of the ",(inputPrYr!$D$2),":")</f>
        <v>NOW THEREFORE, be it ordained by the Governing Body of the CITY OF PARKERVILLE:</v>
      </c>
      <c r="B13" s="835"/>
      <c r="C13" s="835"/>
      <c r="D13" s="835"/>
      <c r="E13" s="835"/>
      <c r="F13" s="835"/>
      <c r="G13" s="835"/>
      <c r="H13" s="22"/>
      <c r="I13" s="22"/>
      <c r="J13" s="22"/>
      <c r="K13" s="22"/>
      <c r="L13" s="22"/>
      <c r="M13" s="22"/>
      <c r="N13" s="22"/>
    </row>
    <row r="14" spans="1:14" ht="16.5" customHeight="1">
      <c r="A14" s="835"/>
      <c r="B14" s="835"/>
      <c r="C14" s="835"/>
      <c r="D14" s="835"/>
      <c r="E14" s="835"/>
      <c r="F14" s="835"/>
      <c r="G14" s="835"/>
      <c r="H14" s="22"/>
      <c r="I14" s="22"/>
      <c r="J14" s="22"/>
      <c r="K14" s="22"/>
      <c r="L14" s="22"/>
      <c r="M14" s="22"/>
      <c r="N14" s="22"/>
    </row>
    <row r="15" spans="1:14" ht="16.5" customHeight="1">
      <c r="A15" s="83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PARKERVILLE  has scheduled a public hearing and has prepared the proposed budget necessary to fund city services from January 1, 2013 until December 31, 2013.</v>
      </c>
      <c r="B15" s="835"/>
      <c r="C15" s="835"/>
      <c r="D15" s="835"/>
      <c r="E15" s="835"/>
      <c r="F15" s="835"/>
      <c r="G15" s="835"/>
      <c r="H15" s="22"/>
      <c r="I15" s="22"/>
      <c r="J15" s="22"/>
      <c r="K15" s="22"/>
      <c r="L15" s="22"/>
      <c r="M15" s="22"/>
      <c r="N15" s="22"/>
    </row>
    <row r="16" spans="1:14" ht="16.5" customHeight="1">
      <c r="A16" s="835"/>
      <c r="B16" s="835"/>
      <c r="C16" s="835"/>
      <c r="D16" s="835"/>
      <c r="E16" s="835"/>
      <c r="F16" s="835"/>
      <c r="G16" s="835"/>
      <c r="H16" s="22"/>
      <c r="I16" s="22"/>
      <c r="J16" s="22"/>
      <c r="K16" s="22"/>
      <c r="L16" s="22"/>
      <c r="M16" s="22"/>
      <c r="N16" s="22"/>
    </row>
    <row r="17" spans="1:14" ht="16.5" customHeight="1">
      <c r="A17" s="835"/>
      <c r="B17" s="835"/>
      <c r="C17" s="835"/>
      <c r="D17" s="835"/>
      <c r="E17" s="835"/>
      <c r="F17" s="835"/>
      <c r="G17" s="835"/>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5" t="s">
        <v>302</v>
      </c>
      <c r="B24" s="835"/>
      <c r="C24" s="835"/>
      <c r="D24" s="835"/>
      <c r="E24" s="835"/>
      <c r="F24" s="835"/>
      <c r="G24" s="835"/>
    </row>
    <row r="25" spans="1:7" ht="16.5" customHeight="1">
      <c r="A25" s="835"/>
      <c r="B25" s="835"/>
      <c r="C25" s="835"/>
      <c r="D25" s="835"/>
      <c r="E25" s="835"/>
      <c r="F25" s="835"/>
      <c r="G25" s="835"/>
    </row>
    <row r="26" spans="1:7" ht="16.5" customHeight="1">
      <c r="A26" s="32"/>
      <c r="B26" s="32"/>
      <c r="C26" s="32"/>
      <c r="D26" s="32"/>
      <c r="E26" s="32"/>
      <c r="F26" s="32"/>
      <c r="G26" s="32"/>
    </row>
    <row r="27" spans="1:7" ht="16.5" customHeight="1">
      <c r="A27" s="835" t="str">
        <f>CONCATENATE("Passed and approved by the Governing Body on this ______ day of __________, ",(inputPrYr!$C$5-1),".")</f>
        <v>Passed and approved by the Governing Body on this ______ day of __________, 2012.</v>
      </c>
      <c r="B27" s="835"/>
      <c r="C27" s="835"/>
      <c r="D27" s="835"/>
      <c r="E27" s="835"/>
      <c r="F27" s="835"/>
      <c r="G27" s="835"/>
    </row>
    <row r="28" spans="1:7" ht="16.5" customHeight="1">
      <c r="A28" s="835"/>
      <c r="B28" s="835"/>
      <c r="C28" s="835"/>
      <c r="D28" s="835"/>
      <c r="E28" s="835"/>
      <c r="F28" s="835"/>
      <c r="G28" s="835"/>
    </row>
    <row r="29" spans="1:7" ht="16.5" customHeight="1">
      <c r="A29" s="34"/>
      <c r="B29" s="1"/>
      <c r="C29" s="1"/>
      <c r="D29" s="1"/>
      <c r="E29" s="1"/>
      <c r="F29" s="1"/>
      <c r="G29" s="1"/>
    </row>
    <row r="30" spans="1:7" ht="16.5" customHeight="1">
      <c r="A30" s="836" t="s">
        <v>303</v>
      </c>
      <c r="B30" s="836"/>
      <c r="C30" s="836"/>
      <c r="D30" s="836"/>
      <c r="E30" s="836"/>
      <c r="F30" s="836"/>
      <c r="G30" s="836"/>
    </row>
    <row r="31" spans="1:7" ht="16.5" customHeight="1">
      <c r="A31" s="836" t="s">
        <v>304</v>
      </c>
      <c r="B31" s="836"/>
      <c r="C31" s="836"/>
      <c r="D31" s="836"/>
      <c r="E31" s="836"/>
      <c r="F31" s="836"/>
      <c r="G31" s="836"/>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7">
      <selection activeCell="E18" sqref="E18"/>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PARKERVILLE</v>
      </c>
      <c r="B1" s="129"/>
      <c r="C1" s="129"/>
      <c r="D1" s="129"/>
      <c r="E1" s="130">
        <f>inputPrYr!C5</f>
        <v>2013</v>
      </c>
    </row>
    <row r="2" spans="1:5" ht="15">
      <c r="A2" s="129"/>
      <c r="B2" s="129"/>
      <c r="C2" s="129"/>
      <c r="D2" s="129"/>
      <c r="E2" s="129"/>
    </row>
    <row r="3" spans="1:5" ht="15.75">
      <c r="A3" s="750" t="s">
        <v>22</v>
      </c>
      <c r="B3" s="751"/>
      <c r="C3" s="751"/>
      <c r="D3" s="751"/>
      <c r="E3" s="751"/>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91749</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2573</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3691</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7" t="s">
        <v>151</v>
      </c>
      <c r="B20" s="758"/>
      <c r="C20" s="129"/>
      <c r="D20" s="134" t="s">
        <v>201</v>
      </c>
      <c r="E20" s="102"/>
    </row>
    <row r="21" spans="1:5" ht="15.75">
      <c r="A21" s="92" t="str">
        <f>inputPrYr!B17</f>
        <v>General</v>
      </c>
      <c r="B21" s="93"/>
      <c r="C21" s="97"/>
      <c r="D21" s="111">
        <v>11.912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11.912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101162</v>
      </c>
    </row>
    <row r="31" spans="1:5" ht="15">
      <c r="A31" s="136"/>
      <c r="B31" s="136"/>
      <c r="C31" s="136"/>
      <c r="D31" s="136"/>
      <c r="E31" s="136"/>
    </row>
    <row r="32" spans="1:5" ht="15.75">
      <c r="A32" s="139" t="s">
        <v>288</v>
      </c>
      <c r="B32" s="78"/>
      <c r="C32" s="78"/>
      <c r="D32" s="140"/>
      <c r="E32" s="89"/>
    </row>
    <row r="33" spans="1:5" ht="15.75">
      <c r="A33" s="92" t="s">
        <v>137</v>
      </c>
      <c r="B33" s="93"/>
      <c r="C33" s="93"/>
      <c r="D33" s="141"/>
      <c r="E33" s="88">
        <v>514</v>
      </c>
    </row>
    <row r="34" spans="1:5" ht="15.75">
      <c r="A34" s="131" t="s">
        <v>138</v>
      </c>
      <c r="B34" s="116"/>
      <c r="C34" s="116"/>
      <c r="D34" s="142"/>
      <c r="E34" s="88"/>
    </row>
    <row r="35" spans="1:5" ht="15.75">
      <c r="A35" s="131" t="s">
        <v>228</v>
      </c>
      <c r="B35" s="116"/>
      <c r="C35" s="116"/>
      <c r="D35" s="142"/>
      <c r="E35" s="88">
        <v>17</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v>
      </c>
    </row>
    <row r="41" spans="1:5" ht="15.75">
      <c r="A41" s="131" t="s">
        <v>846</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1540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1520</v>
      </c>
    </row>
    <row r="48" spans="1:5" ht="15.75">
      <c r="A48" s="152" t="str">
        <f>CONCATENATE("Adjusted ",E1-1," County Transfers for Gas***")</f>
        <v>Adjusted 2012 County Transfers for Gas***</v>
      </c>
      <c r="B48" s="153"/>
      <c r="C48" s="153"/>
      <c r="D48" s="154"/>
      <c r="E48" s="124"/>
    </row>
    <row r="49" spans="1:5" ht="18" customHeight="1">
      <c r="A49" s="759" t="s">
        <v>15</v>
      </c>
      <c r="B49" s="760"/>
      <c r="C49" s="760"/>
      <c r="D49" s="760"/>
      <c r="E49" s="760"/>
    </row>
    <row r="50" spans="1:5" ht="15">
      <c r="A50" s="155" t="s">
        <v>16</v>
      </c>
      <c r="B50" s="155"/>
      <c r="C50" s="155"/>
      <c r="D50" s="155"/>
      <c r="E50" s="155"/>
    </row>
    <row r="51" spans="1:5" ht="15">
      <c r="A51" s="129"/>
      <c r="B51" s="129"/>
      <c r="C51" s="129"/>
      <c r="D51" s="129"/>
      <c r="E51" s="129"/>
    </row>
    <row r="52" spans="1:5" ht="15.75">
      <c r="A52" s="761" t="str">
        <f>CONCATENATE("From the ",E1-2," Budget Certificate Page")</f>
        <v>From the 2011 Budget Certificate Page</v>
      </c>
      <c r="B52" s="762"/>
      <c r="C52" s="129"/>
      <c r="D52" s="129"/>
      <c r="E52" s="129"/>
    </row>
    <row r="53" spans="1:5" ht="15.75">
      <c r="A53" s="156"/>
      <c r="B53" s="156" t="str">
        <f>CONCATENATE("",E1-2," Expenditure Amounts")</f>
        <v>2011 Expenditure Amounts</v>
      </c>
      <c r="C53" s="755" t="str">
        <f>CONCATENATE("Note: If the ",E1-2," budget was amended, then the")</f>
        <v>Note: If the 2011 budget was amended, then the</v>
      </c>
      <c r="D53" s="756"/>
      <c r="E53" s="756"/>
    </row>
    <row r="54" spans="1:5" ht="15.75">
      <c r="A54" s="157" t="s">
        <v>52</v>
      </c>
      <c r="B54" s="157" t="s">
        <v>51</v>
      </c>
      <c r="C54" s="158" t="s">
        <v>49</v>
      </c>
      <c r="D54" s="159"/>
      <c r="E54" s="159"/>
    </row>
    <row r="55" spans="1:5" ht="15.75">
      <c r="A55" s="160" t="str">
        <f>inputPrYr!B17</f>
        <v>General</v>
      </c>
      <c r="B55" s="124">
        <v>21152</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3600</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7" t="s">
        <v>680</v>
      </c>
      <c r="C6" s="855"/>
      <c r="D6" s="855"/>
      <c r="E6" s="855"/>
      <c r="F6" s="855"/>
      <c r="G6" s="855"/>
      <c r="H6" s="855"/>
      <c r="I6" s="855"/>
      <c r="J6" s="855"/>
      <c r="K6" s="855"/>
      <c r="L6" s="576"/>
    </row>
    <row r="7" spans="1:12" ht="40.5" customHeight="1">
      <c r="A7" s="575"/>
      <c r="B7" s="863" t="s">
        <v>681</v>
      </c>
      <c r="C7" s="864"/>
      <c r="D7" s="864"/>
      <c r="E7" s="864"/>
      <c r="F7" s="864"/>
      <c r="G7" s="864"/>
      <c r="H7" s="864"/>
      <c r="I7" s="864"/>
      <c r="J7" s="864"/>
      <c r="K7" s="864"/>
      <c r="L7" s="575"/>
    </row>
    <row r="8" spans="1:12" ht="14.25">
      <c r="A8" s="575"/>
      <c r="B8" s="856" t="s">
        <v>682</v>
      </c>
      <c r="C8" s="856"/>
      <c r="D8" s="856"/>
      <c r="E8" s="856"/>
      <c r="F8" s="856"/>
      <c r="G8" s="856"/>
      <c r="H8" s="856"/>
      <c r="I8" s="856"/>
      <c r="J8" s="856"/>
      <c r="K8" s="856"/>
      <c r="L8" s="575"/>
    </row>
    <row r="9" spans="1:12" ht="14.25">
      <c r="A9" s="575"/>
      <c r="L9" s="575"/>
    </row>
    <row r="10" spans="1:12" ht="14.25">
      <c r="A10" s="575"/>
      <c r="B10" s="856" t="s">
        <v>683</v>
      </c>
      <c r="C10" s="856"/>
      <c r="D10" s="856"/>
      <c r="E10" s="856"/>
      <c r="F10" s="856"/>
      <c r="G10" s="856"/>
      <c r="H10" s="856"/>
      <c r="I10" s="856"/>
      <c r="J10" s="856"/>
      <c r="K10" s="856"/>
      <c r="L10" s="575"/>
    </row>
    <row r="11" spans="1:12" ht="14.25">
      <c r="A11" s="575"/>
      <c r="B11" s="592"/>
      <c r="C11" s="592"/>
      <c r="D11" s="592"/>
      <c r="E11" s="592"/>
      <c r="F11" s="592"/>
      <c r="G11" s="592"/>
      <c r="H11" s="592"/>
      <c r="I11" s="592"/>
      <c r="J11" s="592"/>
      <c r="K11" s="592"/>
      <c r="L11" s="575"/>
    </row>
    <row r="12" spans="1:12" ht="32.25" customHeight="1">
      <c r="A12" s="575"/>
      <c r="B12" s="848" t="s">
        <v>684</v>
      </c>
      <c r="C12" s="848"/>
      <c r="D12" s="848"/>
      <c r="E12" s="848"/>
      <c r="F12" s="848"/>
      <c r="G12" s="848"/>
      <c r="H12" s="848"/>
      <c r="I12" s="848"/>
      <c r="J12" s="848"/>
      <c r="K12" s="848"/>
      <c r="L12" s="575"/>
    </row>
    <row r="13" spans="1:12" ht="14.25">
      <c r="A13" s="575"/>
      <c r="L13" s="575"/>
    </row>
    <row r="14" spans="1:12" ht="14.25">
      <c r="A14" s="575"/>
      <c r="B14" s="522" t="s">
        <v>685</v>
      </c>
      <c r="L14" s="575"/>
    </row>
    <row r="15" spans="1:12" ht="14.25">
      <c r="A15" s="575"/>
      <c r="L15" s="575"/>
    </row>
    <row r="16" spans="1:12" ht="14.25">
      <c r="A16" s="575"/>
      <c r="B16" s="528" t="s">
        <v>686</v>
      </c>
      <c r="L16" s="575"/>
    </row>
    <row r="17" spans="1:12" ht="14.25">
      <c r="A17" s="575"/>
      <c r="B17" s="528" t="s">
        <v>687</v>
      </c>
      <c r="L17" s="575"/>
    </row>
    <row r="18" spans="1:12" ht="14.25">
      <c r="A18" s="575"/>
      <c r="L18" s="575"/>
    </row>
    <row r="19" spans="1:12" ht="14.25">
      <c r="A19" s="575"/>
      <c r="B19" s="522" t="s">
        <v>834</v>
      </c>
      <c r="L19" s="575"/>
    </row>
    <row r="20" spans="1:12" ht="14.25">
      <c r="A20" s="575"/>
      <c r="B20" s="522"/>
      <c r="L20" s="575"/>
    </row>
    <row r="21" spans="1:12" ht="14.25">
      <c r="A21" s="575"/>
      <c r="B21" s="528" t="s">
        <v>835</v>
      </c>
      <c r="L21" s="575"/>
    </row>
    <row r="22" spans="1:12" ht="14.25">
      <c r="A22" s="575"/>
      <c r="L22" s="575"/>
    </row>
    <row r="23" spans="1:12" ht="14.25">
      <c r="A23" s="575"/>
      <c r="B23" s="528" t="s">
        <v>688</v>
      </c>
      <c r="E23" s="528" t="s">
        <v>689</v>
      </c>
      <c r="F23" s="842">
        <v>312000000</v>
      </c>
      <c r="G23" s="842"/>
      <c r="L23" s="575"/>
    </row>
    <row r="24" spans="1:12" ht="14.25">
      <c r="A24" s="575"/>
      <c r="L24" s="575"/>
    </row>
    <row r="25" spans="1:12" ht="14.25">
      <c r="A25" s="575"/>
      <c r="C25" s="865">
        <f>F23</f>
        <v>312000000</v>
      </c>
      <c r="D25" s="865"/>
      <c r="E25" s="528" t="s">
        <v>690</v>
      </c>
      <c r="F25" s="529">
        <v>1000</v>
      </c>
      <c r="G25" s="529" t="s">
        <v>689</v>
      </c>
      <c r="H25" s="593">
        <f>F23/F25</f>
        <v>312000</v>
      </c>
      <c r="L25" s="575"/>
    </row>
    <row r="26" spans="1:12" ht="15" thickBot="1">
      <c r="A26" s="575"/>
      <c r="L26" s="575"/>
    </row>
    <row r="27" spans="1:12" ht="14.25">
      <c r="A27" s="575"/>
      <c r="B27" s="523" t="s">
        <v>685</v>
      </c>
      <c r="C27" s="530"/>
      <c r="D27" s="530"/>
      <c r="E27" s="530"/>
      <c r="F27" s="530"/>
      <c r="G27" s="530"/>
      <c r="H27" s="530"/>
      <c r="I27" s="530"/>
      <c r="J27" s="530"/>
      <c r="K27" s="531"/>
      <c r="L27" s="575"/>
    </row>
    <row r="28" spans="1:12" ht="14.25">
      <c r="A28" s="575"/>
      <c r="B28" s="532">
        <f>F23</f>
        <v>312000000</v>
      </c>
      <c r="C28" s="533" t="s">
        <v>691</v>
      </c>
      <c r="D28" s="533"/>
      <c r="E28" s="533" t="s">
        <v>690</v>
      </c>
      <c r="F28" s="597">
        <v>1000</v>
      </c>
      <c r="G28" s="597" t="s">
        <v>689</v>
      </c>
      <c r="H28" s="534">
        <f>B28/F28</f>
        <v>312000</v>
      </c>
      <c r="I28" s="533" t="s">
        <v>692</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4" t="s">
        <v>681</v>
      </c>
      <c r="C30" s="844"/>
      <c r="D30" s="844"/>
      <c r="E30" s="844"/>
      <c r="F30" s="844"/>
      <c r="G30" s="844"/>
      <c r="H30" s="844"/>
      <c r="I30" s="844"/>
      <c r="J30" s="844"/>
      <c r="K30" s="844"/>
      <c r="L30" s="575"/>
    </row>
    <row r="31" spans="1:12" ht="14.25">
      <c r="A31" s="575"/>
      <c r="B31" s="856" t="s">
        <v>693</v>
      </c>
      <c r="C31" s="856"/>
      <c r="D31" s="856"/>
      <c r="E31" s="856"/>
      <c r="F31" s="856"/>
      <c r="G31" s="856"/>
      <c r="H31" s="856"/>
      <c r="I31" s="856"/>
      <c r="J31" s="856"/>
      <c r="K31" s="856"/>
      <c r="L31" s="575"/>
    </row>
    <row r="32" spans="1:12" ht="14.25">
      <c r="A32" s="575"/>
      <c r="L32" s="575"/>
    </row>
    <row r="33" spans="1:12" ht="14.25">
      <c r="A33" s="575"/>
      <c r="B33" s="856" t="s">
        <v>694</v>
      </c>
      <c r="C33" s="856"/>
      <c r="D33" s="856"/>
      <c r="E33" s="856"/>
      <c r="F33" s="856"/>
      <c r="G33" s="856"/>
      <c r="H33" s="856"/>
      <c r="I33" s="856"/>
      <c r="J33" s="856"/>
      <c r="K33" s="856"/>
      <c r="L33" s="575"/>
    </row>
    <row r="34" spans="1:12" ht="14.25">
      <c r="A34" s="575"/>
      <c r="L34" s="575"/>
    </row>
    <row r="35" spans="1:12" ht="89.25" customHeight="1">
      <c r="A35" s="575"/>
      <c r="B35" s="848" t="s">
        <v>695</v>
      </c>
      <c r="C35" s="846"/>
      <c r="D35" s="846"/>
      <c r="E35" s="846"/>
      <c r="F35" s="846"/>
      <c r="G35" s="846"/>
      <c r="H35" s="846"/>
      <c r="I35" s="846"/>
      <c r="J35" s="846"/>
      <c r="K35" s="846"/>
      <c r="L35" s="575"/>
    </row>
    <row r="36" spans="1:12" ht="14.25">
      <c r="A36" s="575"/>
      <c r="L36" s="575"/>
    </row>
    <row r="37" spans="1:12" ht="14.25">
      <c r="A37" s="575"/>
      <c r="B37" s="522" t="s">
        <v>696</v>
      </c>
      <c r="L37" s="575"/>
    </row>
    <row r="38" spans="1:12" ht="14.25">
      <c r="A38" s="575"/>
      <c r="L38" s="575"/>
    </row>
    <row r="39" spans="1:12" ht="14.25">
      <c r="A39" s="575"/>
      <c r="B39" s="528" t="s">
        <v>729</v>
      </c>
      <c r="L39" s="575"/>
    </row>
    <row r="40" spans="1:12" ht="14.25">
      <c r="A40" s="575"/>
      <c r="L40" s="575"/>
    </row>
    <row r="41" spans="1:12" ht="14.25">
      <c r="A41" s="575"/>
      <c r="C41" s="857">
        <v>312000000</v>
      </c>
      <c r="D41" s="857"/>
      <c r="E41" s="528" t="s">
        <v>690</v>
      </c>
      <c r="F41" s="529">
        <v>1000</v>
      </c>
      <c r="G41" s="529" t="s">
        <v>689</v>
      </c>
      <c r="H41" s="539">
        <f>C41/F41</f>
        <v>312000</v>
      </c>
      <c r="L41" s="575"/>
    </row>
    <row r="42" spans="1:12" ht="14.25">
      <c r="A42" s="575"/>
      <c r="L42" s="575"/>
    </row>
    <row r="43" spans="1:12" ht="14.25">
      <c r="A43" s="575"/>
      <c r="B43" s="528" t="s">
        <v>730</v>
      </c>
      <c r="L43" s="575"/>
    </row>
    <row r="44" spans="1:12" ht="14.25">
      <c r="A44" s="575"/>
      <c r="L44" s="575"/>
    </row>
    <row r="45" spans="1:12" ht="14.25">
      <c r="A45" s="575"/>
      <c r="B45" s="528" t="s">
        <v>697</v>
      </c>
      <c r="L45" s="575"/>
    </row>
    <row r="46" spans="1:12" ht="15" thickBot="1">
      <c r="A46" s="575"/>
      <c r="L46" s="575"/>
    </row>
    <row r="47" spans="1:12" ht="14.25">
      <c r="A47" s="575"/>
      <c r="B47" s="540" t="s">
        <v>685</v>
      </c>
      <c r="C47" s="530"/>
      <c r="D47" s="530"/>
      <c r="E47" s="530"/>
      <c r="F47" s="530"/>
      <c r="G47" s="530"/>
      <c r="H47" s="530"/>
      <c r="I47" s="530"/>
      <c r="J47" s="530"/>
      <c r="K47" s="531"/>
      <c r="L47" s="575"/>
    </row>
    <row r="48" spans="1:12" ht="14.25">
      <c r="A48" s="575"/>
      <c r="B48" s="858">
        <v>312000000</v>
      </c>
      <c r="C48" s="842"/>
      <c r="D48" s="533" t="s">
        <v>698</v>
      </c>
      <c r="E48" s="533" t="s">
        <v>690</v>
      </c>
      <c r="F48" s="636">
        <v>1000</v>
      </c>
      <c r="G48" s="636" t="s">
        <v>689</v>
      </c>
      <c r="H48" s="534">
        <f>B48/F48</f>
        <v>312000</v>
      </c>
      <c r="I48" s="533" t="s">
        <v>699</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700</v>
      </c>
      <c r="D50" s="533"/>
      <c r="E50" s="533" t="s">
        <v>690</v>
      </c>
      <c r="F50" s="534">
        <f>H48</f>
        <v>312000</v>
      </c>
      <c r="G50" s="859" t="s">
        <v>701</v>
      </c>
      <c r="H50" s="860"/>
      <c r="I50" s="636" t="s">
        <v>689</v>
      </c>
      <c r="J50" s="543">
        <f>B50/F50</f>
        <v>0.16025641025641027</v>
      </c>
      <c r="K50" s="535"/>
      <c r="L50" s="575"/>
    </row>
    <row r="51" spans="1:15" ht="15" thickBot="1">
      <c r="A51" s="575"/>
      <c r="B51" s="536"/>
      <c r="C51" s="537"/>
      <c r="D51" s="537"/>
      <c r="E51" s="537"/>
      <c r="F51" s="537"/>
      <c r="G51" s="537"/>
      <c r="H51" s="537"/>
      <c r="I51" s="861" t="s">
        <v>702</v>
      </c>
      <c r="J51" s="861"/>
      <c r="K51" s="862"/>
      <c r="L51" s="575"/>
      <c r="O51" s="612"/>
    </row>
    <row r="52" spans="1:12" ht="40.5" customHeight="1">
      <c r="A52" s="575"/>
      <c r="B52" s="844" t="s">
        <v>681</v>
      </c>
      <c r="C52" s="844"/>
      <c r="D52" s="844"/>
      <c r="E52" s="844"/>
      <c r="F52" s="844"/>
      <c r="G52" s="844"/>
      <c r="H52" s="844"/>
      <c r="I52" s="844"/>
      <c r="J52" s="844"/>
      <c r="K52" s="844"/>
      <c r="L52" s="575"/>
    </row>
    <row r="53" spans="1:12" ht="14.25">
      <c r="A53" s="575"/>
      <c r="B53" s="856" t="s">
        <v>703</v>
      </c>
      <c r="C53" s="856"/>
      <c r="D53" s="856"/>
      <c r="E53" s="856"/>
      <c r="F53" s="856"/>
      <c r="G53" s="856"/>
      <c r="H53" s="856"/>
      <c r="I53" s="856"/>
      <c r="J53" s="856"/>
      <c r="K53" s="856"/>
      <c r="L53" s="575"/>
    </row>
    <row r="54" spans="1:12" ht="14.25">
      <c r="A54" s="575"/>
      <c r="B54" s="592"/>
      <c r="C54" s="592"/>
      <c r="D54" s="592"/>
      <c r="E54" s="592"/>
      <c r="F54" s="592"/>
      <c r="G54" s="592"/>
      <c r="H54" s="592"/>
      <c r="I54" s="592"/>
      <c r="J54" s="592"/>
      <c r="K54" s="592"/>
      <c r="L54" s="575"/>
    </row>
    <row r="55" spans="1:12" ht="14.25">
      <c r="A55" s="575"/>
      <c r="B55" s="847" t="s">
        <v>704</v>
      </c>
      <c r="C55" s="847"/>
      <c r="D55" s="847"/>
      <c r="E55" s="847"/>
      <c r="F55" s="847"/>
      <c r="G55" s="847"/>
      <c r="H55" s="847"/>
      <c r="I55" s="847"/>
      <c r="J55" s="847"/>
      <c r="K55" s="847"/>
      <c r="L55" s="575"/>
    </row>
    <row r="56" spans="1:12" ht="15" customHeight="1">
      <c r="A56" s="575"/>
      <c r="L56" s="575"/>
    </row>
    <row r="57" spans="1:24" ht="74.25" customHeight="1">
      <c r="A57" s="575"/>
      <c r="B57" s="848" t="s">
        <v>705</v>
      </c>
      <c r="C57" s="846"/>
      <c r="D57" s="846"/>
      <c r="E57" s="846"/>
      <c r="F57" s="846"/>
      <c r="G57" s="846"/>
      <c r="H57" s="846"/>
      <c r="I57" s="846"/>
      <c r="J57" s="846"/>
      <c r="K57" s="846"/>
      <c r="L57" s="575"/>
      <c r="M57" s="524"/>
      <c r="N57" s="544"/>
      <c r="O57" s="544"/>
      <c r="P57" s="544"/>
      <c r="Q57" s="544"/>
      <c r="R57" s="544"/>
      <c r="S57" s="544"/>
      <c r="T57" s="544"/>
      <c r="U57" s="544"/>
      <c r="V57" s="544"/>
      <c r="W57" s="544"/>
      <c r="X57" s="544"/>
    </row>
    <row r="58" spans="1:24" ht="15" customHeight="1">
      <c r="A58" s="575"/>
      <c r="B58" s="848"/>
      <c r="C58" s="846"/>
      <c r="D58" s="846"/>
      <c r="E58" s="846"/>
      <c r="F58" s="846"/>
      <c r="G58" s="846"/>
      <c r="H58" s="846"/>
      <c r="I58" s="846"/>
      <c r="J58" s="846"/>
      <c r="K58" s="846"/>
      <c r="L58" s="575"/>
      <c r="M58" s="524"/>
      <c r="N58" s="544"/>
      <c r="O58" s="544"/>
      <c r="P58" s="544"/>
      <c r="Q58" s="544"/>
      <c r="R58" s="544"/>
      <c r="S58" s="544"/>
      <c r="T58" s="544"/>
      <c r="U58" s="544"/>
      <c r="V58" s="544"/>
      <c r="W58" s="544"/>
      <c r="X58" s="544"/>
    </row>
    <row r="59" spans="1:24" ht="14.25">
      <c r="A59" s="575"/>
      <c r="B59" s="522" t="s">
        <v>696</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731</v>
      </c>
      <c r="L61" s="575"/>
      <c r="M61" s="544"/>
      <c r="N61" s="544"/>
      <c r="O61" s="544"/>
      <c r="P61" s="544"/>
      <c r="Q61" s="544"/>
      <c r="R61" s="544"/>
      <c r="S61" s="544"/>
      <c r="T61" s="544"/>
      <c r="U61" s="544"/>
      <c r="V61" s="544"/>
      <c r="W61" s="544"/>
      <c r="X61" s="544"/>
    </row>
    <row r="62" spans="1:24" ht="14.25">
      <c r="A62" s="575"/>
      <c r="B62" s="528" t="s">
        <v>836</v>
      </c>
      <c r="L62" s="575"/>
      <c r="M62" s="544"/>
      <c r="N62" s="544"/>
      <c r="O62" s="544"/>
      <c r="P62" s="544"/>
      <c r="Q62" s="544"/>
      <c r="R62" s="544"/>
      <c r="S62" s="544"/>
      <c r="T62" s="544"/>
      <c r="U62" s="544"/>
      <c r="V62" s="544"/>
      <c r="W62" s="544"/>
      <c r="X62" s="544"/>
    </row>
    <row r="63" spans="1:24" ht="14.25">
      <c r="A63" s="575"/>
      <c r="B63" s="528" t="s">
        <v>837</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732</v>
      </c>
      <c r="L65" s="575"/>
      <c r="M65" s="544"/>
      <c r="N65" s="544"/>
      <c r="O65" s="544"/>
      <c r="P65" s="544"/>
      <c r="Q65" s="544"/>
      <c r="R65" s="544"/>
      <c r="S65" s="544"/>
      <c r="T65" s="544"/>
      <c r="U65" s="544"/>
      <c r="V65" s="544"/>
      <c r="W65" s="544"/>
      <c r="X65" s="544"/>
    </row>
    <row r="66" spans="1:24" ht="14.25">
      <c r="A66" s="575"/>
      <c r="B66" s="528" t="s">
        <v>706</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733</v>
      </c>
      <c r="L68" s="575"/>
      <c r="M68" s="525"/>
      <c r="N68" s="545"/>
      <c r="O68" s="545"/>
      <c r="P68" s="545"/>
      <c r="Q68" s="545"/>
      <c r="R68" s="545"/>
      <c r="S68" s="545"/>
      <c r="T68" s="545"/>
      <c r="U68" s="545"/>
      <c r="V68" s="545"/>
      <c r="W68" s="545"/>
      <c r="X68" s="544"/>
    </row>
    <row r="69" spans="1:24" ht="14.25">
      <c r="A69" s="575"/>
      <c r="B69" s="528" t="s">
        <v>838</v>
      </c>
      <c r="L69" s="575"/>
      <c r="M69" s="544"/>
      <c r="N69" s="544"/>
      <c r="O69" s="544"/>
      <c r="P69" s="544"/>
      <c r="Q69" s="544"/>
      <c r="R69" s="544"/>
      <c r="S69" s="544"/>
      <c r="T69" s="544"/>
      <c r="U69" s="544"/>
      <c r="V69" s="544"/>
      <c r="W69" s="544"/>
      <c r="X69" s="544"/>
    </row>
    <row r="70" spans="1:24" ht="14.25">
      <c r="A70" s="575"/>
      <c r="B70" s="528" t="s">
        <v>839</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685</v>
      </c>
      <c r="C72" s="530"/>
      <c r="D72" s="530"/>
      <c r="E72" s="530"/>
      <c r="F72" s="530"/>
      <c r="G72" s="530"/>
      <c r="H72" s="530"/>
      <c r="I72" s="530"/>
      <c r="J72" s="530"/>
      <c r="K72" s="531"/>
      <c r="L72" s="577"/>
    </row>
    <row r="73" spans="1:12" ht="14.25">
      <c r="A73" s="575"/>
      <c r="B73" s="541"/>
      <c r="C73" s="533" t="s">
        <v>691</v>
      </c>
      <c r="D73" s="533"/>
      <c r="E73" s="533"/>
      <c r="F73" s="533"/>
      <c r="G73" s="533"/>
      <c r="H73" s="533"/>
      <c r="I73" s="533"/>
      <c r="J73" s="533"/>
      <c r="K73" s="535"/>
      <c r="L73" s="577"/>
    </row>
    <row r="74" spans="1:12" ht="14.25">
      <c r="A74" s="575"/>
      <c r="B74" s="541" t="s">
        <v>707</v>
      </c>
      <c r="C74" s="842">
        <v>312000000</v>
      </c>
      <c r="D74" s="842"/>
      <c r="E74" s="597" t="s">
        <v>690</v>
      </c>
      <c r="F74" s="597">
        <v>1000</v>
      </c>
      <c r="G74" s="597" t="s">
        <v>689</v>
      </c>
      <c r="H74" s="598">
        <f>C74/F74</f>
        <v>312000</v>
      </c>
      <c r="I74" s="533" t="s">
        <v>708</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709</v>
      </c>
      <c r="D76" s="533"/>
      <c r="E76" s="597"/>
      <c r="F76" s="533" t="s">
        <v>708</v>
      </c>
      <c r="G76" s="533"/>
      <c r="H76" s="533"/>
      <c r="I76" s="533"/>
      <c r="J76" s="533"/>
      <c r="K76" s="535"/>
      <c r="L76" s="577"/>
    </row>
    <row r="77" spans="1:12" ht="14.25">
      <c r="A77" s="575"/>
      <c r="B77" s="541" t="s">
        <v>712</v>
      </c>
      <c r="C77" s="842">
        <v>50000</v>
      </c>
      <c r="D77" s="842"/>
      <c r="E77" s="597" t="s">
        <v>690</v>
      </c>
      <c r="F77" s="598">
        <f>H74</f>
        <v>312000</v>
      </c>
      <c r="G77" s="597" t="s">
        <v>689</v>
      </c>
      <c r="H77" s="543">
        <f>C77/F77</f>
        <v>0.16025641025641027</v>
      </c>
      <c r="I77" s="533" t="s">
        <v>710</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711</v>
      </c>
      <c r="D79" s="547"/>
      <c r="E79" s="599"/>
      <c r="F79" s="547"/>
      <c r="G79" s="547"/>
      <c r="H79" s="547"/>
      <c r="I79" s="547"/>
      <c r="J79" s="547"/>
      <c r="K79" s="548"/>
      <c r="L79" s="577"/>
    </row>
    <row r="80" spans="1:12" ht="14.25">
      <c r="A80" s="575"/>
      <c r="B80" s="541" t="s">
        <v>789</v>
      </c>
      <c r="C80" s="842">
        <v>100000</v>
      </c>
      <c r="D80" s="842"/>
      <c r="E80" s="597" t="s">
        <v>153</v>
      </c>
      <c r="F80" s="597">
        <v>0.115</v>
      </c>
      <c r="G80" s="597" t="s">
        <v>689</v>
      </c>
      <c r="H80" s="598">
        <f>C80*F80</f>
        <v>11500</v>
      </c>
      <c r="I80" s="533" t="s">
        <v>713</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714</v>
      </c>
      <c r="D82" s="547"/>
      <c r="E82" s="599"/>
      <c r="F82" s="547" t="s">
        <v>710</v>
      </c>
      <c r="G82" s="547"/>
      <c r="H82" s="547"/>
      <c r="I82" s="547"/>
      <c r="J82" s="547" t="s">
        <v>715</v>
      </c>
      <c r="K82" s="548"/>
      <c r="L82" s="577"/>
    </row>
    <row r="83" spans="1:12" ht="14.25">
      <c r="A83" s="575"/>
      <c r="B83" s="541" t="s">
        <v>790</v>
      </c>
      <c r="C83" s="840">
        <f>H80</f>
        <v>11500</v>
      </c>
      <c r="D83" s="840"/>
      <c r="E83" s="597" t="s">
        <v>153</v>
      </c>
      <c r="F83" s="543">
        <f>H77</f>
        <v>0.16025641025641027</v>
      </c>
      <c r="G83" s="597" t="s">
        <v>690</v>
      </c>
      <c r="H83" s="597">
        <v>1000</v>
      </c>
      <c r="I83" s="597" t="s">
        <v>689</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4" t="s">
        <v>681</v>
      </c>
      <c r="C85" s="844"/>
      <c r="D85" s="844"/>
      <c r="E85" s="844"/>
      <c r="F85" s="844"/>
      <c r="G85" s="844"/>
      <c r="H85" s="844"/>
      <c r="I85" s="844"/>
      <c r="J85" s="844"/>
      <c r="K85" s="844"/>
      <c r="L85" s="575"/>
    </row>
    <row r="86" spans="1:12" ht="14.25">
      <c r="A86" s="575"/>
      <c r="B86" s="847" t="s">
        <v>716</v>
      </c>
      <c r="C86" s="847"/>
      <c r="D86" s="847"/>
      <c r="E86" s="847"/>
      <c r="F86" s="847"/>
      <c r="G86" s="847"/>
      <c r="H86" s="847"/>
      <c r="I86" s="847"/>
      <c r="J86" s="847"/>
      <c r="K86" s="847"/>
      <c r="L86" s="575"/>
    </row>
    <row r="87" spans="1:12" ht="14.25">
      <c r="A87" s="575"/>
      <c r="B87" s="554"/>
      <c r="C87" s="554"/>
      <c r="D87" s="554"/>
      <c r="E87" s="554"/>
      <c r="F87" s="554"/>
      <c r="G87" s="554"/>
      <c r="H87" s="554"/>
      <c r="I87" s="554"/>
      <c r="J87" s="554"/>
      <c r="K87" s="554"/>
      <c r="L87" s="575"/>
    </row>
    <row r="88" spans="1:12" ht="14.25">
      <c r="A88" s="575"/>
      <c r="B88" s="847" t="s">
        <v>717</v>
      </c>
      <c r="C88" s="847"/>
      <c r="D88" s="847"/>
      <c r="E88" s="847"/>
      <c r="F88" s="847"/>
      <c r="G88" s="847"/>
      <c r="H88" s="847"/>
      <c r="I88" s="847"/>
      <c r="J88" s="847"/>
      <c r="K88" s="847"/>
      <c r="L88" s="575"/>
    </row>
    <row r="89" spans="1:12" ht="14.25">
      <c r="A89" s="575"/>
      <c r="B89" s="591"/>
      <c r="C89" s="591"/>
      <c r="D89" s="591"/>
      <c r="E89" s="591"/>
      <c r="F89" s="591"/>
      <c r="G89" s="591"/>
      <c r="H89" s="591"/>
      <c r="I89" s="591"/>
      <c r="J89" s="591"/>
      <c r="K89" s="591"/>
      <c r="L89" s="575"/>
    </row>
    <row r="90" spans="1:12" ht="45" customHeight="1">
      <c r="A90" s="575"/>
      <c r="B90" s="848" t="s">
        <v>718</v>
      </c>
      <c r="C90" s="848"/>
      <c r="D90" s="848"/>
      <c r="E90" s="848"/>
      <c r="F90" s="848"/>
      <c r="G90" s="848"/>
      <c r="H90" s="848"/>
      <c r="I90" s="848"/>
      <c r="J90" s="848"/>
      <c r="K90" s="848"/>
      <c r="L90" s="575"/>
    </row>
    <row r="91" spans="1:12" ht="15" customHeight="1" thickBot="1">
      <c r="A91" s="575"/>
      <c r="L91" s="575"/>
    </row>
    <row r="92" spans="1:12" ht="15" customHeight="1">
      <c r="A92" s="575"/>
      <c r="B92" s="526" t="s">
        <v>685</v>
      </c>
      <c r="C92" s="555"/>
      <c r="D92" s="555"/>
      <c r="E92" s="555"/>
      <c r="F92" s="555"/>
      <c r="G92" s="555"/>
      <c r="H92" s="555"/>
      <c r="I92" s="555"/>
      <c r="J92" s="555"/>
      <c r="K92" s="556"/>
      <c r="L92" s="575"/>
    </row>
    <row r="93" spans="1:12" ht="15" customHeight="1">
      <c r="A93" s="575"/>
      <c r="B93" s="557"/>
      <c r="C93" s="595" t="s">
        <v>691</v>
      </c>
      <c r="D93" s="595"/>
      <c r="E93" s="595"/>
      <c r="F93" s="595"/>
      <c r="G93" s="595"/>
      <c r="H93" s="595"/>
      <c r="I93" s="595"/>
      <c r="J93" s="595"/>
      <c r="K93" s="558"/>
      <c r="L93" s="575"/>
    </row>
    <row r="94" spans="1:12" ht="15" customHeight="1">
      <c r="A94" s="575"/>
      <c r="B94" s="557" t="s">
        <v>707</v>
      </c>
      <c r="C94" s="842">
        <v>312000000</v>
      </c>
      <c r="D94" s="842"/>
      <c r="E94" s="597" t="s">
        <v>690</v>
      </c>
      <c r="F94" s="597">
        <v>1000</v>
      </c>
      <c r="G94" s="597" t="s">
        <v>689</v>
      </c>
      <c r="H94" s="598">
        <f>C94/F94</f>
        <v>312000</v>
      </c>
      <c r="I94" s="595" t="s">
        <v>708</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709</v>
      </c>
      <c r="D96" s="595"/>
      <c r="E96" s="597"/>
      <c r="F96" s="595" t="s">
        <v>708</v>
      </c>
      <c r="G96" s="595"/>
      <c r="H96" s="595"/>
      <c r="I96" s="595"/>
      <c r="J96" s="595"/>
      <c r="K96" s="558"/>
      <c r="L96" s="575"/>
    </row>
    <row r="97" spans="1:12" ht="15" customHeight="1">
      <c r="A97" s="575"/>
      <c r="B97" s="557" t="s">
        <v>712</v>
      </c>
      <c r="C97" s="842">
        <v>50000</v>
      </c>
      <c r="D97" s="842"/>
      <c r="E97" s="597" t="s">
        <v>690</v>
      </c>
      <c r="F97" s="598">
        <f>H94</f>
        <v>312000</v>
      </c>
      <c r="G97" s="597" t="s">
        <v>689</v>
      </c>
      <c r="H97" s="543">
        <f>C97/F97</f>
        <v>0.16025641025641027</v>
      </c>
      <c r="I97" s="595" t="s">
        <v>710</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719</v>
      </c>
      <c r="D99" s="560"/>
      <c r="E99" s="599"/>
      <c r="F99" s="560"/>
      <c r="G99" s="560"/>
      <c r="H99" s="560"/>
      <c r="I99" s="560"/>
      <c r="J99" s="560"/>
      <c r="K99" s="561"/>
      <c r="L99" s="575"/>
    </row>
    <row r="100" spans="1:12" ht="15" customHeight="1">
      <c r="A100" s="575"/>
      <c r="B100" s="557" t="s">
        <v>789</v>
      </c>
      <c r="C100" s="842">
        <v>2500000</v>
      </c>
      <c r="D100" s="842"/>
      <c r="E100" s="597" t="s">
        <v>153</v>
      </c>
      <c r="F100" s="562">
        <v>0.3</v>
      </c>
      <c r="G100" s="597" t="s">
        <v>689</v>
      </c>
      <c r="H100" s="598">
        <f>C100*F100</f>
        <v>750000</v>
      </c>
      <c r="I100" s="595" t="s">
        <v>713</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714</v>
      </c>
      <c r="D102" s="560"/>
      <c r="E102" s="599"/>
      <c r="F102" s="560" t="s">
        <v>710</v>
      </c>
      <c r="G102" s="560"/>
      <c r="H102" s="560"/>
      <c r="I102" s="560"/>
      <c r="J102" s="560" t="s">
        <v>715</v>
      </c>
      <c r="K102" s="561"/>
      <c r="L102" s="575"/>
    </row>
    <row r="103" spans="1:12" ht="15" customHeight="1">
      <c r="A103" s="575"/>
      <c r="B103" s="557" t="s">
        <v>790</v>
      </c>
      <c r="C103" s="840">
        <f>H100</f>
        <v>750000</v>
      </c>
      <c r="D103" s="840"/>
      <c r="E103" s="597" t="s">
        <v>153</v>
      </c>
      <c r="F103" s="543">
        <f>H97</f>
        <v>0.16025641025641027</v>
      </c>
      <c r="G103" s="597" t="s">
        <v>690</v>
      </c>
      <c r="H103" s="597">
        <v>1000</v>
      </c>
      <c r="I103" s="597" t="s">
        <v>689</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4" t="s">
        <v>681</v>
      </c>
      <c r="C105" s="850"/>
      <c r="D105" s="850"/>
      <c r="E105" s="850"/>
      <c r="F105" s="850"/>
      <c r="G105" s="850"/>
      <c r="H105" s="850"/>
      <c r="I105" s="850"/>
      <c r="J105" s="850"/>
      <c r="K105" s="850"/>
      <c r="L105" s="575"/>
    </row>
    <row r="106" spans="1:12" ht="15" customHeight="1">
      <c r="A106" s="575"/>
      <c r="B106" s="854" t="s">
        <v>720</v>
      </c>
      <c r="C106" s="855"/>
      <c r="D106" s="855"/>
      <c r="E106" s="855"/>
      <c r="F106" s="855"/>
      <c r="G106" s="855"/>
      <c r="H106" s="855"/>
      <c r="I106" s="855"/>
      <c r="J106" s="855"/>
      <c r="K106" s="855"/>
      <c r="L106" s="575"/>
    </row>
    <row r="107" spans="1:12" ht="15" customHeight="1">
      <c r="A107" s="575"/>
      <c r="B107" s="595"/>
      <c r="C107" s="564"/>
      <c r="D107" s="564"/>
      <c r="E107" s="597"/>
      <c r="F107" s="543"/>
      <c r="G107" s="597"/>
      <c r="H107" s="597"/>
      <c r="I107" s="597"/>
      <c r="J107" s="549"/>
      <c r="K107" s="595"/>
      <c r="L107" s="575"/>
    </row>
    <row r="108" spans="1:12" ht="15" customHeight="1">
      <c r="A108" s="575"/>
      <c r="B108" s="854" t="s">
        <v>721</v>
      </c>
      <c r="C108" s="867"/>
      <c r="D108" s="867"/>
      <c r="E108" s="867"/>
      <c r="F108" s="867"/>
      <c r="G108" s="867"/>
      <c r="H108" s="867"/>
      <c r="I108" s="867"/>
      <c r="J108" s="867"/>
      <c r="K108" s="867"/>
      <c r="L108" s="575"/>
    </row>
    <row r="109" spans="1:12" ht="15" customHeight="1">
      <c r="A109" s="575"/>
      <c r="B109" s="595"/>
      <c r="C109" s="564"/>
      <c r="D109" s="564"/>
      <c r="E109" s="597"/>
      <c r="F109" s="543"/>
      <c r="G109" s="597"/>
      <c r="H109" s="597"/>
      <c r="I109" s="597"/>
      <c r="J109" s="549"/>
      <c r="K109" s="595"/>
      <c r="L109" s="575"/>
    </row>
    <row r="110" spans="1:12" ht="59.25" customHeight="1">
      <c r="A110" s="575"/>
      <c r="B110" s="845" t="s">
        <v>722</v>
      </c>
      <c r="C110" s="846"/>
      <c r="D110" s="846"/>
      <c r="E110" s="846"/>
      <c r="F110" s="846"/>
      <c r="G110" s="846"/>
      <c r="H110" s="846"/>
      <c r="I110" s="846"/>
      <c r="J110" s="846"/>
      <c r="K110" s="846"/>
      <c r="L110" s="575"/>
    </row>
    <row r="111" spans="1:12" ht="15" thickBot="1">
      <c r="A111" s="575"/>
      <c r="B111" s="592"/>
      <c r="C111" s="592"/>
      <c r="D111" s="592"/>
      <c r="E111" s="592"/>
      <c r="F111" s="592"/>
      <c r="G111" s="592"/>
      <c r="H111" s="592"/>
      <c r="I111" s="592"/>
      <c r="J111" s="592"/>
      <c r="K111" s="592"/>
      <c r="L111" s="578"/>
    </row>
    <row r="112" spans="1:12" ht="14.25">
      <c r="A112" s="575"/>
      <c r="B112" s="523" t="s">
        <v>685</v>
      </c>
      <c r="C112" s="530"/>
      <c r="D112" s="530"/>
      <c r="E112" s="530"/>
      <c r="F112" s="530"/>
      <c r="G112" s="530"/>
      <c r="H112" s="530"/>
      <c r="I112" s="530"/>
      <c r="J112" s="530"/>
      <c r="K112" s="531"/>
      <c r="L112" s="575"/>
    </row>
    <row r="113" spans="1:12" ht="14.25">
      <c r="A113" s="575"/>
      <c r="B113" s="541"/>
      <c r="C113" s="533" t="s">
        <v>691</v>
      </c>
      <c r="D113" s="533"/>
      <c r="E113" s="533"/>
      <c r="F113" s="533"/>
      <c r="G113" s="533"/>
      <c r="H113" s="533"/>
      <c r="I113" s="533"/>
      <c r="J113" s="533"/>
      <c r="K113" s="535"/>
      <c r="L113" s="575"/>
    </row>
    <row r="114" spans="1:12" ht="14.25">
      <c r="A114" s="575"/>
      <c r="B114" s="541" t="s">
        <v>707</v>
      </c>
      <c r="C114" s="842">
        <v>312000000</v>
      </c>
      <c r="D114" s="842"/>
      <c r="E114" s="597" t="s">
        <v>690</v>
      </c>
      <c r="F114" s="597">
        <v>1000</v>
      </c>
      <c r="G114" s="597" t="s">
        <v>689</v>
      </c>
      <c r="H114" s="598">
        <f>C114/F114</f>
        <v>312000</v>
      </c>
      <c r="I114" s="533" t="s">
        <v>708</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709</v>
      </c>
      <c r="D116" s="533"/>
      <c r="E116" s="597"/>
      <c r="F116" s="533" t="s">
        <v>708</v>
      </c>
      <c r="G116" s="533"/>
      <c r="H116" s="533"/>
      <c r="I116" s="533"/>
      <c r="J116" s="533"/>
      <c r="K116" s="535"/>
      <c r="L116" s="575"/>
    </row>
    <row r="117" spans="1:12" ht="14.25">
      <c r="A117" s="575"/>
      <c r="B117" s="541" t="s">
        <v>712</v>
      </c>
      <c r="C117" s="842">
        <v>50000</v>
      </c>
      <c r="D117" s="842"/>
      <c r="E117" s="597" t="s">
        <v>690</v>
      </c>
      <c r="F117" s="598">
        <f>H114</f>
        <v>312000</v>
      </c>
      <c r="G117" s="597" t="s">
        <v>689</v>
      </c>
      <c r="H117" s="543">
        <f>C117/F117</f>
        <v>0.16025641025641027</v>
      </c>
      <c r="I117" s="533" t="s">
        <v>710</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719</v>
      </c>
      <c r="D119" s="547"/>
      <c r="E119" s="599"/>
      <c r="F119" s="547"/>
      <c r="G119" s="547"/>
      <c r="H119" s="547"/>
      <c r="I119" s="547"/>
      <c r="J119" s="547"/>
      <c r="K119" s="548"/>
      <c r="L119" s="575"/>
    </row>
    <row r="120" spans="1:12" ht="14.25">
      <c r="A120" s="575"/>
      <c r="B120" s="541" t="s">
        <v>789</v>
      </c>
      <c r="C120" s="842">
        <v>2500000</v>
      </c>
      <c r="D120" s="842"/>
      <c r="E120" s="597" t="s">
        <v>153</v>
      </c>
      <c r="F120" s="562">
        <v>0.25</v>
      </c>
      <c r="G120" s="597" t="s">
        <v>689</v>
      </c>
      <c r="H120" s="598">
        <f>C120*F120</f>
        <v>625000</v>
      </c>
      <c r="I120" s="533" t="s">
        <v>713</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714</v>
      </c>
      <c r="D122" s="547"/>
      <c r="E122" s="599"/>
      <c r="F122" s="547" t="s">
        <v>710</v>
      </c>
      <c r="G122" s="547"/>
      <c r="H122" s="547"/>
      <c r="I122" s="547"/>
      <c r="J122" s="547" t="s">
        <v>715</v>
      </c>
      <c r="K122" s="548"/>
      <c r="L122" s="575"/>
    </row>
    <row r="123" spans="1:12" ht="14.25">
      <c r="A123" s="575"/>
      <c r="B123" s="541" t="s">
        <v>790</v>
      </c>
      <c r="C123" s="840">
        <f>H120</f>
        <v>625000</v>
      </c>
      <c r="D123" s="840"/>
      <c r="E123" s="597" t="s">
        <v>153</v>
      </c>
      <c r="F123" s="543">
        <f>H117</f>
        <v>0.16025641025641027</v>
      </c>
      <c r="G123" s="597" t="s">
        <v>690</v>
      </c>
      <c r="H123" s="597">
        <v>1000</v>
      </c>
      <c r="I123" s="597" t="s">
        <v>689</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4" t="s">
        <v>681</v>
      </c>
      <c r="C125" s="844"/>
      <c r="D125" s="844"/>
      <c r="E125" s="844"/>
      <c r="F125" s="844"/>
      <c r="G125" s="844"/>
      <c r="H125" s="844"/>
      <c r="I125" s="844"/>
      <c r="J125" s="844"/>
      <c r="K125" s="844"/>
      <c r="L125" s="578"/>
    </row>
    <row r="126" spans="1:12" ht="14.25">
      <c r="A126" s="575"/>
      <c r="B126" s="847" t="s">
        <v>723</v>
      </c>
      <c r="C126" s="847"/>
      <c r="D126" s="847"/>
      <c r="E126" s="847"/>
      <c r="F126" s="847"/>
      <c r="G126" s="847"/>
      <c r="H126" s="847"/>
      <c r="I126" s="847"/>
      <c r="J126" s="847"/>
      <c r="K126" s="847"/>
      <c r="L126" s="578"/>
    </row>
    <row r="127" spans="1:12" ht="14.25">
      <c r="A127" s="575"/>
      <c r="B127" s="592"/>
      <c r="C127" s="592"/>
      <c r="D127" s="592"/>
      <c r="E127" s="592"/>
      <c r="F127" s="592"/>
      <c r="G127" s="592"/>
      <c r="H127" s="592"/>
      <c r="I127" s="592"/>
      <c r="J127" s="592"/>
      <c r="K127" s="592"/>
      <c r="L127" s="578"/>
    </row>
    <row r="128" spans="1:12" ht="14.25">
      <c r="A128" s="575"/>
      <c r="B128" s="847" t="s">
        <v>724</v>
      </c>
      <c r="C128" s="847"/>
      <c r="D128" s="847"/>
      <c r="E128" s="847"/>
      <c r="F128" s="847"/>
      <c r="G128" s="847"/>
      <c r="H128" s="847"/>
      <c r="I128" s="847"/>
      <c r="J128" s="847"/>
      <c r="K128" s="847"/>
      <c r="L128" s="578"/>
    </row>
    <row r="129" spans="1:12" ht="14.25">
      <c r="A129" s="575"/>
      <c r="B129" s="591"/>
      <c r="C129" s="591"/>
      <c r="D129" s="591"/>
      <c r="E129" s="591"/>
      <c r="F129" s="591"/>
      <c r="G129" s="591"/>
      <c r="H129" s="591"/>
      <c r="I129" s="591"/>
      <c r="J129" s="591"/>
      <c r="K129" s="591"/>
      <c r="L129" s="578"/>
    </row>
    <row r="130" spans="1:12" ht="74.25" customHeight="1">
      <c r="A130" s="575"/>
      <c r="B130" s="848" t="s">
        <v>791</v>
      </c>
      <c r="C130" s="848"/>
      <c r="D130" s="848"/>
      <c r="E130" s="848"/>
      <c r="F130" s="848"/>
      <c r="G130" s="848"/>
      <c r="H130" s="848"/>
      <c r="I130" s="848"/>
      <c r="J130" s="848"/>
      <c r="K130" s="848"/>
      <c r="L130" s="578"/>
    </row>
    <row r="131" spans="1:12" ht="15" thickBot="1">
      <c r="A131" s="575"/>
      <c r="L131" s="575"/>
    </row>
    <row r="132" spans="1:12" ht="14.25">
      <c r="A132" s="575"/>
      <c r="B132" s="523" t="s">
        <v>685</v>
      </c>
      <c r="C132" s="530"/>
      <c r="D132" s="530"/>
      <c r="E132" s="530"/>
      <c r="F132" s="530"/>
      <c r="G132" s="530"/>
      <c r="H132" s="530"/>
      <c r="I132" s="530"/>
      <c r="J132" s="530"/>
      <c r="K132" s="531"/>
      <c r="L132" s="575"/>
    </row>
    <row r="133" spans="1:12" ht="14.25">
      <c r="A133" s="575"/>
      <c r="B133" s="541"/>
      <c r="C133" s="841" t="s">
        <v>725</v>
      </c>
      <c r="D133" s="841"/>
      <c r="E133" s="533"/>
      <c r="F133" s="597" t="s">
        <v>726</v>
      </c>
      <c r="G133" s="533"/>
      <c r="H133" s="841" t="s">
        <v>713</v>
      </c>
      <c r="I133" s="841"/>
      <c r="J133" s="533"/>
      <c r="K133" s="535"/>
      <c r="L133" s="575"/>
    </row>
    <row r="134" spans="1:12" ht="14.25">
      <c r="A134" s="575"/>
      <c r="B134" s="541" t="s">
        <v>707</v>
      </c>
      <c r="C134" s="842">
        <v>100000</v>
      </c>
      <c r="D134" s="842"/>
      <c r="E134" s="597" t="s">
        <v>153</v>
      </c>
      <c r="F134" s="597">
        <v>0.115</v>
      </c>
      <c r="G134" s="597" t="s">
        <v>689</v>
      </c>
      <c r="H134" s="843">
        <f>C134*F134</f>
        <v>11500</v>
      </c>
      <c r="I134" s="843"/>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6" t="s">
        <v>713</v>
      </c>
      <c r="D136" s="866"/>
      <c r="E136" s="547"/>
      <c r="F136" s="599" t="s">
        <v>727</v>
      </c>
      <c r="G136" s="599"/>
      <c r="H136" s="547"/>
      <c r="I136" s="547"/>
      <c r="J136" s="547" t="s">
        <v>728</v>
      </c>
      <c r="K136" s="548"/>
      <c r="L136" s="575"/>
    </row>
    <row r="137" spans="1:12" ht="14.25">
      <c r="A137" s="575"/>
      <c r="B137" s="541" t="s">
        <v>712</v>
      </c>
      <c r="C137" s="843">
        <f>H134</f>
        <v>11500</v>
      </c>
      <c r="D137" s="843"/>
      <c r="E137" s="597" t="s">
        <v>153</v>
      </c>
      <c r="F137" s="565">
        <v>52.869</v>
      </c>
      <c r="G137" s="597" t="s">
        <v>690</v>
      </c>
      <c r="H137" s="597">
        <v>1000</v>
      </c>
      <c r="I137" s="597" t="s">
        <v>689</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681</v>
      </c>
      <c r="C139" s="601"/>
      <c r="D139" s="601"/>
      <c r="E139" s="602"/>
      <c r="F139" s="603"/>
      <c r="G139" s="602"/>
      <c r="H139" s="602"/>
      <c r="I139" s="602"/>
      <c r="J139" s="604"/>
      <c r="K139" s="605"/>
      <c r="L139" s="575"/>
    </row>
    <row r="140" spans="1:12" ht="14.25">
      <c r="A140" s="575"/>
      <c r="B140" s="606" t="s">
        <v>792</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793</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1" t="s">
        <v>794</v>
      </c>
      <c r="C144" s="852"/>
      <c r="D144" s="852"/>
      <c r="E144" s="852"/>
      <c r="F144" s="852"/>
      <c r="G144" s="852"/>
      <c r="H144" s="852"/>
      <c r="I144" s="852"/>
      <c r="J144" s="852"/>
      <c r="K144" s="853"/>
      <c r="L144" s="575"/>
    </row>
    <row r="145" spans="1:12" ht="15" thickBot="1">
      <c r="A145" s="575"/>
      <c r="B145" s="541"/>
      <c r="C145" s="598"/>
      <c r="D145" s="598"/>
      <c r="E145" s="597"/>
      <c r="F145" s="616"/>
      <c r="G145" s="597"/>
      <c r="H145" s="597"/>
      <c r="I145" s="597"/>
      <c r="J145" s="566"/>
      <c r="K145" s="535"/>
      <c r="L145" s="575"/>
    </row>
    <row r="146" spans="1:12" ht="14.25">
      <c r="A146" s="575"/>
      <c r="B146" s="523" t="s">
        <v>685</v>
      </c>
      <c r="C146" s="617"/>
      <c r="D146" s="617"/>
      <c r="E146" s="618"/>
      <c r="F146" s="619"/>
      <c r="G146" s="618"/>
      <c r="H146" s="618"/>
      <c r="I146" s="618"/>
      <c r="J146" s="620"/>
      <c r="K146" s="531"/>
      <c r="L146" s="575"/>
    </row>
    <row r="147" spans="1:12" ht="14.25">
      <c r="A147" s="575"/>
      <c r="B147" s="541"/>
      <c r="C147" s="843" t="s">
        <v>795</v>
      </c>
      <c r="D147" s="843"/>
      <c r="E147" s="597"/>
      <c r="F147" s="616" t="s">
        <v>796</v>
      </c>
      <c r="G147" s="597"/>
      <c r="H147" s="597"/>
      <c r="I147" s="597"/>
      <c r="J147" s="838" t="s">
        <v>797</v>
      </c>
      <c r="K147" s="849"/>
      <c r="L147" s="575"/>
    </row>
    <row r="148" spans="1:12" ht="14.25">
      <c r="A148" s="575"/>
      <c r="B148" s="541"/>
      <c r="C148" s="837">
        <v>52.869</v>
      </c>
      <c r="D148" s="837"/>
      <c r="E148" s="597" t="s">
        <v>153</v>
      </c>
      <c r="F148" s="594">
        <v>312000000</v>
      </c>
      <c r="G148" s="621" t="s">
        <v>690</v>
      </c>
      <c r="H148" s="597">
        <v>1000</v>
      </c>
      <c r="I148" s="597" t="s">
        <v>689</v>
      </c>
      <c r="J148" s="838">
        <f>C148*(F148/1000)</f>
        <v>16495128</v>
      </c>
      <c r="K148" s="839"/>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740</v>
      </c>
    </row>
    <row r="3" ht="31.5">
      <c r="A3" s="580" t="s">
        <v>741</v>
      </c>
    </row>
    <row r="4" ht="15.75">
      <c r="A4" s="581" t="s">
        <v>742</v>
      </c>
    </row>
    <row r="7" ht="31.5">
      <c r="A7" s="580" t="s">
        <v>743</v>
      </c>
    </row>
    <row r="8" ht="15.75">
      <c r="A8" s="581" t="s">
        <v>744</v>
      </c>
    </row>
    <row r="11" ht="15.75">
      <c r="A11" s="1" t="s">
        <v>745</v>
      </c>
    </row>
    <row r="12" ht="15.75">
      <c r="A12" s="581" t="s">
        <v>746</v>
      </c>
    </row>
    <row r="15" ht="15.75">
      <c r="A15" s="1" t="s">
        <v>747</v>
      </c>
    </row>
    <row r="16" ht="15.75">
      <c r="A16" s="581" t="s">
        <v>748</v>
      </c>
    </row>
    <row r="19" ht="15.75">
      <c r="A19" s="1" t="s">
        <v>749</v>
      </c>
    </row>
    <row r="20" ht="15.75">
      <c r="A20" s="581" t="s">
        <v>750</v>
      </c>
    </row>
    <row r="23" ht="15.75">
      <c r="A23" s="1" t="s">
        <v>751</v>
      </c>
    </row>
    <row r="24" ht="15.75">
      <c r="A24" s="581" t="s">
        <v>752</v>
      </c>
    </row>
    <row r="27" ht="15.75">
      <c r="A27" s="1" t="s">
        <v>753</v>
      </c>
    </row>
    <row r="28" ht="15.75">
      <c r="A28" s="581" t="s">
        <v>754</v>
      </c>
    </row>
    <row r="31" ht="15.75">
      <c r="A31" s="1" t="s">
        <v>755</v>
      </c>
    </row>
    <row r="32" ht="15.75">
      <c r="A32" s="581" t="s">
        <v>756</v>
      </c>
    </row>
    <row r="35" ht="15.75">
      <c r="A35" s="1" t="s">
        <v>757</v>
      </c>
    </row>
    <row r="36" ht="15.75">
      <c r="A36" s="581" t="s">
        <v>758</v>
      </c>
    </row>
    <row r="39" ht="15.75">
      <c r="A39" s="1" t="s">
        <v>759</v>
      </c>
    </row>
    <row r="40" ht="15.75">
      <c r="A40" s="581" t="s">
        <v>760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990</v>
      </c>
    </row>
    <row r="2" ht="15.75">
      <c r="A2" s="51" t="s">
        <v>991</v>
      </c>
    </row>
    <row r="4" ht="15.75">
      <c r="A4" s="624" t="s">
        <v>987</v>
      </c>
    </row>
    <row r="5" ht="15.75">
      <c r="A5" s="51" t="s">
        <v>988</v>
      </c>
    </row>
    <row r="6" ht="15.75">
      <c r="A6" s="51" t="s">
        <v>989</v>
      </c>
    </row>
    <row r="8" ht="15.75">
      <c r="A8" s="624" t="s">
        <v>985</v>
      </c>
    </row>
    <row r="9" ht="15.75">
      <c r="A9" s="748" t="s">
        <v>986</v>
      </c>
    </row>
    <row r="11" ht="15.75">
      <c r="A11" s="624" t="s">
        <v>909</v>
      </c>
    </row>
    <row r="12" ht="15.75">
      <c r="A12" s="743" t="s">
        <v>929</v>
      </c>
    </row>
    <row r="13" ht="15.75">
      <c r="A13" s="51" t="s">
        <v>930</v>
      </c>
    </row>
    <row r="14" ht="15.75">
      <c r="A14" s="51" t="s">
        <v>931</v>
      </c>
    </row>
    <row r="15" ht="15.75">
      <c r="A15" s="51" t="s">
        <v>932</v>
      </c>
    </row>
    <row r="16" ht="15.75">
      <c r="A16" s="51" t="s">
        <v>933</v>
      </c>
    </row>
    <row r="17" ht="15.75">
      <c r="A17" s="51" t="s">
        <v>934</v>
      </c>
    </row>
    <row r="18" ht="15.75">
      <c r="A18" s="51" t="s">
        <v>935</v>
      </c>
    </row>
    <row r="19" ht="15.75">
      <c r="A19" s="51" t="s">
        <v>936</v>
      </c>
    </row>
    <row r="20" ht="15.75">
      <c r="A20" s="51" t="s">
        <v>937</v>
      </c>
    </row>
    <row r="21" ht="15.75">
      <c r="A21" s="51" t="s">
        <v>938</v>
      </c>
    </row>
    <row r="22" ht="15.75">
      <c r="A22" s="51" t="s">
        <v>939</v>
      </c>
    </row>
    <row r="23" ht="15.75">
      <c r="A23" s="51" t="s">
        <v>940</v>
      </c>
    </row>
    <row r="24" ht="15.75">
      <c r="A24" s="51" t="s">
        <v>941</v>
      </c>
    </row>
    <row r="25" ht="15.75">
      <c r="A25" s="51" t="s">
        <v>942</v>
      </c>
    </row>
    <row r="26" ht="15.75">
      <c r="A26" s="51" t="s">
        <v>943</v>
      </c>
    </row>
    <row r="27" ht="15.75">
      <c r="A27" s="51" t="s">
        <v>944</v>
      </c>
    </row>
    <row r="28" ht="48.75" customHeight="1">
      <c r="A28" s="54" t="s">
        <v>945</v>
      </c>
    </row>
    <row r="29" ht="15.75">
      <c r="A29" s="53" t="s">
        <v>946</v>
      </c>
    </row>
    <row r="30" ht="36" customHeight="1">
      <c r="A30" s="54" t="s">
        <v>947</v>
      </c>
    </row>
    <row r="31" ht="15.75">
      <c r="A31" s="51" t="s">
        <v>948</v>
      </c>
    </row>
    <row r="32" ht="15.75">
      <c r="A32" s="51" t="s">
        <v>949</v>
      </c>
    </row>
    <row r="33" ht="15.75">
      <c r="A33" s="51" t="s">
        <v>950</v>
      </c>
    </row>
    <row r="34" ht="15.75">
      <c r="A34" s="51" t="s">
        <v>951</v>
      </c>
    </row>
    <row r="35" ht="15.75">
      <c r="A35" s="51" t="s">
        <v>952</v>
      </c>
    </row>
    <row r="36" ht="15.75">
      <c r="A36" s="51" t="s">
        <v>953</v>
      </c>
    </row>
    <row r="37" ht="15.75">
      <c r="A37" s="51" t="s">
        <v>954</v>
      </c>
    </row>
    <row r="38" ht="15.75">
      <c r="A38" s="51" t="s">
        <v>955</v>
      </c>
    </row>
    <row r="39" ht="15.75">
      <c r="A39" s="51" t="s">
        <v>956</v>
      </c>
    </row>
    <row r="40" ht="15.75">
      <c r="A40" s="51" t="s">
        <v>961</v>
      </c>
    </row>
    <row r="41" ht="15.75">
      <c r="A41" s="51" t="s">
        <v>965</v>
      </c>
    </row>
    <row r="42" ht="15.75">
      <c r="A42" s="51" t="s">
        <v>967</v>
      </c>
    </row>
    <row r="43" ht="15.75">
      <c r="A43" s="51" t="s">
        <v>966</v>
      </c>
    </row>
    <row r="44" ht="15.75">
      <c r="A44" s="51" t="s">
        <v>968</v>
      </c>
    </row>
    <row r="45" ht="15.75">
      <c r="A45" s="51" t="s">
        <v>974</v>
      </c>
    </row>
    <row r="46" ht="15.75">
      <c r="A46" s="51" t="s">
        <v>975</v>
      </c>
    </row>
    <row r="48" ht="15.75">
      <c r="A48" s="624" t="s">
        <v>815</v>
      </c>
    </row>
    <row r="49" ht="15.75">
      <c r="A49" s="51" t="s">
        <v>816</v>
      </c>
    </row>
    <row r="51" ht="15.75">
      <c r="A51" s="624" t="s">
        <v>812</v>
      </c>
    </row>
    <row r="52" ht="15.75">
      <c r="A52" s="51" t="s">
        <v>813</v>
      </c>
    </row>
    <row r="53" ht="15.75">
      <c r="A53" s="51" t="s">
        <v>814</v>
      </c>
    </row>
    <row r="55" ht="15.75">
      <c r="A55" s="624" t="s">
        <v>810</v>
      </c>
    </row>
    <row r="56" ht="15.75">
      <c r="A56" s="51" t="s">
        <v>811</v>
      </c>
    </row>
    <row r="58" ht="15.75">
      <c r="A58" s="624" t="s">
        <v>808</v>
      </c>
    </row>
    <row r="59" ht="15.75">
      <c r="A59" s="51" t="s">
        <v>809</v>
      </c>
    </row>
    <row r="61" ht="15.75">
      <c r="A61" s="624" t="s">
        <v>805</v>
      </c>
    </row>
    <row r="62" ht="15.75">
      <c r="A62" s="494" t="s">
        <v>806</v>
      </c>
    </row>
    <row r="63" ht="15.75">
      <c r="A63" s="494" t="s">
        <v>807</v>
      </c>
    </row>
    <row r="65" ht="15.75">
      <c r="A65" s="399" t="s">
        <v>801</v>
      </c>
    </row>
    <row r="66" ht="15.75">
      <c r="A66" s="51" t="s">
        <v>802</v>
      </c>
    </row>
    <row r="67" ht="15.75">
      <c r="A67" s="51" t="s">
        <v>803</v>
      </c>
    </row>
    <row r="68" ht="15.75">
      <c r="A68" s="51" t="s">
        <v>804</v>
      </c>
    </row>
    <row r="70" ht="15.75">
      <c r="A70" s="399" t="s">
        <v>668</v>
      </c>
    </row>
    <row r="71" ht="15.75">
      <c r="A71" s="494" t="s">
        <v>672</v>
      </c>
    </row>
    <row r="72" ht="15.75">
      <c r="A72" s="494" t="s">
        <v>673</v>
      </c>
    </row>
    <row r="73" ht="31.5">
      <c r="A73" s="493" t="s">
        <v>798</v>
      </c>
    </row>
    <row r="74" ht="15.75">
      <c r="A74" s="494" t="s">
        <v>764</v>
      </c>
    </row>
    <row r="75" ht="15.75">
      <c r="A75" s="494" t="s">
        <v>765</v>
      </c>
    </row>
    <row r="76" ht="15.75">
      <c r="A76" s="494" t="s">
        <v>766</v>
      </c>
    </row>
    <row r="77" ht="15.75">
      <c r="A77" s="494" t="s">
        <v>767</v>
      </c>
    </row>
    <row r="78" ht="15.75">
      <c r="A78" s="494" t="s">
        <v>768</v>
      </c>
    </row>
    <row r="79" ht="15.75">
      <c r="A79" s="494" t="s">
        <v>769</v>
      </c>
    </row>
    <row r="80" ht="15.75">
      <c r="A80" s="494" t="s">
        <v>770</v>
      </c>
    </row>
    <row r="81" ht="15.75">
      <c r="A81" s="494" t="s">
        <v>771</v>
      </c>
    </row>
    <row r="82" ht="15.75">
      <c r="A82" s="494" t="s">
        <v>772</v>
      </c>
    </row>
    <row r="83" ht="15.75">
      <c r="A83" s="494" t="s">
        <v>773</v>
      </c>
    </row>
    <row r="84" ht="15.75">
      <c r="A84" s="494" t="s">
        <v>774</v>
      </c>
    </row>
    <row r="85" ht="15.75">
      <c r="A85" s="494" t="s">
        <v>775</v>
      </c>
    </row>
    <row r="86" ht="15.75">
      <c r="A86" s="494" t="s">
        <v>776</v>
      </c>
    </row>
    <row r="87" ht="15.75">
      <c r="A87" s="494" t="s">
        <v>777</v>
      </c>
    </row>
    <row r="88" ht="15.75">
      <c r="A88" s="494" t="s">
        <v>778</v>
      </c>
    </row>
    <row r="89" ht="15.75">
      <c r="A89" s="494" t="s">
        <v>779</v>
      </c>
    </row>
    <row r="90" ht="15.75">
      <c r="A90" s="494" t="s">
        <v>780</v>
      </c>
    </row>
    <row r="91" ht="15.75">
      <c r="A91" s="494" t="s">
        <v>781</v>
      </c>
    </row>
    <row r="92" ht="15.75">
      <c r="A92" s="494" t="s">
        <v>782</v>
      </c>
    </row>
    <row r="93" ht="15.75">
      <c r="A93" s="494" t="s">
        <v>783</v>
      </c>
    </row>
    <row r="94" ht="15.75">
      <c r="A94" s="494" t="s">
        <v>784</v>
      </c>
    </row>
    <row r="95" ht="15.75">
      <c r="A95" s="494" t="s">
        <v>785</v>
      </c>
    </row>
    <row r="96" ht="15.75">
      <c r="A96" s="494" t="s">
        <v>786</v>
      </c>
    </row>
    <row r="97" ht="15.75">
      <c r="A97" s="494" t="s">
        <v>787</v>
      </c>
    </row>
    <row r="98" ht="15.75">
      <c r="A98" s="494" t="s">
        <v>788</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674</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675</v>
      </c>
    </row>
    <row r="169" ht="18" customHeight="1">
      <c r="A169" s="331" t="s">
        <v>91</v>
      </c>
    </row>
    <row r="170" ht="51" customHeight="1">
      <c r="A170" s="54" t="s">
        <v>92</v>
      </c>
    </row>
    <row r="171" ht="15.75">
      <c r="A171" s="51" t="s">
        <v>93</v>
      </c>
    </row>
    <row r="174" ht="15.75">
      <c r="A174" s="331" t="s">
        <v>330</v>
      </c>
    </row>
    <row r="175" ht="47.25">
      <c r="A175" s="54" t="s">
        <v>676</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2" sqref="B12"/>
    </sheetView>
  </sheetViews>
  <sheetFormatPr defaultColWidth="8.796875" defaultRowHeight="15"/>
  <cols>
    <col min="1" max="1" width="13.796875" style="0" customWidth="1"/>
    <col min="2" max="2" width="19.3984375" style="0" customWidth="1"/>
  </cols>
  <sheetData>
    <row r="1" ht="15">
      <c r="J1" s="637" t="s">
        <v>817</v>
      </c>
    </row>
    <row r="2" spans="1:10" ht="54" customHeight="1">
      <c r="A2" s="763" t="s">
        <v>404</v>
      </c>
      <c r="B2" s="764"/>
      <c r="C2" s="764"/>
      <c r="D2" s="764"/>
      <c r="E2" s="764"/>
      <c r="F2" s="764"/>
      <c r="J2" s="637" t="s">
        <v>818</v>
      </c>
    </row>
    <row r="3" spans="1:10" ht="15.75">
      <c r="A3" s="1" t="s">
        <v>829</v>
      </c>
      <c r="B3" s="377" t="s">
        <v>994</v>
      </c>
      <c r="C3" s="630"/>
      <c r="J3" s="637" t="s">
        <v>819</v>
      </c>
    </row>
    <row r="4" spans="1:10" ht="15.75">
      <c r="A4" s="1"/>
      <c r="B4" s="643"/>
      <c r="J4" s="637" t="s">
        <v>820</v>
      </c>
    </row>
    <row r="5" spans="1:10" ht="15.75">
      <c r="A5" s="1" t="s">
        <v>654</v>
      </c>
      <c r="B5" s="377" t="s">
        <v>306</v>
      </c>
      <c r="J5" s="637" t="s">
        <v>821</v>
      </c>
    </row>
    <row r="6" spans="1:10" ht="15.75">
      <c r="A6" s="375"/>
      <c r="B6" s="375"/>
      <c r="C6" s="375"/>
      <c r="D6" s="376" t="s">
        <v>406</v>
      </c>
      <c r="E6" s="375"/>
      <c r="F6" s="375"/>
      <c r="J6" s="637" t="s">
        <v>822</v>
      </c>
    </row>
    <row r="7" spans="1:10" ht="15.75">
      <c r="A7" s="376" t="s">
        <v>405</v>
      </c>
      <c r="B7" s="377" t="s">
        <v>1011</v>
      </c>
      <c r="C7" s="378"/>
      <c r="D7" s="629" t="str">
        <f>IF(B7="","",CONCATENATE("Latest date for notice to be published in your newspaper: ",G18," ",G22,", ",G23))</f>
        <v>Latest date for notice to be published in your newspaper: August 25, 2012</v>
      </c>
      <c r="E7" s="375"/>
      <c r="F7" s="375"/>
      <c r="J7" s="637" t="s">
        <v>823</v>
      </c>
    </row>
    <row r="8" spans="1:10" ht="15.75">
      <c r="A8" s="376"/>
      <c r="B8" s="379"/>
      <c r="C8" s="380"/>
      <c r="D8" s="629"/>
      <c r="E8" s="375"/>
      <c r="F8" s="375"/>
      <c r="J8" s="637" t="s">
        <v>824</v>
      </c>
    </row>
    <row r="9" spans="1:10" ht="15.75">
      <c r="A9" s="376" t="s">
        <v>407</v>
      </c>
      <c r="B9" s="630" t="s">
        <v>1012</v>
      </c>
      <c r="C9" s="381"/>
      <c r="D9" s="376"/>
      <c r="E9" s="375"/>
      <c r="F9" s="375"/>
      <c r="J9" s="637" t="s">
        <v>825</v>
      </c>
    </row>
    <row r="10" spans="1:10" ht="15.75">
      <c r="A10" s="376"/>
      <c r="B10" s="629"/>
      <c r="C10" s="376"/>
      <c r="D10" s="376"/>
      <c r="E10" s="375"/>
      <c r="F10" s="375"/>
      <c r="J10" s="637" t="s">
        <v>826</v>
      </c>
    </row>
    <row r="11" spans="1:10" ht="15.75">
      <c r="A11" s="376" t="s">
        <v>408</v>
      </c>
      <c r="B11" s="631" t="s">
        <v>995</v>
      </c>
      <c r="C11" s="382"/>
      <c r="D11" s="382"/>
      <c r="E11" s="383"/>
      <c r="F11" s="375"/>
      <c r="J11" s="637" t="s">
        <v>827</v>
      </c>
    </row>
    <row r="12" spans="1:10" ht="15.75">
      <c r="A12" s="376"/>
      <c r="B12" s="629"/>
      <c r="C12" s="376"/>
      <c r="D12" s="376"/>
      <c r="E12" s="375"/>
      <c r="F12" s="375"/>
      <c r="J12" s="637" t="s">
        <v>828</v>
      </c>
    </row>
    <row r="13" spans="1:6" ht="15.75">
      <c r="A13" s="376"/>
      <c r="B13" s="629"/>
      <c r="C13" s="376"/>
      <c r="D13" s="376"/>
      <c r="E13" s="375"/>
      <c r="F13" s="375"/>
    </row>
    <row r="14" spans="1:6" ht="15.75">
      <c r="A14" s="376" t="s">
        <v>409</v>
      </c>
      <c r="B14" s="631" t="s">
        <v>997</v>
      </c>
      <c r="C14" s="382"/>
      <c r="D14" s="382"/>
      <c r="E14" s="383"/>
      <c r="F14" s="375"/>
    </row>
    <row r="17" spans="1:6" ht="15.75">
      <c r="A17" s="765" t="s">
        <v>410</v>
      </c>
      <c r="B17" s="765"/>
      <c r="C17" s="376"/>
      <c r="D17" s="376"/>
      <c r="E17" s="376"/>
      <c r="F17" s="375"/>
    </row>
    <row r="18" spans="1:7" ht="15.75">
      <c r="A18" s="376"/>
      <c r="B18" s="376"/>
      <c r="C18" s="376"/>
      <c r="D18" s="376"/>
      <c r="E18" s="376"/>
      <c r="F18" s="375"/>
      <c r="G18" s="637" t="str">
        <f ca="1">IF(B7="","",INDIRECT(G19))</f>
        <v>August</v>
      </c>
    </row>
    <row r="19" spans="1:7" ht="15.75">
      <c r="A19" s="376" t="s">
        <v>654</v>
      </c>
      <c r="B19" s="376" t="s">
        <v>655</v>
      </c>
      <c r="C19" s="376"/>
      <c r="D19" s="376"/>
      <c r="E19" s="376"/>
      <c r="F19" s="375"/>
      <c r="G19" s="638" t="str">
        <f>IF(B7="","",CONCATENATE("J",G21))</f>
        <v>J8</v>
      </c>
    </row>
    <row r="20" spans="1:7" ht="15.75">
      <c r="A20" s="376"/>
      <c r="B20" s="376"/>
      <c r="C20" s="376"/>
      <c r="D20" s="376"/>
      <c r="E20" s="376"/>
      <c r="F20" s="375"/>
      <c r="G20" s="639">
        <f>B7-10</f>
        <v>41146</v>
      </c>
    </row>
    <row r="21" spans="1:7" ht="15.75">
      <c r="A21" s="376" t="s">
        <v>405</v>
      </c>
      <c r="B21" s="379" t="s">
        <v>411</v>
      </c>
      <c r="C21" s="376"/>
      <c r="D21" s="376"/>
      <c r="E21" s="376"/>
      <c r="G21" s="640">
        <f>IF(B7="","",MONTH(G20))</f>
        <v>8</v>
      </c>
    </row>
    <row r="22" spans="1:7" ht="15.75">
      <c r="A22" s="376"/>
      <c r="B22" s="376"/>
      <c r="C22" s="376"/>
      <c r="D22" s="376"/>
      <c r="E22" s="376"/>
      <c r="G22" s="641">
        <f>IF(B7="","",DAY(G20))</f>
        <v>25</v>
      </c>
    </row>
    <row r="23" spans="1:7" ht="15.75">
      <c r="A23" s="376" t="s">
        <v>407</v>
      </c>
      <c r="B23" s="376" t="s">
        <v>412</v>
      </c>
      <c r="C23" s="376"/>
      <c r="D23" s="376"/>
      <c r="E23" s="376"/>
      <c r="G23" s="642">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mergeCells count="2">
    <mergeCell ref="A2:F2"/>
    <mergeCell ref="A17:B17"/>
  </mergeCells>
  <printOptions/>
  <pageMargins left="0.7" right="0.7" top="0.75" bottom="0.75" header="0.3" footer="0.3"/>
  <pageSetup blackAndWhite="1" fitToHeight="1" fitToWidth="1"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0">
      <selection activeCell="H65" sqref="H65"/>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6" t="str">
        <f>CONCATENATE("To the Clerk of ",inputPrYr!D3,", State of Kansas")</f>
        <v>To the Clerk of MORRIS COUNTY, State of Kansas</v>
      </c>
      <c r="B3" s="758"/>
      <c r="C3" s="758"/>
      <c r="D3" s="758"/>
      <c r="E3" s="758"/>
      <c r="F3" s="758"/>
    </row>
    <row r="4" spans="1:6" s="66" customFormat="1" ht="15" customHeight="1">
      <c r="A4" s="75" t="s">
        <v>652</v>
      </c>
      <c r="B4" s="74"/>
      <c r="C4" s="74"/>
      <c r="D4" s="74"/>
      <c r="E4" s="74"/>
      <c r="F4" s="74"/>
    </row>
    <row r="5" spans="1:6" s="66" customFormat="1" ht="15" customHeight="1">
      <c r="A5" s="65"/>
      <c r="B5" s="65"/>
      <c r="C5" s="433" t="str">
        <f>(inputPrYr!D2)</f>
        <v>CITY OF PARKERVILLE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7" t="str">
        <f>CONCATENATE("Amount of ",$F$1-1," Ad Valorem Tax")</f>
        <v>Amount of 2012 Ad Valorem Tax</v>
      </c>
      <c r="F12" s="175" t="s">
        <v>142</v>
      </c>
    </row>
    <row r="13" spans="1:6" ht="14.25" customHeight="1">
      <c r="A13" s="65"/>
      <c r="B13" s="65"/>
      <c r="C13" s="175" t="s">
        <v>143</v>
      </c>
      <c r="D13" s="176" t="s">
        <v>51</v>
      </c>
      <c r="E13" s="768"/>
      <c r="F13" s="176" t="s">
        <v>144</v>
      </c>
    </row>
    <row r="14" spans="1:6" ht="14.25" customHeight="1">
      <c r="A14" s="177" t="s">
        <v>145</v>
      </c>
      <c r="B14" s="104"/>
      <c r="C14" s="178" t="s">
        <v>146</v>
      </c>
      <c r="D14" s="178" t="s">
        <v>665</v>
      </c>
      <c r="E14" s="769"/>
      <c r="F14" s="178" t="s">
        <v>148</v>
      </c>
    </row>
    <row r="15" spans="1:6" ht="15" customHeight="1">
      <c r="A15" s="179" t="s">
        <v>316</v>
      </c>
      <c r="B15" s="180">
        <f>inputPrYr!$C$5</f>
        <v>2013</v>
      </c>
      <c r="C15" s="181">
        <v>2</v>
      </c>
      <c r="D15" s="97"/>
      <c r="E15" s="97"/>
      <c r="F15" s="182"/>
    </row>
    <row r="16" spans="1:6" ht="15" customHeight="1">
      <c r="A16" s="174" t="s">
        <v>970</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21410</v>
      </c>
      <c r="E22" s="651">
        <f>IF((general!$E$68)&lt;&gt;0,(general!$E$68),0)</f>
        <v>1205</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3000</v>
      </c>
      <c r="E29" s="238"/>
      <c r="F29" s="188"/>
    </row>
    <row r="30" spans="1:6" ht="15" customHeight="1">
      <c r="A30" s="191" t="str">
        <f>IF((inputPrYr!$B29&gt;"  "),(inputPrYr!$B29),"  ")</f>
        <v>  </v>
      </c>
      <c r="B30" s="117"/>
      <c r="C30" s="184">
        <f>IF(SpecHwy!C66&gt;0,SpecHwy!C66," ")</f>
        <v>8</v>
      </c>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763</v>
      </c>
      <c r="B37" s="116"/>
      <c r="C37" s="432" t="s">
        <v>153</v>
      </c>
      <c r="D37" s="654">
        <f>SUM(D22:D35)</f>
        <v>24410</v>
      </c>
      <c r="E37" s="654">
        <f>SUM(E22:E35)</f>
        <v>1205</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9</v>
      </c>
      <c r="D39" s="195"/>
      <c r="E39" s="65"/>
      <c r="F39" s="434"/>
    </row>
    <row r="40" spans="1:6" ht="15" customHeight="1">
      <c r="A40" s="86" t="s">
        <v>122</v>
      </c>
      <c r="B40" s="87"/>
      <c r="C40" s="181">
        <f>IF(Nhood!C32&gt;0,Nhood!C32,"")</f>
        <v>10</v>
      </c>
      <c r="D40" s="195"/>
      <c r="E40" s="65"/>
      <c r="F40" s="772" t="str">
        <f>CONCATENATE("Nov 1, ",F1-1," Total Assessed Valuation")</f>
        <v>Nov 1, 2012 Total Assessed Valuation</v>
      </c>
    </row>
    <row r="41" spans="1:6" ht="15" customHeight="1">
      <c r="A41" s="468"/>
      <c r="B41" s="466"/>
      <c r="C41" s="469"/>
      <c r="D41" s="470"/>
      <c r="E41" s="471"/>
      <c r="F41" s="773"/>
    </row>
    <row r="42" spans="1:6" ht="15" customHeight="1">
      <c r="A42" s="70" t="s">
        <v>154</v>
      </c>
      <c r="B42" s="97"/>
      <c r="C42" s="196"/>
      <c r="D42" s="97"/>
      <c r="E42" s="65"/>
      <c r="F42" s="65"/>
    </row>
    <row r="43" spans="1:6" ht="15" customHeight="1">
      <c r="A43" s="373" t="s">
        <v>996</v>
      </c>
      <c r="B43" s="65"/>
      <c r="C43" s="65"/>
      <c r="D43" s="466"/>
      <c r="E43" s="467"/>
      <c r="F43" s="65"/>
    </row>
    <row r="44" spans="1:6" ht="15" customHeight="1">
      <c r="A44" s="197"/>
      <c r="B44" s="65"/>
      <c r="C44" s="482" t="s">
        <v>840</v>
      </c>
      <c r="D44" s="97"/>
      <c r="E44" s="482"/>
      <c r="F44" s="482"/>
    </row>
    <row r="45" spans="1:6" ht="15" customHeight="1">
      <c r="A45" s="65" t="s">
        <v>313</v>
      </c>
      <c r="B45" s="97"/>
      <c r="C45" s="97"/>
      <c r="D45" s="97"/>
      <c r="E45" s="97"/>
      <c r="F45" s="97"/>
    </row>
    <row r="46" spans="1:6" ht="15" customHeight="1">
      <c r="A46" s="373" t="s">
        <v>998</v>
      </c>
      <c r="B46" s="372"/>
      <c r="C46" s="482" t="s">
        <v>840</v>
      </c>
      <c r="D46" s="97"/>
      <c r="E46" s="97"/>
      <c r="F46" s="97"/>
    </row>
    <row r="47" spans="1:6" ht="15" customHeight="1">
      <c r="A47" s="197" t="s">
        <v>999</v>
      </c>
      <c r="B47" s="97"/>
      <c r="C47" s="100"/>
      <c r="D47" s="97"/>
      <c r="E47" s="97"/>
      <c r="F47" s="97"/>
    </row>
    <row r="48" spans="1:6" ht="15" customHeight="1">
      <c r="A48" s="97" t="s">
        <v>969</v>
      </c>
      <c r="B48" s="65"/>
      <c r="C48" s="482" t="s">
        <v>840</v>
      </c>
      <c r="D48" s="97"/>
      <c r="E48" s="656"/>
      <c r="F48" s="656"/>
    </row>
    <row r="49" spans="1:6" ht="15" customHeight="1">
      <c r="A49" s="373" t="s">
        <v>1000</v>
      </c>
      <c r="B49" s="70"/>
      <c r="C49" s="97"/>
      <c r="D49" s="97"/>
      <c r="E49" s="656"/>
      <c r="F49" s="656"/>
    </row>
    <row r="50" spans="1:6" ht="15" customHeight="1">
      <c r="A50" s="372"/>
      <c r="B50" s="65"/>
      <c r="C50" s="482" t="s">
        <v>840</v>
      </c>
      <c r="D50" s="97"/>
      <c r="E50" s="656"/>
      <c r="F50" s="656"/>
    </row>
    <row r="51" spans="1:6" ht="15" customHeight="1">
      <c r="A51" s="65"/>
      <c r="B51" s="65"/>
      <c r="C51" s="97"/>
      <c r="D51" s="97"/>
      <c r="E51" s="656"/>
      <c r="F51" s="656"/>
    </row>
    <row r="52" spans="1:6" ht="15" customHeight="1">
      <c r="A52" s="71" t="s">
        <v>24</v>
      </c>
      <c r="B52" s="198">
        <f>inputPrYr!$C$5-1</f>
        <v>2012</v>
      </c>
      <c r="C52" s="482" t="s">
        <v>840</v>
      </c>
      <c r="D52" s="97"/>
      <c r="E52" s="656"/>
      <c r="F52" s="656"/>
    </row>
    <row r="53" spans="1:6" ht="15" customHeight="1">
      <c r="A53" s="65"/>
      <c r="B53" s="65"/>
      <c r="C53" s="656"/>
      <c r="D53" s="656"/>
      <c r="E53" s="657"/>
      <c r="F53" s="658"/>
    </row>
    <row r="54" spans="1:6" ht="15" customHeight="1">
      <c r="A54" s="590"/>
      <c r="B54" s="65"/>
      <c r="C54" s="482" t="s">
        <v>840</v>
      </c>
      <c r="D54" s="97"/>
      <c r="E54" s="656"/>
      <c r="F54" s="656"/>
    </row>
    <row r="55" spans="1:6" ht="15" customHeight="1">
      <c r="A55" s="84" t="s">
        <v>156</v>
      </c>
      <c r="B55" s="65"/>
      <c r="C55" s="770" t="s">
        <v>155</v>
      </c>
      <c r="D55" s="771"/>
      <c r="E55" s="771"/>
      <c r="F55" s="77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78"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34">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PARKERVILLE</v>
      </c>
      <c r="D1" s="65"/>
      <c r="E1" s="65"/>
      <c r="F1" s="65"/>
      <c r="G1" s="65"/>
      <c r="H1" s="65"/>
      <c r="I1" s="65"/>
      <c r="J1" s="162">
        <f>inputPrYr!$C$5</f>
        <v>2013</v>
      </c>
    </row>
    <row r="2" spans="1:10" ht="15.75" customHeight="1">
      <c r="A2" s="65"/>
      <c r="B2" s="65"/>
      <c r="C2" s="65"/>
      <c r="D2" s="65"/>
      <c r="E2" s="65"/>
      <c r="F2" s="65"/>
      <c r="G2" s="65"/>
      <c r="H2" s="65"/>
      <c r="I2" s="65"/>
      <c r="J2" s="65"/>
    </row>
    <row r="3" spans="1:10" ht="15.75">
      <c r="A3" s="776" t="str">
        <f>CONCATENATE("Computation to Determine Limit for ",J1)</f>
        <v>Computation to Determine Limit for 2013</v>
      </c>
      <c r="B3" s="777"/>
      <c r="C3" s="777"/>
      <c r="D3" s="777"/>
      <c r="E3" s="777"/>
      <c r="F3" s="777"/>
      <c r="G3" s="777"/>
      <c r="H3" s="777"/>
      <c r="I3" s="777"/>
      <c r="J3" s="777"/>
    </row>
    <row r="4" spans="1:10" ht="15.75">
      <c r="A4" s="65"/>
      <c r="B4" s="65"/>
      <c r="C4" s="65"/>
      <c r="D4" s="65"/>
      <c r="E4" s="777"/>
      <c r="F4" s="777"/>
      <c r="G4" s="777"/>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1205</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1205</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0</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2573</v>
      </c>
      <c r="F14" s="206"/>
      <c r="G14" s="89"/>
      <c r="H14" s="89"/>
      <c r="I14" s="209"/>
      <c r="J14" s="89"/>
    </row>
    <row r="15" spans="1:10" ht="15.75">
      <c r="A15" s="210"/>
      <c r="B15" s="65" t="s">
        <v>243</v>
      </c>
      <c r="C15" s="65" t="str">
        <f>CONCATENATE("Personal Property ",J1-2)</f>
        <v>Personal Property 2011</v>
      </c>
      <c r="D15" s="210" t="s">
        <v>239</v>
      </c>
      <c r="E15" s="94">
        <f>inputOth!E15</f>
        <v>3691</v>
      </c>
      <c r="F15" s="206"/>
      <c r="G15" s="209"/>
      <c r="H15" s="209"/>
      <c r="I15" s="89"/>
      <c r="J15" s="89"/>
    </row>
    <row r="16" spans="1:10" ht="15.75">
      <c r="A16" s="210"/>
      <c r="B16" s="65" t="s">
        <v>244</v>
      </c>
      <c r="C16" s="65" t="s">
        <v>268</v>
      </c>
      <c r="D16" s="65"/>
      <c r="E16" s="89"/>
      <c r="F16" s="89" t="s">
        <v>236</v>
      </c>
      <c r="G16" s="207">
        <f>IF(E14&gt;E15,E14-E15,0)</f>
        <v>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0</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91749</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91749</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0</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1205</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1205</v>
      </c>
    </row>
    <row r="41" spans="1:10" ht="19.5" thickTop="1">
      <c r="A41" s="775"/>
      <c r="B41" s="775"/>
      <c r="C41" s="775"/>
      <c r="D41" s="775"/>
      <c r="E41" s="775"/>
      <c r="F41" s="775"/>
      <c r="G41" s="775"/>
      <c r="H41" s="775"/>
      <c r="I41" s="775"/>
      <c r="J41" s="775"/>
    </row>
    <row r="42" spans="1:10" s="217" customFormat="1" ht="18.75">
      <c r="A42" s="775" t="str">
        <f>CONCATENATE("If the ",J1," budget includes tax levies exceeding the total on line 15, you must")</f>
        <v>If the 2013 budget includes tax levies exceeding the total on line 15, you must</v>
      </c>
      <c r="B42" s="775"/>
      <c r="C42" s="775"/>
      <c r="D42" s="775"/>
      <c r="E42" s="775"/>
      <c r="F42" s="775"/>
      <c r="G42" s="775"/>
      <c r="H42" s="775"/>
      <c r="I42" s="775"/>
      <c r="J42" s="775"/>
    </row>
    <row r="43" spans="1:10" s="217" customFormat="1" ht="18.75">
      <c r="A43" s="775" t="s">
        <v>3</v>
      </c>
      <c r="B43" s="775"/>
      <c r="C43" s="775"/>
      <c r="D43" s="775"/>
      <c r="E43" s="775"/>
      <c r="F43" s="775"/>
      <c r="G43" s="775"/>
      <c r="H43" s="775"/>
      <c r="I43" s="775"/>
      <c r="J43" s="775"/>
    </row>
    <row r="44" spans="1:10" ht="15.75" customHeight="1">
      <c r="A44" s="774" t="s">
        <v>4</v>
      </c>
      <c r="B44" s="774"/>
      <c r="C44" s="774"/>
      <c r="D44" s="774"/>
      <c r="E44" s="774"/>
      <c r="F44" s="774"/>
      <c r="G44" s="774"/>
      <c r="H44" s="774"/>
      <c r="I44" s="774"/>
      <c r="J44" s="77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PARKERVILLE</v>
      </c>
      <c r="C2" s="65"/>
      <c r="D2" s="65"/>
      <c r="E2" s="65"/>
      <c r="F2" s="219"/>
      <c r="G2" s="162"/>
    </row>
    <row r="3" spans="1:7" ht="15" customHeight="1">
      <c r="A3" s="65"/>
      <c r="B3" s="65"/>
      <c r="C3" s="65"/>
      <c r="D3" s="65"/>
      <c r="E3" s="65"/>
      <c r="F3" s="65"/>
      <c r="G3" s="162">
        <f>inputPrYr!$C$5</f>
        <v>2013</v>
      </c>
    </row>
    <row r="4" spans="1:7" ht="20.25" customHeight="1">
      <c r="A4" s="65"/>
      <c r="B4" s="776" t="s">
        <v>831</v>
      </c>
      <c r="C4" s="776"/>
      <c r="D4" s="776"/>
      <c r="E4" s="776"/>
      <c r="F4" s="77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832</v>
      </c>
      <c r="C7" s="175" t="s">
        <v>833</v>
      </c>
      <c r="D7" s="778" t="str">
        <f>CONCATENATE("Allocation for Proposed Year ",G3,"")</f>
        <v>Allocation for Proposed Year 2013</v>
      </c>
      <c r="E7" s="779"/>
      <c r="F7" s="780"/>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1205</v>
      </c>
      <c r="D9" s="222">
        <f>IF(inputPrYr!E17&gt;0,D18-SUM(D10:D15),0)</f>
        <v>514</v>
      </c>
      <c r="E9" s="222">
        <f>IF(inputPrYr!E17=0,0,E20-SUM(E10:E15))</f>
        <v>0</v>
      </c>
      <c r="F9" s="222">
        <f>IF(inputPrYr!E17=0,0,F22-SUM(F10:F15))</f>
        <v>17</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1205</v>
      </c>
      <c r="D16" s="223">
        <f>SUM(D9:D15)</f>
        <v>514</v>
      </c>
      <c r="E16" s="223">
        <f>SUM(E9:E15)</f>
        <v>0</v>
      </c>
      <c r="F16" s="223">
        <f>SUM(F9:F15)</f>
        <v>17</v>
      </c>
      <c r="G16" s="646"/>
    </row>
    <row r="17" spans="1:7" ht="15" customHeight="1" thickTop="1">
      <c r="A17" s="65"/>
      <c r="B17" s="65"/>
      <c r="C17" s="65"/>
      <c r="D17" s="65"/>
      <c r="E17" s="65"/>
      <c r="F17" s="65"/>
      <c r="G17" s="65"/>
    </row>
    <row r="18" spans="1:7" ht="15" customHeight="1">
      <c r="A18" s="65"/>
      <c r="B18" s="70" t="s">
        <v>160</v>
      </c>
      <c r="C18" s="224"/>
      <c r="D18" s="207">
        <f>(inputOth!E33)</f>
        <v>514</v>
      </c>
      <c r="E18" s="224"/>
      <c r="F18" s="65"/>
      <c r="G18" s="65"/>
    </row>
    <row r="19" spans="1:7" ht="15" customHeight="1">
      <c r="A19" s="65"/>
      <c r="B19" s="65"/>
      <c r="C19" s="65"/>
      <c r="D19" s="65"/>
      <c r="E19" s="65"/>
      <c r="F19" s="65"/>
      <c r="G19" s="65"/>
    </row>
    <row r="20" spans="1:7" ht="15" customHeight="1">
      <c r="A20" s="65"/>
      <c r="B20" s="70" t="s">
        <v>161</v>
      </c>
      <c r="C20" s="65"/>
      <c r="D20" s="65"/>
      <c r="E20" s="207">
        <f>(inputOth!E34)</f>
        <v>0</v>
      </c>
      <c r="F20" s="65"/>
      <c r="G20" s="65"/>
    </row>
    <row r="21" spans="1:7" ht="15" customHeight="1">
      <c r="A21" s="65"/>
      <c r="B21" s="65"/>
      <c r="C21" s="65"/>
      <c r="D21" s="65"/>
      <c r="E21" s="65"/>
      <c r="F21" s="65"/>
      <c r="G21" s="65"/>
    </row>
    <row r="22" spans="1:7" ht="15" customHeight="1">
      <c r="A22" s="65"/>
      <c r="B22" s="70" t="s">
        <v>230</v>
      </c>
      <c r="C22" s="65"/>
      <c r="D22" s="65"/>
      <c r="E22" s="65"/>
      <c r="F22" s="207">
        <f>inputOth!E35</f>
        <v>17</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0.42655601659751036</v>
      </c>
      <c r="E26" s="65"/>
      <c r="F26" s="65"/>
      <c r="G26" s="65"/>
    </row>
    <row r="27" spans="1:7" ht="15" customHeight="1">
      <c r="A27" s="65"/>
      <c r="B27" s="65"/>
      <c r="C27" s="65"/>
      <c r="D27" s="65"/>
      <c r="E27" s="65"/>
      <c r="F27" s="65"/>
      <c r="G27" s="65"/>
    </row>
    <row r="28" spans="1:7" ht="15" customHeight="1">
      <c r="A28" s="65"/>
      <c r="B28" s="70"/>
      <c r="C28" s="70" t="s">
        <v>163</v>
      </c>
      <c r="D28" s="65"/>
      <c r="E28" s="213">
        <f>IF(C16=0,0,E20/C16)</f>
        <v>0</v>
      </c>
      <c r="F28" s="65"/>
      <c r="G28" s="65"/>
    </row>
    <row r="29" spans="1:7" ht="15" customHeight="1">
      <c r="A29" s="65"/>
      <c r="B29" s="65"/>
      <c r="C29" s="65"/>
      <c r="D29" s="65"/>
      <c r="E29" s="65"/>
      <c r="F29" s="65"/>
      <c r="G29" s="65"/>
    </row>
    <row r="30" spans="1:7" ht="15" customHeight="1">
      <c r="A30" s="65"/>
      <c r="B30" s="65"/>
      <c r="C30" s="65"/>
      <c r="D30" s="65" t="s">
        <v>229</v>
      </c>
      <c r="E30" s="65"/>
      <c r="F30" s="213">
        <f>IF(C16=0,0,F22/C16)</f>
        <v>0.014107883817427386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PARKERVILLE</v>
      </c>
      <c r="B1" s="65"/>
      <c r="C1" s="65"/>
      <c r="D1" s="65"/>
      <c r="E1" s="65"/>
      <c r="F1" s="65">
        <f>inputPrYr!C5</f>
        <v>2013</v>
      </c>
    </row>
    <row r="2" spans="1:6" ht="15.75">
      <c r="A2" s="65"/>
      <c r="B2" s="65"/>
      <c r="C2" s="65"/>
      <c r="D2" s="65"/>
      <c r="E2" s="65"/>
      <c r="F2" s="65"/>
    </row>
    <row r="3" spans="1:6" ht="15.75">
      <c r="A3" s="777" t="s">
        <v>290</v>
      </c>
      <c r="B3" s="777"/>
      <c r="C3" s="777"/>
      <c r="D3" s="777"/>
      <c r="E3" s="777"/>
      <c r="F3" s="777"/>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640</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4" t="s">
        <v>734</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3" t="s">
        <v>735</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736</v>
      </c>
    </row>
    <row r="44" ht="15.75">
      <c r="A44" s="367"/>
    </row>
    <row r="45" ht="15.75">
      <c r="A45" s="367"/>
    </row>
    <row r="46" ht="69" customHeight="1">
      <c r="A46" s="357" t="s">
        <v>737</v>
      </c>
    </row>
    <row r="47" ht="15.75">
      <c r="A47" s="367"/>
    </row>
    <row r="48" ht="15.75">
      <c r="A48" s="367"/>
    </row>
    <row r="49" ht="69" customHeight="1">
      <c r="A49" s="357" t="s">
        <v>738</v>
      </c>
    </row>
    <row r="50" ht="15.75" customHeight="1">
      <c r="A50" s="367"/>
    </row>
    <row r="51" ht="21.75" customHeight="1">
      <c r="A51" s="367"/>
    </row>
    <row r="52" ht="66" customHeight="1">
      <c r="A52" s="357" t="s">
        <v>962</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2012-08-14T15:24:38Z</cp:lastPrinted>
  <dcterms:created xsi:type="dcterms:W3CDTF">1998-12-22T16:13:18Z</dcterms:created>
  <dcterms:modified xsi:type="dcterms:W3CDTF">2014-01-21T20:22:13Z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2029337402</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y fmtid="{D5CDD505-2E9C-101B-9397-08002B2CF9AE}" pid="7" name="_ReviewingToolsShownOnce">
    <vt:lpwstr/>
  </property>
</Properties>
</file>