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5" windowWidth="9630" windowHeight="1170" tabRatio="909" activeTab="4"/>
  </bookViews>
  <sheets>
    <sheet name="Instructions" sheetId="1"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5" r:id="rId9"/>
    <sheet name="debt" sheetId="22" r:id="rId10"/>
    <sheet name="lpform" sheetId="23" r:id="rId11"/>
    <sheet name="Library Grant" sheetId="58" r:id="rId12"/>
    <sheet name="general" sheetId="7" r:id="rId13"/>
    <sheet name="GenDetail" sheetId="9" r:id="rId14"/>
    <sheet name="DebtService" sheetId="57" r:id="rId15"/>
    <sheet name="Library-Rec" sheetId="34" r:id="rId16"/>
    <sheet name="Ind-EBF" sheetId="8" r:id="rId17"/>
    <sheet name="PS Equip-REBF" sheetId="10" r:id="rId18"/>
    <sheet name="St Imp-Refuse" sheetId="14" r:id="rId19"/>
    <sheet name="Golf-911" sheetId="15" r:id="rId20"/>
    <sheet name="Tourism" sheetId="16" r:id="rId21"/>
    <sheet name="levy 7" sheetId="17" state="hidden" r:id="rId22"/>
    <sheet name="Levy 8" sheetId="18" state="hidden" r:id="rId23"/>
    <sheet name="levy9" sheetId="19" state="hidden" r:id="rId24"/>
    <sheet name="levy10" sheetId="53" state="hidden" r:id="rId25"/>
    <sheet name="no levy page21" sheetId="54" state="hidden" r:id="rId26"/>
    <sheet name="levy page11" sheetId="11" state="hidden" r:id="rId27"/>
    <sheet name="levy page12" sheetId="12" state="hidden" r:id="rId28"/>
    <sheet name="levy page13" sheetId="13" state="hidden" r:id="rId29"/>
    <sheet name="Water" sheetId="35" r:id="rId30"/>
    <sheet name="Elec" sheetId="36" r:id="rId31"/>
    <sheet name="Sewer" sheetId="37" r:id="rId32"/>
    <sheet name="SP&amp;R" sheetId="38" r:id="rId33"/>
    <sheet name="CIP Funds" sheetId="39" r:id="rId34"/>
    <sheet name="Agency Funds1" sheetId="40" r:id="rId35"/>
    <sheet name="Agency Funds2" sheetId="41" r:id="rId36"/>
    <sheet name="NonBudD" sheetId="42" state="hidden" r:id="rId37"/>
    <sheet name="NonBudFunds" sheetId="46" r:id="rId38"/>
    <sheet name="summ" sheetId="21" r:id="rId39"/>
    <sheet name="nhood" sheetId="44" r:id="rId40"/>
    <sheet name="ordinance" sheetId="33" r:id="rId41"/>
    <sheet name="Tab A" sheetId="47" r:id="rId42"/>
    <sheet name="Tab B" sheetId="48" r:id="rId43"/>
    <sheet name="Tab C" sheetId="49" r:id="rId44"/>
    <sheet name="Tab D" sheetId="50" r:id="rId45"/>
    <sheet name="Tab E" sheetId="51" r:id="rId46"/>
    <sheet name="Mill Rate Computation" sheetId="55" r:id="rId47"/>
    <sheet name="Helpful Links" sheetId="56" r:id="rId48"/>
    <sheet name="legend" sheetId="25" r:id="rId49"/>
  </sheets>
  <definedNames>
    <definedName name="_xlnm.Print_Area" localSheetId="34">'Agency Funds1'!$A$1:$K$27</definedName>
    <definedName name="_xlnm.Print_Area" localSheetId="35">'Agency Funds2'!$A$1:$K$27</definedName>
    <definedName name="_xlnm.Print_Area" localSheetId="4">cert!$B$1:$G$74</definedName>
    <definedName name="_xlnm.Print_Area" localSheetId="33">'CIP Funds'!$A$1:$K$27</definedName>
    <definedName name="_xlnm.Print_Area" localSheetId="9">debt!$B$1:$M$38</definedName>
    <definedName name="_xlnm.Print_Area" localSheetId="14">DebtService!$B$1:$E$54</definedName>
    <definedName name="_xlnm.Print_Area" localSheetId="30">Elec!$B$1:$E$58</definedName>
    <definedName name="_xlnm.Print_Area" localSheetId="12">general!$B$1:$E$105</definedName>
    <definedName name="_xlnm.Print_Area" localSheetId="19">'Golf-911'!$B$1:$E$60</definedName>
    <definedName name="_xlnm.Print_Area" localSheetId="16">'Ind-EBF'!$B$1:$E$80</definedName>
    <definedName name="_xlnm.Print_Area" localSheetId="1">inputPrYr!$A$1:$E$128</definedName>
    <definedName name="_xlnm.Print_Area" localSheetId="26">'levy page11'!$A$1:$E$82</definedName>
    <definedName name="_xlnm.Print_Area" localSheetId="27">'levy page12'!$A$1:$E$82</definedName>
    <definedName name="_xlnm.Print_Area" localSheetId="28">'levy page13'!$A$1:$E$82</definedName>
    <definedName name="_xlnm.Print_Area" localSheetId="11">'Library Grant'!$A$1:$J$40</definedName>
    <definedName name="_xlnm.Print_Area" localSheetId="15">'Library-Rec'!$B$1:$E$73</definedName>
    <definedName name="_xlnm.Print_Area" localSheetId="10">lpform!$B$1:$I$24</definedName>
    <definedName name="_xlnm.Print_Area" localSheetId="46">'Mill Rate Computation'!$B$1:$W$147</definedName>
    <definedName name="_xlnm.Print_Area" localSheetId="6">mvalloc!$B$1:$G$31</definedName>
    <definedName name="_xlnm.Print_Area" localSheetId="17">'PS Equip-REBF'!$B$1:$E$75</definedName>
    <definedName name="_xlnm.Print_Area" localSheetId="31">Sewer!$B$1:$E$33</definedName>
    <definedName name="_xlnm.Print_Area" localSheetId="32">'SP&amp;R'!$B$1:$E$43</definedName>
    <definedName name="_xlnm.Print_Area" localSheetId="18">'St Imp-Refuse'!$B$1:$E$60</definedName>
    <definedName name="_xlnm.Print_Area" localSheetId="38">summ!$A$1:$H$72</definedName>
    <definedName name="_xlnm.Print_Area" localSheetId="20">Tourism!$B$1:$E$65</definedName>
    <definedName name="_xlnm.Print_Area" localSheetId="7">transfers!$A$1:$F$40</definedName>
    <definedName name="_xlnm.Print_Area" localSheetId="29">Water!$B$1:$E$51</definedName>
  </definedNames>
  <calcPr calcId="125725"/>
</workbook>
</file>

<file path=xl/calcChain.xml><?xml version="1.0" encoding="utf-8"?>
<calcChain xmlns="http://schemas.openxmlformats.org/spreadsheetml/2006/main">
  <c r="G22" i="3"/>
  <c r="D59" i="21"/>
  <c r="F59"/>
  <c r="F75" s="1"/>
  <c r="I2"/>
  <c r="L11" i="22"/>
  <c r="L12"/>
  <c r="E31" i="7"/>
  <c r="E33"/>
  <c r="D31"/>
  <c r="D33"/>
  <c r="C10"/>
  <c r="C33"/>
  <c r="F25" i="5"/>
  <c r="C8"/>
  <c r="C7"/>
  <c r="C9"/>
  <c r="C10"/>
  <c r="C11"/>
  <c r="C12"/>
  <c r="C13"/>
  <c r="C14"/>
  <c r="C15"/>
  <c r="C16"/>
  <c r="C17"/>
  <c r="C18"/>
  <c r="C19"/>
  <c r="C20"/>
  <c r="C21"/>
  <c r="F29" s="1"/>
  <c r="F9"/>
  <c r="F10"/>
  <c r="F12"/>
  <c r="F14"/>
  <c r="F15"/>
  <c r="F16"/>
  <c r="F17"/>
  <c r="F18"/>
  <c r="F19"/>
  <c r="E24"/>
  <c r="E28" s="1"/>
  <c r="E9"/>
  <c r="E10"/>
  <c r="E12"/>
  <c r="E14"/>
  <c r="E15"/>
  <c r="E16"/>
  <c r="E17"/>
  <c r="E18"/>
  <c r="E19"/>
  <c r="D23"/>
  <c r="D9"/>
  <c r="D10"/>
  <c r="D12"/>
  <c r="D14"/>
  <c r="D15"/>
  <c r="D16"/>
  <c r="D17"/>
  <c r="D18"/>
  <c r="D19"/>
  <c r="D57" i="2"/>
  <c r="J69" i="13"/>
  <c r="J68"/>
  <c r="J29"/>
  <c r="J28"/>
  <c r="J29" i="12"/>
  <c r="J28"/>
  <c r="J29" i="11"/>
  <c r="J28"/>
  <c r="J26" i="10"/>
  <c r="J25"/>
  <c r="J27" i="8"/>
  <c r="J26"/>
  <c r="C20" i="44"/>
  <c r="E1" i="54"/>
  <c r="D5"/>
  <c r="D38" s="1"/>
  <c r="D44" i="10"/>
  <c r="D53" s="1"/>
  <c r="G33" i="2"/>
  <c r="D43" i="34"/>
  <c r="D53" s="1"/>
  <c r="D52" s="1"/>
  <c r="G30" i="2"/>
  <c r="D47" i="13"/>
  <c r="D60" s="1"/>
  <c r="G29" i="2"/>
  <c r="D8" i="13" s="1"/>
  <c r="D20" s="1"/>
  <c r="G28" i="2"/>
  <c r="D47" i="12"/>
  <c r="D60" s="1"/>
  <c r="D59" s="1"/>
  <c r="G27" i="2"/>
  <c r="D8" i="12"/>
  <c r="D20" s="1"/>
  <c r="D19" s="1"/>
  <c r="G26" i="2"/>
  <c r="D47" i="11"/>
  <c r="D60" s="1"/>
  <c r="D59" s="1"/>
  <c r="G25" i="2"/>
  <c r="D8" i="11"/>
  <c r="D20" s="1"/>
  <c r="D19" s="1"/>
  <c r="G24" i="2"/>
  <c r="G23"/>
  <c r="D8" i="10" s="1"/>
  <c r="D17" s="1"/>
  <c r="D16" s="1"/>
  <c r="G22" i="2"/>
  <c r="D45" i="8"/>
  <c r="D58" s="1"/>
  <c r="D57" s="1"/>
  <c r="G21" i="2"/>
  <c r="D8" i="8"/>
  <c r="D18" s="1"/>
  <c r="D17" s="1"/>
  <c r="G19" i="2"/>
  <c r="D8" i="34"/>
  <c r="G18" i="2"/>
  <c r="G17"/>
  <c r="D9" i="7" s="1"/>
  <c r="D41" s="1"/>
  <c r="D40" s="1"/>
  <c r="D48" i="3"/>
  <c r="D47"/>
  <c r="D46"/>
  <c r="D45"/>
  <c r="D44"/>
  <c r="B48"/>
  <c r="B47"/>
  <c r="B46"/>
  <c r="B45"/>
  <c r="B44"/>
  <c r="D32" i="54"/>
  <c r="D63" i="53"/>
  <c r="D32"/>
  <c r="D54" i="19"/>
  <c r="C63" i="54"/>
  <c r="C32"/>
  <c r="C63" i="53"/>
  <c r="C32"/>
  <c r="C54" i="19"/>
  <c r="B38" i="54"/>
  <c r="B5"/>
  <c r="B38" i="53"/>
  <c r="B5"/>
  <c r="B29" i="19"/>
  <c r="D75" i="11"/>
  <c r="C31" i="34"/>
  <c r="D31"/>
  <c r="D51" i="57"/>
  <c r="D47"/>
  <c r="C47"/>
  <c r="G16" i="58"/>
  <c r="B5" i="34"/>
  <c r="B19" i="58"/>
  <c r="B18"/>
  <c r="B17"/>
  <c r="B16"/>
  <c r="B15"/>
  <c r="E17" i="21"/>
  <c r="G40" i="34" s="1"/>
  <c r="C17" i="21"/>
  <c r="I1" i="3"/>
  <c r="C72" s="1"/>
  <c r="B9" i="5"/>
  <c r="B18" i="3"/>
  <c r="D18"/>
  <c r="D21"/>
  <c r="D22"/>
  <c r="C22"/>
  <c r="B22"/>
  <c r="B1" i="57"/>
  <c r="A71" i="21"/>
  <c r="A70"/>
  <c r="A17"/>
  <c r="E1" i="57"/>
  <c r="H56" s="1"/>
  <c r="D20" i="3"/>
  <c r="J148" i="55"/>
  <c r="H134"/>
  <c r="C137" s="1"/>
  <c r="J137" s="1"/>
  <c r="H120"/>
  <c r="C123"/>
  <c r="H114"/>
  <c r="F117"/>
  <c r="H117" s="1"/>
  <c r="F123" s="1"/>
  <c r="J123" s="1"/>
  <c r="H100"/>
  <c r="C103"/>
  <c r="H94"/>
  <c r="F97"/>
  <c r="H97" s="1"/>
  <c r="F103" s="1"/>
  <c r="H80"/>
  <c r="C83"/>
  <c r="H74"/>
  <c r="F77"/>
  <c r="H77" s="1"/>
  <c r="F83" s="1"/>
  <c r="H48"/>
  <c r="F50" s="1"/>
  <c r="J50" s="1"/>
  <c r="H41"/>
  <c r="B28"/>
  <c r="H28"/>
  <c r="H25"/>
  <c r="C25"/>
  <c r="D8" i="44"/>
  <c r="E8"/>
  <c r="B8"/>
  <c r="E19" i="58"/>
  <c r="E18"/>
  <c r="E17"/>
  <c r="E16"/>
  <c r="G14"/>
  <c r="B78" s="1"/>
  <c r="E14"/>
  <c r="B8"/>
  <c r="B7"/>
  <c r="B5"/>
  <c r="B89"/>
  <c r="D8" i="57"/>
  <c r="D19" s="1"/>
  <c r="D18" s="1"/>
  <c r="B5"/>
  <c r="H58"/>
  <c r="D45"/>
  <c r="D16" i="21"/>
  <c r="C45" i="57"/>
  <c r="C44"/>
  <c r="C19"/>
  <c r="C18"/>
  <c r="C20"/>
  <c r="A7" i="21"/>
  <c r="A5"/>
  <c r="G20" i="52"/>
  <c r="G22" s="1"/>
  <c r="B47" i="58"/>
  <c r="B46"/>
  <c r="E5" i="57"/>
  <c r="H46"/>
  <c r="G21" i="52"/>
  <c r="G19" s="1"/>
  <c r="G23"/>
  <c r="A25" i="43"/>
  <c r="A65"/>
  <c r="B88" i="2"/>
  <c r="C75" i="13"/>
  <c r="C96" s="1"/>
  <c r="C35"/>
  <c r="C75" i="12"/>
  <c r="C96" s="1"/>
  <c r="B77" s="1"/>
  <c r="D75"/>
  <c r="D96" s="1"/>
  <c r="C35"/>
  <c r="C75" i="11"/>
  <c r="C96"/>
  <c r="C35"/>
  <c r="D35"/>
  <c r="D94" s="1"/>
  <c r="C68" i="10"/>
  <c r="C89" s="1"/>
  <c r="C32"/>
  <c r="C73" i="8"/>
  <c r="C95" s="1"/>
  <c r="B75" s="1"/>
  <c r="C33"/>
  <c r="D58" i="3"/>
  <c r="E53" i="21"/>
  <c r="G75" i="34" s="1"/>
  <c r="C53" i="21"/>
  <c r="D64" i="34"/>
  <c r="D53" i="21" s="1"/>
  <c r="C64" i="34"/>
  <c r="G69" s="1"/>
  <c r="C53"/>
  <c r="C52" s="1"/>
  <c r="D29"/>
  <c r="C29"/>
  <c r="B17" i="21"/>
  <c r="C18" i="34"/>
  <c r="C19"/>
  <c r="C30" s="1"/>
  <c r="D6" s="1"/>
  <c r="A53" i="21"/>
  <c r="G58" i="3"/>
  <c r="H58"/>
  <c r="B58"/>
  <c r="C66" i="34"/>
  <c r="D66"/>
  <c r="D19" i="44"/>
  <c r="E19"/>
  <c r="E61" i="34" s="1"/>
  <c r="E64" s="1"/>
  <c r="B19" i="44"/>
  <c r="B20" i="5"/>
  <c r="B1" i="34"/>
  <c r="E1"/>
  <c r="H34"/>
  <c r="D37" i="43"/>
  <c r="A36"/>
  <c r="B99" i="2"/>
  <c r="D100"/>
  <c r="A76" i="43"/>
  <c r="A32" i="2"/>
  <c r="D35" i="13"/>
  <c r="D94"/>
  <c r="D75"/>
  <c r="D96"/>
  <c r="D35" i="12"/>
  <c r="D94" s="1"/>
  <c r="D68" i="10"/>
  <c r="D89" s="1"/>
  <c r="D32"/>
  <c r="D87" s="1"/>
  <c r="D33" i="8"/>
  <c r="D93" s="1"/>
  <c r="D73"/>
  <c r="D95" s="1"/>
  <c r="C98" i="7"/>
  <c r="D98"/>
  <c r="D79" i="12"/>
  <c r="D39"/>
  <c r="D39" i="11"/>
  <c r="D79"/>
  <c r="D72" i="10"/>
  <c r="D36"/>
  <c r="D77" i="8"/>
  <c r="D37"/>
  <c r="D35" i="34"/>
  <c r="D70"/>
  <c r="D102" i="7"/>
  <c r="D39" i="13"/>
  <c r="D96" i="11"/>
  <c r="D79" i="13"/>
  <c r="A42" i="21"/>
  <c r="A41"/>
  <c r="A40"/>
  <c r="A39"/>
  <c r="D63" i="54"/>
  <c r="E61"/>
  <c r="F43" i="21"/>
  <c r="D61" i="54"/>
  <c r="D60"/>
  <c r="C61"/>
  <c r="C60"/>
  <c r="E48"/>
  <c r="E47"/>
  <c r="D48"/>
  <c r="C48"/>
  <c r="C49" s="1"/>
  <c r="C62" s="1"/>
  <c r="D47"/>
  <c r="E30"/>
  <c r="F42" i="21"/>
  <c r="D30" i="54"/>
  <c r="D42" i="21"/>
  <c r="C30" i="54"/>
  <c r="C33" s="1"/>
  <c r="B42" i="21"/>
  <c r="E17" i="54"/>
  <c r="E16"/>
  <c r="D17"/>
  <c r="C17"/>
  <c r="D16"/>
  <c r="E5"/>
  <c r="E38" s="1"/>
  <c r="B63"/>
  <c r="B1"/>
  <c r="E61" i="53"/>
  <c r="E46" i="3" s="1"/>
  <c r="D61" i="53"/>
  <c r="D64" s="1"/>
  <c r="C61"/>
  <c r="E48"/>
  <c r="E47" s="1"/>
  <c r="D48"/>
  <c r="D47" s="1"/>
  <c r="C48"/>
  <c r="C49" s="1"/>
  <c r="C47"/>
  <c r="E30"/>
  <c r="F40" i="21"/>
  <c r="D30" i="53"/>
  <c r="D33"/>
  <c r="C30"/>
  <c r="B40" i="21"/>
  <c r="E17" i="53"/>
  <c r="E16"/>
  <c r="D17"/>
  <c r="D16"/>
  <c r="C17"/>
  <c r="C18"/>
  <c r="C31" s="1"/>
  <c r="E1"/>
  <c r="D5" s="1"/>
  <c r="D38" s="1"/>
  <c r="B1"/>
  <c r="A92" i="43"/>
  <c r="A91"/>
  <c r="A90"/>
  <c r="A89"/>
  <c r="A88"/>
  <c r="A34" i="48"/>
  <c r="A77" i="47"/>
  <c r="A74"/>
  <c r="A33"/>
  <c r="A28"/>
  <c r="A25"/>
  <c r="A16"/>
  <c r="A6"/>
  <c r="A33" i="48"/>
  <c r="A6"/>
  <c r="A38" i="49"/>
  <c r="A33"/>
  <c r="A19"/>
  <c r="A6"/>
  <c r="A46" i="50"/>
  <c r="A41"/>
  <c r="A6"/>
  <c r="A8" i="51"/>
  <c r="B66" i="7"/>
  <c r="B67"/>
  <c r="B68"/>
  <c r="B65"/>
  <c r="B64"/>
  <c r="B63"/>
  <c r="B62"/>
  <c r="B61"/>
  <c r="D115" i="9"/>
  <c r="E68" i="7"/>
  <c r="C115" i="9"/>
  <c r="D68" i="7"/>
  <c r="B115" i="9"/>
  <c r="C68" i="7"/>
  <c r="D109" i="9"/>
  <c r="E67" i="7"/>
  <c r="C109" i="9"/>
  <c r="D67" i="7"/>
  <c r="B109" i="9"/>
  <c r="C67" i="7"/>
  <c r="D103" i="9"/>
  <c r="E66" i="7"/>
  <c r="C103" i="9"/>
  <c r="D66" i="7"/>
  <c r="B103" i="9"/>
  <c r="C66" i="7"/>
  <c r="D97" i="9"/>
  <c r="E65" i="7"/>
  <c r="C97" i="9"/>
  <c r="D65" i="7"/>
  <c r="B97" i="9"/>
  <c r="C65" i="7"/>
  <c r="D90" i="9"/>
  <c r="E64" i="7"/>
  <c r="C90" i="9"/>
  <c r="D64" i="7"/>
  <c r="B90" i="9"/>
  <c r="C64" i="7"/>
  <c r="D84" i="9"/>
  <c r="E63" i="7"/>
  <c r="C84" i="9"/>
  <c r="D63" i="7"/>
  <c r="B84" i="9"/>
  <c r="C63" i="7"/>
  <c r="D77" i="9"/>
  <c r="E62" i="7"/>
  <c r="C77" i="9"/>
  <c r="D62" i="7"/>
  <c r="B77" i="9"/>
  <c r="C62" i="7"/>
  <c r="D71" i="9"/>
  <c r="E61" i="7"/>
  <c r="C71" i="9"/>
  <c r="D61" i="7"/>
  <c r="B71" i="9"/>
  <c r="C61" i="7"/>
  <c r="D23" i="44"/>
  <c r="D25" s="1"/>
  <c r="E31" i="2"/>
  <c r="A103"/>
  <c r="A102"/>
  <c r="D84"/>
  <c r="C30" i="14"/>
  <c r="C17"/>
  <c r="D30"/>
  <c r="D29"/>
  <c r="E30"/>
  <c r="E33" i="3"/>
  <c r="C32" i="14"/>
  <c r="D32"/>
  <c r="C54"/>
  <c r="B29" i="21"/>
  <c r="D54" i="14"/>
  <c r="D53"/>
  <c r="E54"/>
  <c r="C56"/>
  <c r="D56"/>
  <c r="C31" i="15"/>
  <c r="C30" s="1"/>
  <c r="D31"/>
  <c r="E31"/>
  <c r="F30" i="21"/>
  <c r="C33" i="15"/>
  <c r="D33"/>
  <c r="C54"/>
  <c r="D54"/>
  <c r="D31" i="21" s="1"/>
  <c r="E54" i="15"/>
  <c r="C56"/>
  <c r="D56"/>
  <c r="C35" i="16"/>
  <c r="B32" i="21"/>
  <c r="D35" i="16"/>
  <c r="E35"/>
  <c r="E34" s="1"/>
  <c r="C37"/>
  <c r="D37"/>
  <c r="C59"/>
  <c r="C62" s="1"/>
  <c r="D59"/>
  <c r="E59"/>
  <c r="E38" i="3" s="1"/>
  <c r="C61" i="16"/>
  <c r="D61"/>
  <c r="C23" i="17"/>
  <c r="B34" i="21"/>
  <c r="D23" i="17"/>
  <c r="D34" i="21"/>
  <c r="E23" i="17"/>
  <c r="E22"/>
  <c r="C25"/>
  <c r="D25"/>
  <c r="C54"/>
  <c r="D54"/>
  <c r="E54"/>
  <c r="C56"/>
  <c r="D56"/>
  <c r="C23" i="18"/>
  <c r="B36" i="21" s="1"/>
  <c r="D23" i="18"/>
  <c r="D22" s="1"/>
  <c r="E23"/>
  <c r="E41" i="3" s="1"/>
  <c r="D25" i="18"/>
  <c r="C25"/>
  <c r="C47"/>
  <c r="C46" s="1"/>
  <c r="D47"/>
  <c r="D37" i="21" s="1"/>
  <c r="E47" i="18"/>
  <c r="E46" s="1"/>
  <c r="C49"/>
  <c r="D49"/>
  <c r="C21" i="19"/>
  <c r="D21"/>
  <c r="D20"/>
  <c r="E21"/>
  <c r="D23"/>
  <c r="C23"/>
  <c r="C52"/>
  <c r="B39" i="21" s="1"/>
  <c r="D52" i="19"/>
  <c r="D55" s="1"/>
  <c r="E52"/>
  <c r="E51" s="1"/>
  <c r="C55"/>
  <c r="C45" i="35"/>
  <c r="D45"/>
  <c r="D44" i="21" s="1"/>
  <c r="E45" i="35"/>
  <c r="E44" s="1"/>
  <c r="F44" i="21"/>
  <c r="D47" i="35"/>
  <c r="C47"/>
  <c r="C52" i="36"/>
  <c r="B45" i="21"/>
  <c r="D52" i="36"/>
  <c r="D51"/>
  <c r="E52"/>
  <c r="C54"/>
  <c r="D54"/>
  <c r="C27" i="37"/>
  <c r="B46" i="21" s="1"/>
  <c r="D27" i="37"/>
  <c r="E27"/>
  <c r="E26"/>
  <c r="D29"/>
  <c r="C29"/>
  <c r="C37" i="38"/>
  <c r="D37"/>
  <c r="E37"/>
  <c r="F47" i="21"/>
  <c r="D39" i="38"/>
  <c r="C39"/>
  <c r="D56" i="9"/>
  <c r="E60" i="7"/>
  <c r="D49" i="9"/>
  <c r="E59" i="7"/>
  <c r="D42" i="9"/>
  <c r="E58" i="7"/>
  <c r="D36" i="9"/>
  <c r="E57" i="7"/>
  <c r="D30" i="9"/>
  <c r="E56" i="7"/>
  <c r="D24" i="9"/>
  <c r="E55" i="7"/>
  <c r="C56" i="9"/>
  <c r="D60" i="7"/>
  <c r="C49" i="9"/>
  <c r="D59" i="7"/>
  <c r="C42" i="9"/>
  <c r="D58" i="7"/>
  <c r="C36" i="9"/>
  <c r="D57" i="7"/>
  <c r="C30" i="9"/>
  <c r="D56" i="7"/>
  <c r="C24" i="9"/>
  <c r="D55" i="7"/>
  <c r="D18" i="9"/>
  <c r="E54" i="7"/>
  <c r="C12" i="9"/>
  <c r="D53" i="7"/>
  <c r="C18" i="9"/>
  <c r="D54" i="7"/>
  <c r="B56" i="9"/>
  <c r="C60" i="7"/>
  <c r="B49" i="9"/>
  <c r="C59" i="7"/>
  <c r="B42" i="9"/>
  <c r="C58" i="7"/>
  <c r="B36" i="9"/>
  <c r="C57" i="7"/>
  <c r="B30" i="9"/>
  <c r="C56" i="7"/>
  <c r="B24" i="9"/>
  <c r="C55" i="7"/>
  <c r="B18" i="9"/>
  <c r="C54" i="7"/>
  <c r="D12" i="9"/>
  <c r="E53" i="7"/>
  <c r="B12" i="9"/>
  <c r="B59" i="7"/>
  <c r="B60"/>
  <c r="B58"/>
  <c r="B57"/>
  <c r="B56"/>
  <c r="B55"/>
  <c r="B54"/>
  <c r="B53"/>
  <c r="J6" i="24"/>
  <c r="D33" i="11"/>
  <c r="D30" i="10"/>
  <c r="D66"/>
  <c r="D65"/>
  <c r="D31" i="8"/>
  <c r="D30"/>
  <c r="D71"/>
  <c r="C73" i="13"/>
  <c r="G78" s="1"/>
  <c r="C60"/>
  <c r="C61" s="1"/>
  <c r="C74" s="1"/>
  <c r="D73"/>
  <c r="D72"/>
  <c r="C33"/>
  <c r="C94"/>
  <c r="C20"/>
  <c r="C21"/>
  <c r="C34" s="1"/>
  <c r="D33"/>
  <c r="D32" s="1"/>
  <c r="C73" i="12"/>
  <c r="G78" s="1"/>
  <c r="C60"/>
  <c r="C61" s="1"/>
  <c r="C74" s="1"/>
  <c r="D73"/>
  <c r="C33"/>
  <c r="G38" s="1"/>
  <c r="C20"/>
  <c r="C21" s="1"/>
  <c r="C34" s="1"/>
  <c r="D33"/>
  <c r="D24" i="21"/>
  <c r="C73" i="11"/>
  <c r="G78"/>
  <c r="C60"/>
  <c r="C61"/>
  <c r="C74" s="1"/>
  <c r="D73"/>
  <c r="C33"/>
  <c r="C94" s="1"/>
  <c r="G38"/>
  <c r="C20"/>
  <c r="C21"/>
  <c r="C34" s="1"/>
  <c r="C66" i="10"/>
  <c r="G71" s="1"/>
  <c r="C53"/>
  <c r="C54" s="1"/>
  <c r="C67" s="1"/>
  <c r="C90" s="1"/>
  <c r="C30"/>
  <c r="C17"/>
  <c r="C18" s="1"/>
  <c r="C31" s="1"/>
  <c r="C71" i="8"/>
  <c r="G76" s="1"/>
  <c r="C58"/>
  <c r="C31"/>
  <c r="G36"/>
  <c r="C18"/>
  <c r="C41" i="7"/>
  <c r="E1" i="13"/>
  <c r="H86"/>
  <c r="E1" i="12"/>
  <c r="H86"/>
  <c r="E1" i="11"/>
  <c r="H86"/>
  <c r="E1" i="10"/>
  <c r="H79"/>
  <c r="E1" i="8"/>
  <c r="H84"/>
  <c r="E1" i="7"/>
  <c r="H108"/>
  <c r="E1" i="14"/>
  <c r="D5"/>
  <c r="D38" s="1"/>
  <c r="E1" i="15"/>
  <c r="E5" s="1"/>
  <c r="E39" s="1"/>
  <c r="E1" i="16"/>
  <c r="D5" s="1"/>
  <c r="D43" s="1"/>
  <c r="E1" i="17"/>
  <c r="E1" i="18"/>
  <c r="D5"/>
  <c r="D31" s="1"/>
  <c r="E1" i="19"/>
  <c r="E1" i="37"/>
  <c r="B29" s="1"/>
  <c r="E1" i="38"/>
  <c r="B39" s="1"/>
  <c r="F1" i="44"/>
  <c r="C5" s="1"/>
  <c r="E15" i="2"/>
  <c r="G16"/>
  <c r="D15"/>
  <c r="A57"/>
  <c r="J28" i="42"/>
  <c r="J17"/>
  <c r="J18" s="1"/>
  <c r="J29" s="1"/>
  <c r="J30" s="1"/>
  <c r="H28"/>
  <c r="H17"/>
  <c r="H18"/>
  <c r="F28"/>
  <c r="F17"/>
  <c r="F18" s="1"/>
  <c r="F29" s="1"/>
  <c r="F30" s="1"/>
  <c r="D28"/>
  <c r="D17"/>
  <c r="D18" s="1"/>
  <c r="D29" s="1"/>
  <c r="D30" s="1"/>
  <c r="B28"/>
  <c r="K28" s="1"/>
  <c r="B51" i="21" s="1"/>
  <c r="B17" i="42"/>
  <c r="J22" i="41"/>
  <c r="J14"/>
  <c r="J15"/>
  <c r="H22"/>
  <c r="H14"/>
  <c r="F22"/>
  <c r="F14"/>
  <c r="F15" s="1"/>
  <c r="D22"/>
  <c r="D14"/>
  <c r="D15"/>
  <c r="B22"/>
  <c r="B14"/>
  <c r="B15" s="1"/>
  <c r="J22" i="40"/>
  <c r="J14"/>
  <c r="J15"/>
  <c r="J23" s="1"/>
  <c r="J24" s="1"/>
  <c r="H22"/>
  <c r="H14"/>
  <c r="H15" s="1"/>
  <c r="F14"/>
  <c r="F15" s="1"/>
  <c r="F22"/>
  <c r="D14"/>
  <c r="D15"/>
  <c r="D22"/>
  <c r="B14"/>
  <c r="B15" s="1"/>
  <c r="B22"/>
  <c r="J14" i="39"/>
  <c r="J15"/>
  <c r="J23" s="1"/>
  <c r="J24" s="1"/>
  <c r="J22"/>
  <c r="H14"/>
  <c r="H22"/>
  <c r="F14"/>
  <c r="F15" s="1"/>
  <c r="F23" s="1"/>
  <c r="F24" s="1"/>
  <c r="F22"/>
  <c r="D14"/>
  <c r="D15"/>
  <c r="D23" s="1"/>
  <c r="D24" s="1"/>
  <c r="D22"/>
  <c r="B22"/>
  <c r="B14"/>
  <c r="B15"/>
  <c r="I5" i="42"/>
  <c r="G5"/>
  <c r="E5"/>
  <c r="C5"/>
  <c r="A5"/>
  <c r="E28" i="24"/>
  <c r="G11"/>
  <c r="E14"/>
  <c r="E15"/>
  <c r="E19"/>
  <c r="E20"/>
  <c r="E21"/>
  <c r="G24"/>
  <c r="K1" i="42"/>
  <c r="F2"/>
  <c r="K1" i="41"/>
  <c r="F2"/>
  <c r="K1" i="40"/>
  <c r="F2"/>
  <c r="K1" i="39"/>
  <c r="F2"/>
  <c r="J52" i="21"/>
  <c r="E1" i="43"/>
  <c r="A49" s="1"/>
  <c r="D62" i="3"/>
  <c r="E9" i="14"/>
  <c r="D9"/>
  <c r="E15" i="7"/>
  <c r="E16"/>
  <c r="E14"/>
  <c r="D6" i="44"/>
  <c r="E6"/>
  <c r="E93" i="7" s="1"/>
  <c r="D7" i="44"/>
  <c r="E7"/>
  <c r="E42" i="57" s="1"/>
  <c r="E45" s="1"/>
  <c r="D9" i="44"/>
  <c r="E9"/>
  <c r="E28" i="8"/>
  <c r="E31" s="1"/>
  <c r="E23" i="3" s="1"/>
  <c r="D10" i="44"/>
  <c r="E10"/>
  <c r="E68" i="8" s="1"/>
  <c r="E71" s="1"/>
  <c r="D11" i="44"/>
  <c r="E11"/>
  <c r="D12"/>
  <c r="E12"/>
  <c r="E63" i="10" s="1"/>
  <c r="E66" s="1"/>
  <c r="D13" i="44"/>
  <c r="E13"/>
  <c r="E30" i="11"/>
  <c r="E33" s="1"/>
  <c r="D14" i="44"/>
  <c r="E14"/>
  <c r="E70" i="11" s="1"/>
  <c r="E73" s="1"/>
  <c r="D15" i="44"/>
  <c r="E15"/>
  <c r="E30" i="12" s="1"/>
  <c r="E33" s="1"/>
  <c r="D16" i="44"/>
  <c r="E16"/>
  <c r="E70" i="12" s="1"/>
  <c r="E73" s="1"/>
  <c r="E77" s="1"/>
  <c r="D18" i="44"/>
  <c r="E18"/>
  <c r="E70" i="13"/>
  <c r="E73" s="1"/>
  <c r="D17" i="44"/>
  <c r="E17"/>
  <c r="E30" i="13" s="1"/>
  <c r="E33" s="1"/>
  <c r="A1" i="44"/>
  <c r="B18"/>
  <c r="B17"/>
  <c r="B16"/>
  <c r="B15"/>
  <c r="B14"/>
  <c r="B13"/>
  <c r="B12"/>
  <c r="B11"/>
  <c r="B10"/>
  <c r="B9"/>
  <c r="B7"/>
  <c r="B6"/>
  <c r="E14" i="18"/>
  <c r="E13" s="1"/>
  <c r="D14"/>
  <c r="D13" s="1"/>
  <c r="C14"/>
  <c r="E46" i="14"/>
  <c r="D46"/>
  <c r="D45" s="1"/>
  <c r="C46"/>
  <c r="C45" s="1"/>
  <c r="E21" i="38"/>
  <c r="E20" s="1"/>
  <c r="D21"/>
  <c r="D20" s="1"/>
  <c r="C21"/>
  <c r="D36"/>
  <c r="E13" i="37"/>
  <c r="E12" s="1"/>
  <c r="D13"/>
  <c r="D12" s="1"/>
  <c r="C13"/>
  <c r="C12" s="1"/>
  <c r="E17" i="36"/>
  <c r="E16" s="1"/>
  <c r="D17"/>
  <c r="D16" s="1"/>
  <c r="C17"/>
  <c r="C16" s="1"/>
  <c r="C51"/>
  <c r="E19" i="35"/>
  <c r="E18"/>
  <c r="D19"/>
  <c r="D18"/>
  <c r="C19"/>
  <c r="C20"/>
  <c r="C46" s="1"/>
  <c r="C18"/>
  <c r="C44"/>
  <c r="D51" i="19"/>
  <c r="C51"/>
  <c r="E39"/>
  <c r="E38" s="1"/>
  <c r="D39"/>
  <c r="D38" s="1"/>
  <c r="C39"/>
  <c r="C38" s="1"/>
  <c r="E13"/>
  <c r="E12" s="1"/>
  <c r="D13"/>
  <c r="D12" s="1"/>
  <c r="C13"/>
  <c r="C14" s="1"/>
  <c r="E39" i="18"/>
  <c r="E38" s="1"/>
  <c r="D39"/>
  <c r="D38" s="1"/>
  <c r="C39"/>
  <c r="C38" s="1"/>
  <c r="E22"/>
  <c r="E53" i="17"/>
  <c r="E41"/>
  <c r="E40" s="1"/>
  <c r="D41"/>
  <c r="D40" s="1"/>
  <c r="C41"/>
  <c r="C42" s="1"/>
  <c r="C55" s="1"/>
  <c r="E14"/>
  <c r="E13" s="1"/>
  <c r="D14"/>
  <c r="D13" s="1"/>
  <c r="C14"/>
  <c r="C15" s="1"/>
  <c r="E21" i="16"/>
  <c r="E20" s="1"/>
  <c r="D21"/>
  <c r="D20" s="1"/>
  <c r="C21"/>
  <c r="D34"/>
  <c r="E51"/>
  <c r="E50" s="1"/>
  <c r="D51"/>
  <c r="D50" s="1"/>
  <c r="C51"/>
  <c r="C50" s="1"/>
  <c r="C58"/>
  <c r="E17" i="15"/>
  <c r="E16"/>
  <c r="D17"/>
  <c r="D16"/>
  <c r="C17"/>
  <c r="C16"/>
  <c r="E47"/>
  <c r="E46"/>
  <c r="D47"/>
  <c r="D46"/>
  <c r="C47"/>
  <c r="C48"/>
  <c r="E8" i="14"/>
  <c r="E17"/>
  <c r="E16" s="1"/>
  <c r="D8"/>
  <c r="C72" i="13"/>
  <c r="C59"/>
  <c r="C19"/>
  <c r="C32"/>
  <c r="C72" i="12"/>
  <c r="C59"/>
  <c r="D32"/>
  <c r="C32"/>
  <c r="C19"/>
  <c r="D72" i="11"/>
  <c r="C72"/>
  <c r="C59"/>
  <c r="C19"/>
  <c r="C52" i="10"/>
  <c r="D29"/>
  <c r="D27" i="44"/>
  <c r="D29" s="1"/>
  <c r="E1" i="35"/>
  <c r="E5" s="1"/>
  <c r="E1" i="36"/>
  <c r="E5" s="1"/>
  <c r="A96" i="43"/>
  <c r="A95"/>
  <c r="A94"/>
  <c r="A93"/>
  <c r="A87"/>
  <c r="A86"/>
  <c r="A85"/>
  <c r="A84"/>
  <c r="A83"/>
  <c r="A82"/>
  <c r="A81"/>
  <c r="A80"/>
  <c r="A79"/>
  <c r="A78"/>
  <c r="A77"/>
  <c r="A75"/>
  <c r="A74"/>
  <c r="A73"/>
  <c r="A72"/>
  <c r="A71"/>
  <c r="A70"/>
  <c r="A69"/>
  <c r="A68"/>
  <c r="A67"/>
  <c r="A66"/>
  <c r="A64"/>
  <c r="A63"/>
  <c r="C27" i="21"/>
  <c r="C26"/>
  <c r="C25"/>
  <c r="C24"/>
  <c r="C23"/>
  <c r="C22"/>
  <c r="C21"/>
  <c r="C20"/>
  <c r="C19"/>
  <c r="C18"/>
  <c r="G1" i="5"/>
  <c r="C6" s="1"/>
  <c r="C35" i="32"/>
  <c r="C37" s="1"/>
  <c r="B55" i="21" s="1"/>
  <c r="B56" i="3"/>
  <c r="B55"/>
  <c r="B54"/>
  <c r="B53"/>
  <c r="A51" i="21"/>
  <c r="A50"/>
  <c r="A49"/>
  <c r="A48"/>
  <c r="M1" i="22"/>
  <c r="G7"/>
  <c r="D106" i="2"/>
  <c r="E106"/>
  <c r="A13"/>
  <c r="A105"/>
  <c r="K7" i="42"/>
  <c r="A1"/>
  <c r="A1" i="41"/>
  <c r="A1" i="40"/>
  <c r="A1" i="39"/>
  <c r="B1" i="22"/>
  <c r="J1" i="24"/>
  <c r="A31" i="2"/>
  <c r="A21" i="33"/>
  <c r="A27"/>
  <c r="A15"/>
  <c r="A4"/>
  <c r="E35" i="32"/>
  <c r="E37" s="1"/>
  <c r="F55" i="21" s="1"/>
  <c r="D35" i="32"/>
  <c r="D37"/>
  <c r="D55" i="21" s="1"/>
  <c r="G37" i="22"/>
  <c r="F65" i="21" s="1"/>
  <c r="G27" i="22"/>
  <c r="F64" i="21" s="1"/>
  <c r="G18" i="22"/>
  <c r="F63" i="21" s="1"/>
  <c r="E27"/>
  <c r="G84" i="13" s="1"/>
  <c r="E26" i="21"/>
  <c r="G44" i="13" s="1"/>
  <c r="E25" i="21"/>
  <c r="G84" i="12" s="1"/>
  <c r="E24" i="21"/>
  <c r="G44" i="12" s="1"/>
  <c r="E23" i="21"/>
  <c r="G84" i="11" s="1"/>
  <c r="E22" i="21"/>
  <c r="G44" i="11" s="1"/>
  <c r="E21" i="21"/>
  <c r="G77" i="10" s="1"/>
  <c r="E20" i="21"/>
  <c r="G41" i="10" s="1"/>
  <c r="E19" i="21"/>
  <c r="G82" i="8" s="1"/>
  <c r="E18" i="21"/>
  <c r="G42" i="8" s="1"/>
  <c r="E16" i="21"/>
  <c r="G56" i="57" s="1"/>
  <c r="E15" i="21"/>
  <c r="G107" i="7" s="1"/>
  <c r="D47" i="21"/>
  <c r="B44"/>
  <c r="D56" i="3"/>
  <c r="D55"/>
  <c r="D54"/>
  <c r="D53"/>
  <c r="D52"/>
  <c r="D51"/>
  <c r="D50"/>
  <c r="D49"/>
  <c r="E27" i="58"/>
  <c r="M43" i="21"/>
  <c r="G27" i="58"/>
  <c r="A16" i="21"/>
  <c r="C16"/>
  <c r="A43"/>
  <c r="A35" i="43"/>
  <c r="A34"/>
  <c r="A33"/>
  <c r="A32"/>
  <c r="A31"/>
  <c r="A30"/>
  <c r="A29"/>
  <c r="A28"/>
  <c r="A27"/>
  <c r="A26"/>
  <c r="C23" i="3"/>
  <c r="C21"/>
  <c r="B8" i="5"/>
  <c r="B1"/>
  <c r="F1" i="32"/>
  <c r="D7" s="1"/>
  <c r="A1"/>
  <c r="M18" i="22"/>
  <c r="M27"/>
  <c r="M37"/>
  <c r="L18"/>
  <c r="L27"/>
  <c r="L37"/>
  <c r="K18"/>
  <c r="K27"/>
  <c r="K37"/>
  <c r="J18"/>
  <c r="J27"/>
  <c r="J37"/>
  <c r="I1" i="23"/>
  <c r="G9"/>
  <c r="D1" i="9"/>
  <c r="D4"/>
  <c r="B2" i="3"/>
  <c r="A1" i="43"/>
  <c r="B5" i="35"/>
  <c r="B1"/>
  <c r="B5" i="36"/>
  <c r="B1"/>
  <c r="B5" i="37"/>
  <c r="B1"/>
  <c r="B5" i="38"/>
  <c r="B1"/>
  <c r="I5" i="41"/>
  <c r="G5"/>
  <c r="E5"/>
  <c r="C5"/>
  <c r="A5"/>
  <c r="I5" i="40"/>
  <c r="G5"/>
  <c r="E5"/>
  <c r="C5"/>
  <c r="A5"/>
  <c r="I5" i="39"/>
  <c r="G5"/>
  <c r="E5"/>
  <c r="C5"/>
  <c r="A5"/>
  <c r="D66" i="21"/>
  <c r="D65"/>
  <c r="D64"/>
  <c r="D63"/>
  <c r="D67"/>
  <c r="B66"/>
  <c r="B65"/>
  <c r="B64"/>
  <c r="B63"/>
  <c r="B98" i="2"/>
  <c r="B97"/>
  <c r="B96"/>
  <c r="B95"/>
  <c r="B94"/>
  <c r="B93"/>
  <c r="B92"/>
  <c r="B91"/>
  <c r="B90"/>
  <c r="B89"/>
  <c r="B87"/>
  <c r="A85"/>
  <c r="D85"/>
  <c r="A55" i="43"/>
  <c r="K7" i="41"/>
  <c r="K7" i="40"/>
  <c r="K7" i="39"/>
  <c r="A7" i="33"/>
  <c r="A13"/>
  <c r="D32" i="3"/>
  <c r="D31"/>
  <c r="A27" i="21"/>
  <c r="B32" i="3"/>
  <c r="B31"/>
  <c r="A47" i="21"/>
  <c r="A46"/>
  <c r="A45"/>
  <c r="C32" i="3"/>
  <c r="C31"/>
  <c r="B52"/>
  <c r="B51"/>
  <c r="B50"/>
  <c r="B19" i="5"/>
  <c r="B18"/>
  <c r="B44" i="13"/>
  <c r="C30" i="3"/>
  <c r="C29"/>
  <c r="C28"/>
  <c r="C27"/>
  <c r="C26"/>
  <c r="C25"/>
  <c r="C24"/>
  <c r="C20"/>
  <c r="D43"/>
  <c r="D42"/>
  <c r="D41"/>
  <c r="D40"/>
  <c r="D39"/>
  <c r="D38"/>
  <c r="D37"/>
  <c r="D36"/>
  <c r="D35"/>
  <c r="D34"/>
  <c r="D33"/>
  <c r="D30"/>
  <c r="D29"/>
  <c r="D28"/>
  <c r="D27"/>
  <c r="D26"/>
  <c r="D25"/>
  <c r="D24"/>
  <c r="D23"/>
  <c r="B49"/>
  <c r="B43"/>
  <c r="B42"/>
  <c r="B41"/>
  <c r="B40"/>
  <c r="B39"/>
  <c r="B38"/>
  <c r="B37"/>
  <c r="B36"/>
  <c r="B35"/>
  <c r="B34"/>
  <c r="B33"/>
  <c r="B30"/>
  <c r="B29"/>
  <c r="B28"/>
  <c r="B27"/>
  <c r="B26"/>
  <c r="B25"/>
  <c r="B24"/>
  <c r="B23"/>
  <c r="D61"/>
  <c r="B4"/>
  <c r="E40"/>
  <c r="C1" i="24"/>
  <c r="A1" i="9"/>
  <c r="A61"/>
  <c r="B50" i="7"/>
  <c r="B46"/>
  <c r="B6"/>
  <c r="B1"/>
  <c r="B86" i="2"/>
  <c r="B1" i="23"/>
  <c r="I24"/>
  <c r="H24"/>
  <c r="G24"/>
  <c r="F66" i="21"/>
  <c r="B17" i="5"/>
  <c r="B16"/>
  <c r="B15"/>
  <c r="B14"/>
  <c r="B13"/>
  <c r="B12"/>
  <c r="B11"/>
  <c r="B10"/>
  <c r="B7"/>
  <c r="B44" i="12"/>
  <c r="B5"/>
  <c r="B1"/>
  <c r="B5" i="13"/>
  <c r="B1"/>
  <c r="B39" i="15"/>
  <c r="B5"/>
  <c r="B1"/>
  <c r="B43" i="16"/>
  <c r="B5"/>
  <c r="B1"/>
  <c r="B31" i="17"/>
  <c r="B5"/>
  <c r="B1"/>
  <c r="B31" i="18"/>
  <c r="B5"/>
  <c r="B1"/>
  <c r="B5" i="19"/>
  <c r="B1"/>
  <c r="B5" i="8"/>
  <c r="B42"/>
  <c r="B1"/>
  <c r="B41" i="10"/>
  <c r="B5"/>
  <c r="B1"/>
  <c r="B44" i="11"/>
  <c r="B5"/>
  <c r="B1"/>
  <c r="B38" i="14"/>
  <c r="B5"/>
  <c r="B1"/>
  <c r="A44" i="21"/>
  <c r="A38"/>
  <c r="A37"/>
  <c r="A36"/>
  <c r="A35"/>
  <c r="A34"/>
  <c r="A33"/>
  <c r="A32"/>
  <c r="A31"/>
  <c r="A30"/>
  <c r="A29"/>
  <c r="A28"/>
  <c r="A26"/>
  <c r="A25"/>
  <c r="A24"/>
  <c r="A23"/>
  <c r="A22"/>
  <c r="A21"/>
  <c r="A20"/>
  <c r="A19"/>
  <c r="A18"/>
  <c r="C15"/>
  <c r="B33"/>
  <c r="B27"/>
  <c r="B26"/>
  <c r="B25"/>
  <c r="B24"/>
  <c r="B23"/>
  <c r="D32"/>
  <c r="D28"/>
  <c r="D27"/>
  <c r="D26"/>
  <c r="D23"/>
  <c r="D20"/>
  <c r="F35"/>
  <c r="F31"/>
  <c r="B57"/>
  <c r="B59"/>
  <c r="A4"/>
  <c r="A15"/>
  <c r="E45" i="14"/>
  <c r="C53"/>
  <c r="C32" i="11"/>
  <c r="B22" i="21"/>
  <c r="D32" i="11"/>
  <c r="D22" i="21"/>
  <c r="B7" i="3"/>
  <c r="H29" i="42"/>
  <c r="H30" s="1"/>
  <c r="D64" i="54"/>
  <c r="B32"/>
  <c r="C47"/>
  <c r="C29" i="53"/>
  <c r="A11" i="43"/>
  <c r="B5" i="44"/>
  <c r="B24" i="24"/>
  <c r="D62" i="21"/>
  <c r="A42" i="24"/>
  <c r="C64" i="54"/>
  <c r="E49" i="13"/>
  <c r="D29" i="54"/>
  <c r="C29"/>
  <c r="D33"/>
  <c r="C16" i="53"/>
  <c r="J41" i="21"/>
  <c r="D5" i="5"/>
  <c r="B75" i="13"/>
  <c r="C73" i="10"/>
  <c r="A54" i="43"/>
  <c r="A41"/>
  <c r="M62" i="21"/>
  <c r="C40" i="12"/>
  <c r="B8" i="3"/>
  <c r="J6" i="22"/>
  <c r="A53" i="43"/>
  <c r="C61"/>
  <c r="A21"/>
  <c r="A39"/>
  <c r="B33" i="8"/>
  <c r="C40" i="11"/>
  <c r="B75"/>
  <c r="B35" i="13"/>
  <c r="J54" i="21"/>
  <c r="E5" i="8"/>
  <c r="H9" i="23"/>
  <c r="I9"/>
  <c r="J55" i="21"/>
  <c r="C42" i="8"/>
  <c r="G38" i="13"/>
  <c r="D63" i="34"/>
  <c r="G50" i="57"/>
  <c r="E10" i="8"/>
  <c r="E10" i="12"/>
  <c r="E49" i="11"/>
  <c r="E50" i="13"/>
  <c r="E11"/>
  <c r="E50" i="12"/>
  <c r="E11"/>
  <c r="E50" i="11"/>
  <c r="E11"/>
  <c r="E11" i="10"/>
  <c r="E11" i="34"/>
  <c r="G18" i="58" s="1"/>
  <c r="E10" i="34"/>
  <c r="G17" i="58" s="1"/>
  <c r="E12" i="34"/>
  <c r="G19" i="58" s="1"/>
  <c r="B6" i="5"/>
  <c r="E5" i="13"/>
  <c r="E5" i="12"/>
  <c r="E5" i="11"/>
  <c r="B77"/>
  <c r="B37" i="13"/>
  <c r="E51"/>
  <c r="E51" i="11"/>
  <c r="E12" i="10"/>
  <c r="E12" i="13"/>
  <c r="E12" i="12"/>
  <c r="E51"/>
  <c r="E12" i="11"/>
  <c r="E12" i="8"/>
  <c r="E10" i="10"/>
  <c r="E10" i="11"/>
  <c r="E10" i="13"/>
  <c r="C44" i="11"/>
  <c r="E44"/>
  <c r="D44" i="12"/>
  <c r="C44" i="13"/>
  <c r="E44"/>
  <c r="H74" i="34"/>
  <c r="G22" i="8"/>
  <c r="G29"/>
  <c r="H32"/>
  <c r="H34"/>
  <c r="H37"/>
  <c r="H42"/>
  <c r="H44"/>
  <c r="G66"/>
  <c r="H71"/>
  <c r="H73"/>
  <c r="H76"/>
  <c r="H81"/>
  <c r="H83"/>
  <c r="H31" i="10"/>
  <c r="H71"/>
  <c r="G24" i="11"/>
  <c r="G31"/>
  <c r="H34"/>
  <c r="H36"/>
  <c r="H39"/>
  <c r="H44"/>
  <c r="H46"/>
  <c r="G68"/>
  <c r="H73"/>
  <c r="H75"/>
  <c r="H78"/>
  <c r="H83"/>
  <c r="H85"/>
  <c r="G24" i="12"/>
  <c r="H39"/>
  <c r="H73"/>
  <c r="H85"/>
  <c r="G24" i="13"/>
  <c r="G31"/>
  <c r="H34"/>
  <c r="H36"/>
  <c r="H39"/>
  <c r="H44"/>
  <c r="H46"/>
  <c r="G68"/>
  <c r="H73"/>
  <c r="H75"/>
  <c r="H78"/>
  <c r="H83"/>
  <c r="H85"/>
  <c r="E5" i="37"/>
  <c r="D5" i="38"/>
  <c r="C5" i="11"/>
  <c r="C5" i="13"/>
  <c r="D42" i="8"/>
  <c r="J61" i="21"/>
  <c r="C5" i="8"/>
  <c r="D5"/>
  <c r="J60" i="21"/>
  <c r="C40" i="13"/>
  <c r="C80" i="11"/>
  <c r="C78" i="8"/>
  <c r="C38"/>
  <c r="A56" i="43"/>
  <c r="A9"/>
  <c r="A10"/>
  <c r="A60"/>
  <c r="C37" i="10"/>
  <c r="A16" i="43"/>
  <c r="A8"/>
  <c r="C15" i="24"/>
  <c r="B9"/>
  <c r="A3"/>
  <c r="B18"/>
  <c r="B5"/>
  <c r="B73" i="8"/>
  <c r="B25" i="18"/>
  <c r="C80" i="13"/>
  <c r="A17" i="43"/>
  <c r="C14" i="24"/>
  <c r="A18" i="43"/>
  <c r="B54" i="19"/>
  <c r="B56" i="14"/>
  <c r="B35" i="11"/>
  <c r="E42" i="8"/>
  <c r="D5" i="11"/>
  <c r="D5" i="13"/>
  <c r="D44" i="11"/>
  <c r="D44" i="13"/>
  <c r="G26" i="8"/>
  <c r="H31"/>
  <c r="H33"/>
  <c r="H36"/>
  <c r="H41"/>
  <c r="H43"/>
  <c r="G62"/>
  <c r="G69"/>
  <c r="H72"/>
  <c r="H74"/>
  <c r="H77"/>
  <c r="H82"/>
  <c r="G57" i="10"/>
  <c r="G28" i="11"/>
  <c r="H33"/>
  <c r="H35"/>
  <c r="H38"/>
  <c r="H43"/>
  <c r="H45"/>
  <c r="G64"/>
  <c r="G71"/>
  <c r="H74"/>
  <c r="H76"/>
  <c r="H79"/>
  <c r="H84"/>
  <c r="H35" i="12"/>
  <c r="G64"/>
  <c r="H79"/>
  <c r="G28" i="13"/>
  <c r="H33"/>
  <c r="H35"/>
  <c r="H38"/>
  <c r="H43"/>
  <c r="H45"/>
  <c r="G64"/>
  <c r="G71"/>
  <c r="H74"/>
  <c r="H76"/>
  <c r="H79"/>
  <c r="H84"/>
  <c r="C5" i="19"/>
  <c r="C29" s="1"/>
  <c r="C5" i="54"/>
  <c r="C38" s="1"/>
  <c r="C5" i="38"/>
  <c r="F41" i="21"/>
  <c r="E60" i="53"/>
  <c r="D40" i="21"/>
  <c r="E45" i="3"/>
  <c r="C33" i="53"/>
  <c r="D29"/>
  <c r="E29"/>
  <c r="B43" i="21"/>
  <c r="E48" i="3"/>
  <c r="D43" i="21"/>
  <c r="E60" i="54"/>
  <c r="E47" i="3"/>
  <c r="E29" i="54"/>
  <c r="E26" i="34"/>
  <c r="E29"/>
  <c r="J27" i="13"/>
  <c r="J67"/>
  <c r="J68" i="12"/>
  <c r="J69"/>
  <c r="J67"/>
  <c r="J27"/>
  <c r="J68" i="11"/>
  <c r="J69"/>
  <c r="J67"/>
  <c r="J27"/>
  <c r="J61" i="10"/>
  <c r="J62"/>
  <c r="J60"/>
  <c r="J24"/>
  <c r="J60" i="34"/>
  <c r="J25" i="8"/>
  <c r="J40" i="57"/>
  <c r="J41"/>
  <c r="J39"/>
  <c r="E27" i="3"/>
  <c r="F76" i="11"/>
  <c r="C18" i="36"/>
  <c r="C53" s="1"/>
  <c r="D38" i="16"/>
  <c r="E29" i="14"/>
  <c r="D23" i="41"/>
  <c r="D24" s="1"/>
  <c r="J23"/>
  <c r="J24" s="1"/>
  <c r="L6" i="22"/>
  <c r="E7" i="32"/>
  <c r="B40" s="1"/>
  <c r="C7"/>
  <c r="G38" i="22"/>
  <c r="M38"/>
  <c r="L38"/>
  <c r="K38"/>
  <c r="J38"/>
  <c r="C5" i="37"/>
  <c r="D5"/>
  <c r="B37" i="16"/>
  <c r="C47" i="14"/>
  <c r="C55" s="1"/>
  <c r="C58"/>
  <c r="B32"/>
  <c r="D33"/>
  <c r="H70" i="34"/>
  <c r="B16" i="21"/>
  <c r="G57" i="34"/>
  <c r="E5"/>
  <c r="H30"/>
  <c r="H31"/>
  <c r="E40"/>
  <c r="B53" i="21"/>
  <c r="C61" i="57"/>
  <c r="C4" i="9"/>
  <c r="F23" i="40"/>
  <c r="F24" s="1"/>
  <c r="D23"/>
  <c r="D24" s="1"/>
  <c r="F23" i="41"/>
  <c r="F24" s="1"/>
  <c r="E58" i="16"/>
  <c r="E5"/>
  <c r="E43"/>
  <c r="B61"/>
  <c r="C13" i="17"/>
  <c r="C18" i="15"/>
  <c r="D38" i="21"/>
  <c r="D36"/>
  <c r="B37"/>
  <c r="D32" i="17"/>
  <c r="D42" s="1"/>
  <c r="D55"/>
  <c r="D29" i="21"/>
  <c r="C57" i="14"/>
  <c r="E5" i="38"/>
  <c r="E52" i="3"/>
  <c r="E36" i="38"/>
  <c r="D40"/>
  <c r="C30" i="37"/>
  <c r="C26"/>
  <c r="E51" i="3"/>
  <c r="F46" i="21"/>
  <c r="C14" i="37"/>
  <c r="C28"/>
  <c r="C55" i="36"/>
  <c r="D55"/>
  <c r="D45" i="21"/>
  <c r="D44" i="35"/>
  <c r="D48"/>
  <c r="C48"/>
  <c r="C5"/>
  <c r="E49" i="3"/>
  <c r="C26" i="18"/>
  <c r="K15" i="40"/>
  <c r="K14"/>
  <c r="C40" i="19"/>
  <c r="C53" s="1"/>
  <c r="D30" s="1"/>
  <c r="D40" s="1"/>
  <c r="D53" s="1"/>
  <c r="C24"/>
  <c r="C22"/>
  <c r="C25" s="1"/>
  <c r="D24"/>
  <c r="C12"/>
  <c r="C22" i="18"/>
  <c r="D46"/>
  <c r="C50"/>
  <c r="C40"/>
  <c r="C48"/>
  <c r="E5"/>
  <c r="E31" s="1"/>
  <c r="D50"/>
  <c r="F36" i="21"/>
  <c r="C57" i="17"/>
  <c r="E39" i="3"/>
  <c r="D57" i="17"/>
  <c r="B35" i="21"/>
  <c r="D22" i="17"/>
  <c r="F34" i="21"/>
  <c r="C22" i="17"/>
  <c r="C24"/>
  <c r="C27" s="1"/>
  <c r="C26"/>
  <c r="C40"/>
  <c r="C53"/>
  <c r="D26"/>
  <c r="F33" i="21"/>
  <c r="C5" i="16"/>
  <c r="C43"/>
  <c r="C52"/>
  <c r="C60"/>
  <c r="D62"/>
  <c r="C34"/>
  <c r="C38"/>
  <c r="D53" i="15"/>
  <c r="C46"/>
  <c r="E30"/>
  <c r="D57"/>
  <c r="B30" i="21"/>
  <c r="E35" i="3"/>
  <c r="C32" i="15"/>
  <c r="D6" s="1"/>
  <c r="D18" s="1"/>
  <c r="D32" s="1"/>
  <c r="C34"/>
  <c r="C5" i="14"/>
  <c r="C38" s="1"/>
  <c r="F28" i="21"/>
  <c r="E5" i="14"/>
  <c r="E38" s="1"/>
  <c r="D57"/>
  <c r="D21" i="21"/>
  <c r="C16" i="10"/>
  <c r="D6"/>
  <c r="D18" s="1"/>
  <c r="D31" s="1"/>
  <c r="D42"/>
  <c r="H32"/>
  <c r="H43"/>
  <c r="C65"/>
  <c r="H72"/>
  <c r="E41"/>
  <c r="B68"/>
  <c r="B21" i="21"/>
  <c r="D18"/>
  <c r="C93" i="8"/>
  <c r="B35"/>
  <c r="C30"/>
  <c r="B18" i="21"/>
  <c r="D87" i="34"/>
  <c r="C63"/>
  <c r="C54"/>
  <c r="C65"/>
  <c r="E29" i="58"/>
  <c r="C87" i="34"/>
  <c r="C17"/>
  <c r="C86"/>
  <c r="C46" i="57"/>
  <c r="D6" s="1"/>
  <c r="D20"/>
  <c r="D46" s="1"/>
  <c r="D62" s="1"/>
  <c r="B50" s="1"/>
  <c r="H45"/>
  <c r="H55"/>
  <c r="H47"/>
  <c r="D61"/>
  <c r="B49" s="1"/>
  <c r="C62"/>
  <c r="D44"/>
  <c r="G40"/>
  <c r="H48"/>
  <c r="H50"/>
  <c r="G36"/>
  <c r="D5"/>
  <c r="H51"/>
  <c r="H57"/>
  <c r="B19" i="21"/>
  <c r="C70" i="8"/>
  <c r="B117" i="9"/>
  <c r="C117"/>
  <c r="D117"/>
  <c r="D58"/>
  <c r="D118"/>
  <c r="D69" i="7"/>
  <c r="D96"/>
  <c r="D95" s="1"/>
  <c r="C58" i="9"/>
  <c r="C118" s="1"/>
  <c r="E69" i="7"/>
  <c r="H101"/>
  <c r="E6"/>
  <c r="E50" s="1"/>
  <c r="H107"/>
  <c r="B121" i="9"/>
  <c r="G94" i="7"/>
  <c r="B60" i="9"/>
  <c r="C105" i="7"/>
  <c r="B67" i="21"/>
  <c r="D17" i="14"/>
  <c r="D16" s="1"/>
  <c r="G16" i="24"/>
  <c r="E52" i="21"/>
  <c r="G46" i="11" s="1"/>
  <c r="F19" i="21"/>
  <c r="F74" i="8"/>
  <c r="F17" i="21"/>
  <c r="F32" i="34"/>
  <c r="E22" i="3"/>
  <c r="E49" i="57"/>
  <c r="E21" i="3"/>
  <c r="D20" i="44"/>
  <c r="F25" i="21"/>
  <c r="E35" i="8"/>
  <c r="F76" i="12"/>
  <c r="E77" i="11"/>
  <c r="E72" i="12"/>
  <c r="E30" i="3"/>
  <c r="E33" i="34"/>
  <c r="F34" i="8"/>
  <c r="F18" i="21"/>
  <c r="F23"/>
  <c r="E28" i="34"/>
  <c r="E30" i="8"/>
  <c r="D19" i="13"/>
  <c r="D59"/>
  <c r="D18" i="34"/>
  <c r="D17"/>
  <c r="E15" i="58"/>
  <c r="E22"/>
  <c r="D54" i="10"/>
  <c r="D67" s="1"/>
  <c r="D52"/>
  <c r="E60" i="13"/>
  <c r="G74" s="1"/>
  <c r="E20"/>
  <c r="G34"/>
  <c r="E20" i="11"/>
  <c r="G34"/>
  <c r="H69" i="10"/>
  <c r="H42"/>
  <c r="H30"/>
  <c r="H67" i="34"/>
  <c r="G27"/>
  <c r="E44" i="12"/>
  <c r="C6" i="7"/>
  <c r="C50" s="1"/>
  <c r="B56" i="15"/>
  <c r="B35" i="12"/>
  <c r="J62" i="21"/>
  <c r="C5" i="12"/>
  <c r="H83"/>
  <c r="H36"/>
  <c r="H68" i="10"/>
  <c r="H41"/>
  <c r="G28"/>
  <c r="H29" i="34"/>
  <c r="E5" i="10"/>
  <c r="B98" i="7"/>
  <c r="B66" i="34"/>
  <c r="C5" i="36"/>
  <c r="C5" i="15"/>
  <c r="C39" s="1"/>
  <c r="H74" i="12"/>
  <c r="H43"/>
  <c r="G28"/>
  <c r="H67" i="10"/>
  <c r="H40"/>
  <c r="G25"/>
  <c r="H65" i="34"/>
  <c r="H39"/>
  <c r="G22"/>
  <c r="H96" i="7"/>
  <c r="C44" i="12"/>
  <c r="B62" i="21"/>
  <c r="B75" i="12"/>
  <c r="D5" i="36"/>
  <c r="E5" i="53"/>
  <c r="E38" s="1"/>
  <c r="C5" i="18"/>
  <c r="C31" s="1"/>
  <c r="H78" i="12"/>
  <c r="H46"/>
  <c r="H34"/>
  <c r="H78" i="10"/>
  <c r="H66"/>
  <c r="H36"/>
  <c r="G21"/>
  <c r="H66" i="34"/>
  <c r="H40"/>
  <c r="H99" i="7"/>
  <c r="D6"/>
  <c r="D50" s="1"/>
  <c r="B31" i="34"/>
  <c r="B54" i="36"/>
  <c r="B32" i="53"/>
  <c r="J45" i="21"/>
  <c r="B13" i="3"/>
  <c r="E9"/>
  <c r="B4" i="9"/>
  <c r="H76" i="12"/>
  <c r="H45"/>
  <c r="H33"/>
  <c r="H41" i="34"/>
  <c r="H98" i="7"/>
  <c r="C41" i="10"/>
  <c r="D5"/>
  <c r="D12" i="21"/>
  <c r="G13"/>
  <c r="G68" i="12"/>
  <c r="H69" i="34"/>
  <c r="H42"/>
  <c r="H102" i="7"/>
  <c r="G87"/>
  <c r="J47" i="21"/>
  <c r="D5" i="34"/>
  <c r="D40"/>
  <c r="B32" i="10"/>
  <c r="G62" i="3"/>
  <c r="A23" i="44"/>
  <c r="H84" i="12"/>
  <c r="G71"/>
  <c r="H38"/>
  <c r="H77" i="10"/>
  <c r="G64"/>
  <c r="H35"/>
  <c r="H75" i="34"/>
  <c r="G62"/>
  <c r="H32"/>
  <c r="H106" i="7"/>
  <c r="G91"/>
  <c r="D5" i="12"/>
  <c r="B49" i="18"/>
  <c r="B33" i="15"/>
  <c r="F12" i="21"/>
  <c r="C103" i="7"/>
  <c r="J48" i="21"/>
  <c r="C5" i="10"/>
  <c r="C5" i="53"/>
  <c r="C38"/>
  <c r="D5" i="15"/>
  <c r="D39"/>
  <c r="H75" i="12"/>
  <c r="H44"/>
  <c r="G31"/>
  <c r="H76" i="10"/>
  <c r="G61"/>
  <c r="H33"/>
  <c r="H64" i="34"/>
  <c r="H35"/>
  <c r="H109" i="7"/>
  <c r="H97"/>
  <c r="D41" i="10"/>
  <c r="C5" i="34"/>
  <c r="C40"/>
  <c r="B63" i="53"/>
  <c r="F10" i="3"/>
  <c r="C80" i="12"/>
  <c r="D61" i="9"/>
  <c r="G43" i="57"/>
  <c r="C5"/>
  <c r="C52"/>
  <c r="B47"/>
  <c r="D30" i="15"/>
  <c r="D30" i="21"/>
  <c r="D34" i="15"/>
  <c r="C29" i="14"/>
  <c r="C33"/>
  <c r="B28" i="21"/>
  <c r="D17"/>
  <c r="D28" i="34"/>
  <c r="D85"/>
  <c r="B33" s="1"/>
  <c r="E49" i="12"/>
  <c r="E60"/>
  <c r="E20"/>
  <c r="C49" i="35"/>
  <c r="D6"/>
  <c r="D20" s="1"/>
  <c r="D46" s="1"/>
  <c r="C20" i="38"/>
  <c r="C22"/>
  <c r="C38" s="1"/>
  <c r="E43" i="3"/>
  <c r="E20" i="19"/>
  <c r="F38" i="21"/>
  <c r="C53" i="15"/>
  <c r="B31" i="21"/>
  <c r="C57" i="15"/>
  <c r="E34" i="3"/>
  <c r="E53" i="14"/>
  <c r="F29" i="21"/>
  <c r="F27"/>
  <c r="F76" i="13"/>
  <c r="E32" i="3"/>
  <c r="E72" i="13"/>
  <c r="E77"/>
  <c r="E11" i="8"/>
  <c r="E18" s="1"/>
  <c r="G32" s="1"/>
  <c r="E5" i="17"/>
  <c r="E31" s="1"/>
  <c r="B25"/>
  <c r="B56"/>
  <c r="C5"/>
  <c r="C31" s="1"/>
  <c r="D46" i="21"/>
  <c r="D26" i="37"/>
  <c r="D30"/>
  <c r="E42" i="3"/>
  <c r="F37" i="21"/>
  <c r="C18" i="54"/>
  <c r="C31" s="1"/>
  <c r="C16"/>
  <c r="E18" i="34"/>
  <c r="E17" i="10"/>
  <c r="G31" s="1"/>
  <c r="C55" i="15"/>
  <c r="B23" i="39"/>
  <c r="E5" i="19"/>
  <c r="E29" s="1"/>
  <c r="B23"/>
  <c r="D5"/>
  <c r="D29" s="1"/>
  <c r="E60" i="11"/>
  <c r="G74" s="1"/>
  <c r="C53" i="7"/>
  <c r="C69" s="1"/>
  <c r="C96" s="1"/>
  <c r="B58" i="9"/>
  <c r="B118"/>
  <c r="C40" i="38"/>
  <c r="C36"/>
  <c r="B47" i="21"/>
  <c r="E51" i="36"/>
  <c r="F45" i="21"/>
  <c r="E50" i="3"/>
  <c r="E44"/>
  <c r="F39" i="21"/>
  <c r="D53" i="17"/>
  <c r="D35" i="21"/>
  <c r="D58" i="16"/>
  <c r="D33" i="21"/>
  <c r="F32"/>
  <c r="E37" i="3"/>
  <c r="B41" i="21"/>
  <c r="C60" i="53"/>
  <c r="C64"/>
  <c r="D5" i="17"/>
  <c r="D31" s="1"/>
  <c r="E27" i="10"/>
  <c r="E30" s="1"/>
  <c r="E20" i="44"/>
  <c r="F67" i="21"/>
  <c r="C20" i="16"/>
  <c r="C22"/>
  <c r="C36"/>
  <c r="J63" i="21"/>
  <c r="F62"/>
  <c r="B12"/>
  <c r="A9"/>
  <c r="H23" i="40"/>
  <c r="H24"/>
  <c r="B23" i="41"/>
  <c r="H15"/>
  <c r="H23" s="1"/>
  <c r="K14"/>
  <c r="C42" i="7"/>
  <c r="C40"/>
  <c r="G35" i="10"/>
  <c r="B20" i="21"/>
  <c r="C29" i="10"/>
  <c r="C87"/>
  <c r="B34" s="1"/>
  <c r="D41" i="21"/>
  <c r="D60" i="53"/>
  <c r="J103" i="55"/>
  <c r="B38" i="24"/>
  <c r="B6"/>
  <c r="B13"/>
  <c r="B28"/>
  <c r="B11"/>
  <c r="D5" i="35"/>
  <c r="B47"/>
  <c r="H15" i="39"/>
  <c r="H23"/>
  <c r="H24" s="1"/>
  <c r="K14"/>
  <c r="K22" i="40"/>
  <c r="B49" i="21"/>
  <c r="B23" i="40"/>
  <c r="B18" i="42"/>
  <c r="K17"/>
  <c r="K30"/>
  <c r="A33" i="44"/>
  <c r="D5"/>
  <c r="E5"/>
  <c r="B3"/>
  <c r="C19" i="8"/>
  <c r="C32"/>
  <c r="C17"/>
  <c r="C59"/>
  <c r="C72" s="1"/>
  <c r="C57"/>
  <c r="D70"/>
  <c r="D19" i="21"/>
  <c r="D57"/>
  <c r="J5" i="24"/>
  <c r="J7" s="1"/>
  <c r="C62" i="53"/>
  <c r="C65" s="1"/>
  <c r="C85" i="34"/>
  <c r="G34"/>
  <c r="C28"/>
  <c r="C52" i="21"/>
  <c r="C54" s="1"/>
  <c r="E28" i="58"/>
  <c r="K22" i="41"/>
  <c r="B50" i="21"/>
  <c r="D72" i="12"/>
  <c r="D25" i="21"/>
  <c r="C20" i="19"/>
  <c r="B38" i="21"/>
  <c r="E53" i="15"/>
  <c r="E36" i="3"/>
  <c r="J83" i="55"/>
  <c r="C13" i="18"/>
  <c r="C15"/>
  <c r="C24"/>
  <c r="C27" s="1"/>
  <c r="K22" i="39"/>
  <c r="B48" i="21"/>
  <c r="D26" i="18"/>
  <c r="C18" i="14"/>
  <c r="C31" s="1"/>
  <c r="C16"/>
  <c r="B70" i="10"/>
  <c r="D39" i="14"/>
  <c r="D47" s="1"/>
  <c r="D55" s="1"/>
  <c r="C88" i="10"/>
  <c r="G109" i="7"/>
  <c r="C119" i="9"/>
  <c r="B119"/>
  <c r="K15" i="41"/>
  <c r="C58" i="17"/>
  <c r="C31" i="37"/>
  <c r="D6"/>
  <c r="D14"/>
  <c r="D28" s="1"/>
  <c r="D6" i="36"/>
  <c r="D18" s="1"/>
  <c r="D53" s="1"/>
  <c r="C56"/>
  <c r="D6" i="19"/>
  <c r="D14" s="1"/>
  <c r="D22" s="1"/>
  <c r="K24" i="40"/>
  <c r="C56" i="19"/>
  <c r="C51" i="18"/>
  <c r="D32"/>
  <c r="D40" s="1"/>
  <c r="D48" s="1"/>
  <c r="D6" i="17"/>
  <c r="D15"/>
  <c r="D24" s="1"/>
  <c r="D44" i="16"/>
  <c r="D52" s="1"/>
  <c r="D60" s="1"/>
  <c r="C63"/>
  <c r="C35" i="15"/>
  <c r="B68" i="34"/>
  <c r="C88"/>
  <c r="D41"/>
  <c r="D54"/>
  <c r="D65" s="1"/>
  <c r="D119" i="9"/>
  <c r="D117" i="7"/>
  <c r="D15" i="21"/>
  <c r="G45" i="57"/>
  <c r="E6"/>
  <c r="G43" i="10"/>
  <c r="G79"/>
  <c r="G46" i="13"/>
  <c r="G86" i="11"/>
  <c r="G58" i="57"/>
  <c r="G44" i="8"/>
  <c r="M47" i="21"/>
  <c r="M55" s="1"/>
  <c r="G86" i="13"/>
  <c r="G42" i="34"/>
  <c r="E54" i="21"/>
  <c r="G84" i="8"/>
  <c r="G86" i="12"/>
  <c r="G46"/>
  <c r="D19" i="34"/>
  <c r="D30" s="1"/>
  <c r="D64" i="9"/>
  <c r="B64"/>
  <c r="C64"/>
  <c r="D39" i="53"/>
  <c r="D49" s="1"/>
  <c r="D62" s="1"/>
  <c r="D65" s="1"/>
  <c r="B24" i="40"/>
  <c r="K23"/>
  <c r="D6" i="18"/>
  <c r="D15" s="1"/>
  <c r="D24" s="1"/>
  <c r="C94" i="8"/>
  <c r="D6"/>
  <c r="D19"/>
  <c r="D32" s="1"/>
  <c r="C51" i="7"/>
  <c r="B24" i="41"/>
  <c r="D58" i="17"/>
  <c r="E32"/>
  <c r="E42"/>
  <c r="E55" s="1"/>
  <c r="E56" s="1"/>
  <c r="D40" i="15"/>
  <c r="D48" s="1"/>
  <c r="D55" s="1"/>
  <c r="C58"/>
  <c r="G34" i="12"/>
  <c r="K24" i="39"/>
  <c r="K24" i="41"/>
  <c r="K23" i="39"/>
  <c r="B24"/>
  <c r="B29" i="42"/>
  <c r="K29" s="1"/>
  <c r="K18"/>
  <c r="D6" i="16"/>
  <c r="D22" s="1"/>
  <c r="D36" s="1"/>
  <c r="C39"/>
  <c r="K15" i="39"/>
  <c r="G30" i="34"/>
  <c r="G74" i="12"/>
  <c r="B30" i="42"/>
  <c r="E39" i="53"/>
  <c r="E49" s="1"/>
  <c r="E62" s="1"/>
  <c r="E63" s="1"/>
  <c r="J66" i="8"/>
  <c r="J67"/>
  <c r="J65"/>
  <c r="J91" i="7"/>
  <c r="J92"/>
  <c r="J90"/>
  <c r="G18" i="52"/>
  <c r="D86" i="34" l="1"/>
  <c r="B34" s="1"/>
  <c r="E6"/>
  <c r="E19" s="1"/>
  <c r="E34" s="1"/>
  <c r="G29"/>
  <c r="F26" i="21"/>
  <c r="E31" i="3"/>
  <c r="E32" i="13"/>
  <c r="F36"/>
  <c r="E37"/>
  <c r="E26" i="3"/>
  <c r="F21" i="21"/>
  <c r="E65" i="10"/>
  <c r="E8" i="5"/>
  <c r="E11" i="57" s="1"/>
  <c r="E11" i="5"/>
  <c r="E48" i="8" s="1"/>
  <c r="E13" i="5"/>
  <c r="E47" i="10" s="1"/>
  <c r="E32" i="12"/>
  <c r="E29" i="3"/>
  <c r="F36" i="12"/>
  <c r="F24" i="21"/>
  <c r="E37" i="12"/>
  <c r="F67" i="34"/>
  <c r="E68"/>
  <c r="E63"/>
  <c r="E58" i="3"/>
  <c r="F53" i="21"/>
  <c r="G22" i="24"/>
  <c r="G26" s="1"/>
  <c r="G30" s="1"/>
  <c r="G32" s="1"/>
  <c r="B37" i="11"/>
  <c r="B84" i="58"/>
  <c r="B91"/>
  <c r="E96" i="7"/>
  <c r="B77" i="13"/>
  <c r="D7" i="52"/>
  <c r="E35" i="34"/>
  <c r="E6" i="8"/>
  <c r="E19" s="1"/>
  <c r="E36" s="1"/>
  <c r="D94"/>
  <c r="B36" s="1"/>
  <c r="G31"/>
  <c r="E41" i="34"/>
  <c r="G64"/>
  <c r="D88"/>
  <c r="B69" s="1"/>
  <c r="E44" i="16"/>
  <c r="E52" s="1"/>
  <c r="E60" s="1"/>
  <c r="E61" s="1"/>
  <c r="D63"/>
  <c r="E6" i="37"/>
  <c r="E14" s="1"/>
  <c r="E28" s="1"/>
  <c r="E29" s="1"/>
  <c r="D31"/>
  <c r="C34" i="14"/>
  <c r="D6"/>
  <c r="D18" s="1"/>
  <c r="D31" s="1"/>
  <c r="H24" i="41"/>
  <c r="K23"/>
  <c r="C95" i="7"/>
  <c r="B15" i="21"/>
  <c r="B52" s="1"/>
  <c r="B54" s="1"/>
  <c r="B56" s="1"/>
  <c r="G101" i="7"/>
  <c r="C117"/>
  <c r="B100" s="1"/>
  <c r="C97"/>
  <c r="C34" i="54"/>
  <c r="D6"/>
  <c r="D18" s="1"/>
  <c r="D31" s="1"/>
  <c r="D6" i="38"/>
  <c r="D22" s="1"/>
  <c r="D38" s="1"/>
  <c r="C41"/>
  <c r="E6" i="35"/>
  <c r="E20" s="1"/>
  <c r="E46" s="1"/>
  <c r="E47" s="1"/>
  <c r="D49"/>
  <c r="E42" i="10"/>
  <c r="D90"/>
  <c r="B71" s="1"/>
  <c r="G66"/>
  <c r="G30"/>
  <c r="E6"/>
  <c r="E18" s="1"/>
  <c r="D88"/>
  <c r="B35" s="1"/>
  <c r="E6" i="16"/>
  <c r="E22" s="1"/>
  <c r="E36" s="1"/>
  <c r="E37" s="1"/>
  <c r="D39"/>
  <c r="E40" i="15"/>
  <c r="E48" s="1"/>
  <c r="E55" s="1"/>
  <c r="E56" s="1"/>
  <c r="D58"/>
  <c r="E6" i="18"/>
  <c r="E15" s="1"/>
  <c r="E24" s="1"/>
  <c r="E25" s="1"/>
  <c r="D27"/>
  <c r="D27" i="17"/>
  <c r="E6"/>
  <c r="E15" s="1"/>
  <c r="E24" s="1"/>
  <c r="E25" s="1"/>
  <c r="E32" i="18"/>
  <c r="E40" s="1"/>
  <c r="E48" s="1"/>
  <c r="E49" s="1"/>
  <c r="D51"/>
  <c r="D25" i="19"/>
  <c r="E6"/>
  <c r="E14" s="1"/>
  <c r="E22" s="1"/>
  <c r="E23" s="1"/>
  <c r="E6" i="36"/>
  <c r="E18" s="1"/>
  <c r="E53" s="1"/>
  <c r="E54" s="1"/>
  <c r="D56"/>
  <c r="E39" i="14"/>
  <c r="E47" s="1"/>
  <c r="E55" s="1"/>
  <c r="E56" s="1"/>
  <c r="D58"/>
  <c r="C96" i="8"/>
  <c r="D43"/>
  <c r="D59" s="1"/>
  <c r="D72" s="1"/>
  <c r="E29" i="10"/>
  <c r="E34"/>
  <c r="F20" i="21"/>
  <c r="F33" i="10"/>
  <c r="E25" i="3"/>
  <c r="E6" i="15"/>
  <c r="E18" s="1"/>
  <c r="E32" s="1"/>
  <c r="E33" s="1"/>
  <c r="D35"/>
  <c r="E30" i="19"/>
  <c r="E40" s="1"/>
  <c r="E53" s="1"/>
  <c r="E54" s="1"/>
  <c r="D56"/>
  <c r="J34" i="24"/>
  <c r="J36" s="1"/>
  <c r="F69" i="10"/>
  <c r="E70"/>
  <c r="E44" i="57"/>
  <c r="F16" i="21"/>
  <c r="F48" i="57"/>
  <c r="C97" i="11"/>
  <c r="D45"/>
  <c r="D61" s="1"/>
  <c r="D74" s="1"/>
  <c r="D6" i="12"/>
  <c r="D21" s="1"/>
  <c r="D34" s="1"/>
  <c r="C95"/>
  <c r="D6" i="13"/>
  <c r="D21" s="1"/>
  <c r="D34" s="1"/>
  <c r="C95"/>
  <c r="C97"/>
  <c r="D45"/>
  <c r="D61" s="1"/>
  <c r="D74" s="1"/>
  <c r="E72" i="11"/>
  <c r="E28" i="3"/>
  <c r="F22" i="21"/>
  <c r="E32" i="11"/>
  <c r="F36"/>
  <c r="E37"/>
  <c r="E75" i="8"/>
  <c r="E24" i="3"/>
  <c r="E70" i="8"/>
  <c r="D6" i="11"/>
  <c r="D21" s="1"/>
  <c r="D34" s="1"/>
  <c r="C95"/>
  <c r="D45" i="12"/>
  <c r="D61" s="1"/>
  <c r="D74" s="1"/>
  <c r="C97"/>
  <c r="D6" i="53"/>
  <c r="D18" s="1"/>
  <c r="D31" s="1"/>
  <c r="C34"/>
  <c r="C65" i="54"/>
  <c r="D39"/>
  <c r="D49" s="1"/>
  <c r="D62" s="1"/>
  <c r="F8" i="5"/>
  <c r="F20"/>
  <c r="E47" i="34" s="1"/>
  <c r="F13" i="5"/>
  <c r="E48" i="10" s="1"/>
  <c r="F11" i="5"/>
  <c r="E49" i="8" s="1"/>
  <c r="C94" i="12"/>
  <c r="B37" s="1"/>
  <c r="B61" i="43"/>
  <c r="D39" i="21"/>
  <c r="D52" s="1"/>
  <c r="D54" s="1"/>
  <c r="D56" s="1"/>
  <c r="D27" i="5"/>
  <c r="E20"/>
  <c r="E46" i="34" s="1"/>
  <c r="E95" i="7" l="1"/>
  <c r="F15" i="21"/>
  <c r="F52" s="1"/>
  <c r="F54" s="1"/>
  <c r="F56" s="1"/>
  <c r="E100" i="7"/>
  <c r="E20" i="3"/>
  <c r="E57" s="1"/>
  <c r="E59" s="1"/>
  <c r="E35" i="10"/>
  <c r="E37" s="1"/>
  <c r="F7" i="5"/>
  <c r="E12" i="57"/>
  <c r="E6" i="53"/>
  <c r="E18" s="1"/>
  <c r="E31" s="1"/>
  <c r="E32" s="1"/>
  <c r="D34"/>
  <c r="G73" i="12"/>
  <c r="D97"/>
  <c r="E45"/>
  <c r="E61" s="1"/>
  <c r="E78" s="1"/>
  <c r="E6" i="11"/>
  <c r="E21" s="1"/>
  <c r="D95"/>
  <c r="G33"/>
  <c r="E45" i="13"/>
  <c r="E61" s="1"/>
  <c r="E78" s="1"/>
  <c r="G73"/>
  <c r="D97"/>
  <c r="E45" i="11"/>
  <c r="E61" s="1"/>
  <c r="E78" s="1"/>
  <c r="D97"/>
  <c r="G73"/>
  <c r="E36" i="10"/>
  <c r="G71" i="8"/>
  <c r="D96"/>
  <c r="E43"/>
  <c r="D41" i="38"/>
  <c r="E6"/>
  <c r="E22" s="1"/>
  <c r="E38" s="1"/>
  <c r="E39" s="1"/>
  <c r="E6" i="14"/>
  <c r="E18" s="1"/>
  <c r="E31" s="1"/>
  <c r="E32" s="1"/>
  <c r="D34"/>
  <c r="E38" i="11"/>
  <c r="E7" i="5"/>
  <c r="B38" i="12"/>
  <c r="D11" i="5"/>
  <c r="E47" i="8" s="1"/>
  <c r="E58" s="1"/>
  <c r="D13" i="5"/>
  <c r="E46" i="10" s="1"/>
  <c r="E53" s="1"/>
  <c r="D8" i="5"/>
  <c r="D20"/>
  <c r="E45" i="34" s="1"/>
  <c r="E53" s="1"/>
  <c r="D65" i="54"/>
  <c r="E39"/>
  <c r="E49" s="1"/>
  <c r="E62" s="1"/>
  <c r="E63" s="1"/>
  <c r="E6" i="13"/>
  <c r="E21" s="1"/>
  <c r="E38" s="1"/>
  <c r="G33"/>
  <c r="D95"/>
  <c r="B38" s="1"/>
  <c r="E6" i="12"/>
  <c r="E21" s="1"/>
  <c r="E38" s="1"/>
  <c r="D95"/>
  <c r="G33"/>
  <c r="E6" i="54"/>
  <c r="E18" s="1"/>
  <c r="E31" s="1"/>
  <c r="E32" s="1"/>
  <c r="D34"/>
  <c r="C118" i="7"/>
  <c r="D7"/>
  <c r="D42" s="1"/>
  <c r="E37" i="8"/>
  <c r="E38" s="1"/>
  <c r="B78" i="12"/>
  <c r="B38" i="11"/>
  <c r="B78" i="13"/>
  <c r="B78" i="11"/>
  <c r="B76" i="8"/>
  <c r="E36" i="34"/>
  <c r="E59" i="8" l="1"/>
  <c r="E76" s="1"/>
  <c r="E17"/>
  <c r="H18" i="21"/>
  <c r="G41" i="8" s="1"/>
  <c r="G18" i="21"/>
  <c r="F23" i="3"/>
  <c r="G23" s="1"/>
  <c r="E17" i="34"/>
  <c r="H17" i="21"/>
  <c r="G17"/>
  <c r="G15" i="58"/>
  <c r="G22" s="1"/>
  <c r="D51" i="7"/>
  <c r="D97"/>
  <c r="E39" i="12"/>
  <c r="E40" s="1"/>
  <c r="G65" i="34"/>
  <c r="E77" i="8"/>
  <c r="E78" s="1"/>
  <c r="G73"/>
  <c r="G74" s="1"/>
  <c r="G77" s="1"/>
  <c r="E39" i="13"/>
  <c r="E40"/>
  <c r="E10" i="57"/>
  <c r="E19" s="1"/>
  <c r="D7" i="5"/>
  <c r="G72" i="8"/>
  <c r="G58"/>
  <c r="E39" i="11"/>
  <c r="E40"/>
  <c r="E79"/>
  <c r="E80" s="1"/>
  <c r="G75"/>
  <c r="G76" s="1"/>
  <c r="G79" s="1"/>
  <c r="E54" i="34"/>
  <c r="E69" s="1"/>
  <c r="G32" i="10"/>
  <c r="G67"/>
  <c r="E21" i="5"/>
  <c r="E12" i="7"/>
  <c r="F25" i="3"/>
  <c r="G25" s="1"/>
  <c r="G20" i="21"/>
  <c r="E16" i="10"/>
  <c r="H20" i="21"/>
  <c r="G40" i="10" s="1"/>
  <c r="E79" i="13"/>
  <c r="E80"/>
  <c r="G75"/>
  <c r="E79" i="12"/>
  <c r="E80" s="1"/>
  <c r="G75"/>
  <c r="F21" i="5"/>
  <c r="E13" i="7"/>
  <c r="G33" i="8"/>
  <c r="G31" i="34"/>
  <c r="G32" s="1"/>
  <c r="G35" s="1"/>
  <c r="E54" i="10"/>
  <c r="E71" s="1"/>
  <c r="G76" i="12"/>
  <c r="G79" s="1"/>
  <c r="E59" i="11" l="1"/>
  <c r="H23" i="21"/>
  <c r="G83" i="11" s="1"/>
  <c r="F28" i="3"/>
  <c r="G28" s="1"/>
  <c r="G23" i="21"/>
  <c r="F30" i="3"/>
  <c r="G30" s="1"/>
  <c r="H25" i="21"/>
  <c r="G83" i="12" s="1"/>
  <c r="E59"/>
  <c r="G25" i="21"/>
  <c r="G19"/>
  <c r="F24" i="3"/>
  <c r="G24" s="1"/>
  <c r="H19" i="21"/>
  <c r="G81" i="8" s="1"/>
  <c r="E57"/>
  <c r="K33"/>
  <c r="G34"/>
  <c r="G37" s="1"/>
  <c r="K32" i="10"/>
  <c r="G33"/>
  <c r="G36" s="1"/>
  <c r="D21" i="5"/>
  <c r="E11" i="7"/>
  <c r="E41" s="1"/>
  <c r="G26" i="21"/>
  <c r="H26"/>
  <c r="G43" i="13" s="1"/>
  <c r="F31" i="3"/>
  <c r="G31" s="1"/>
  <c r="E19" i="13"/>
  <c r="K75"/>
  <c r="G76"/>
  <c r="G79" s="1"/>
  <c r="K75" i="11"/>
  <c r="G35"/>
  <c r="K73" i="8"/>
  <c r="G35" i="12"/>
  <c r="E72" i="10"/>
  <c r="E73" s="1"/>
  <c r="G68"/>
  <c r="E59" i="13"/>
  <c r="G27" i="21"/>
  <c r="F32" i="3"/>
  <c r="G32" s="1"/>
  <c r="H27" i="21"/>
  <c r="G83" i="13" s="1"/>
  <c r="E70" i="34"/>
  <c r="E71" s="1"/>
  <c r="E19" i="11"/>
  <c r="H22" i="21"/>
  <c r="G43" i="11" s="1"/>
  <c r="G22" i="21"/>
  <c r="F27" i="3"/>
  <c r="G27" s="1"/>
  <c r="G46" i="57"/>
  <c r="E20"/>
  <c r="E50" s="1"/>
  <c r="F29" i="3"/>
  <c r="G29" s="1"/>
  <c r="E19" i="12"/>
  <c r="G24" i="21"/>
  <c r="H24"/>
  <c r="G43" i="12" s="1"/>
  <c r="D118" i="7"/>
  <c r="B101" s="1"/>
  <c r="G96"/>
  <c r="E7"/>
  <c r="E42" s="1"/>
  <c r="D24" i="58"/>
  <c r="E23"/>
  <c r="G29"/>
  <c r="E30" s="1"/>
  <c r="D31" s="1"/>
  <c r="G39" i="34"/>
  <c r="K75" i="12"/>
  <c r="G69" i="10"/>
  <c r="G72" s="1"/>
  <c r="G35" i="13"/>
  <c r="K68" i="10" l="1"/>
  <c r="E51" i="57"/>
  <c r="G47" s="1"/>
  <c r="K35" i="12"/>
  <c r="G36"/>
  <c r="G39" s="1"/>
  <c r="F33" i="58"/>
  <c r="F36" i="34" s="1"/>
  <c r="G48" i="57"/>
  <c r="G51" s="1"/>
  <c r="G66" i="34"/>
  <c r="K35" i="13"/>
  <c r="G36"/>
  <c r="G39" s="1"/>
  <c r="E51" i="7"/>
  <c r="E101"/>
  <c r="G53" i="21"/>
  <c r="H53"/>
  <c r="E52" i="34"/>
  <c r="H21" i="21"/>
  <c r="G76" i="10" s="1"/>
  <c r="F26" i="3"/>
  <c r="G26" s="1"/>
  <c r="G21" i="21"/>
  <c r="E52" i="10"/>
  <c r="K35" i="11"/>
  <c r="G36"/>
  <c r="G39" s="1"/>
  <c r="G40" i="7"/>
  <c r="G41" s="1"/>
  <c r="G97"/>
  <c r="E52" i="57" l="1"/>
  <c r="I53" i="21"/>
  <c r="G74" i="34"/>
  <c r="E102" i="7"/>
  <c r="G98" s="1"/>
  <c r="K66" i="34"/>
  <c r="G67"/>
  <c r="G70" s="1"/>
  <c r="K47" i="57"/>
  <c r="G99" i="7" l="1"/>
  <c r="G102" s="1"/>
  <c r="F71" i="34"/>
  <c r="F70" s="1"/>
  <c r="J74"/>
  <c r="F21" i="3"/>
  <c r="G21" s="1"/>
  <c r="G16" i="21"/>
  <c r="H16" s="1"/>
  <c r="G55" i="57" s="1"/>
  <c r="J38" i="24"/>
  <c r="J40" s="1"/>
  <c r="E18" i="57"/>
  <c r="E103" i="7"/>
  <c r="G15" i="21" l="1"/>
  <c r="G52" s="1"/>
  <c r="F20" i="3"/>
  <c r="H15" i="21"/>
  <c r="E40" i="7"/>
  <c r="K98"/>
  <c r="H52" i="21" l="1"/>
  <c r="G106" i="7"/>
  <c r="E107" s="1"/>
  <c r="G54" i="21"/>
  <c r="M63"/>
  <c r="M54"/>
  <c r="M56" s="1"/>
  <c r="G20" i="3"/>
  <c r="G57" s="1"/>
  <c r="F57"/>
  <c r="F60" l="1"/>
  <c r="F59"/>
  <c r="M49" i="21"/>
  <c r="J49" s="1"/>
  <c r="M50"/>
  <c r="J50" s="1"/>
  <c r="H54"/>
  <c r="G42" i="10"/>
  <c r="G108" i="7"/>
  <c r="G43" i="8"/>
  <c r="G83"/>
  <c r="G41" i="34"/>
  <c r="G45" i="13"/>
  <c r="G85"/>
  <c r="G45" i="12"/>
  <c r="G85" i="11"/>
  <c r="G45"/>
  <c r="G85" i="12"/>
  <c r="M60" i="21"/>
  <c r="G78" i="10"/>
  <c r="G57" i="57"/>
</calcChain>
</file>

<file path=xl/sharedStrings.xml><?xml version="1.0" encoding="utf-8"?>
<sst xmlns="http://schemas.openxmlformats.org/spreadsheetml/2006/main" count="2681" uniqueCount="1235">
  <si>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</si>
  <si>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</si>
  <si>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</si>
  <si>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</si>
  <si>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</si>
  <si>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</si>
  <si>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</si>
  <si>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</si>
  <si>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</si>
  <si>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</si>
  <si>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</si>
  <si>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</si>
  <si>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</si>
  <si>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</si>
  <si>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</si>
  <si>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</si>
  <si>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</si>
  <si>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</si>
  <si>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</si>
  <si>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</si>
  <si>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</si>
  <si>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</si>
  <si>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</si>
  <si>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</si>
  <si>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</si>
  <si>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</si>
  <si>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</si>
  <si>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</si>
  <si>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</si>
  <si>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</si>
  <si>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</si>
  <si>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</si>
  <si>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</si>
  <si>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</si>
  <si>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</si>
  <si>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</si>
  <si>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</si>
  <si>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</si>
  <si>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</si>
  <si>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</si>
  <si>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</si>
  <si>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</si>
  <si>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</si>
  <si>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</si>
  <si>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</si>
  <si>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</si>
  <si>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</si>
  <si>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</si>
  <si>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</si>
  <si>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</si>
  <si>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</si>
  <si>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</si>
  <si>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</si>
  <si>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</si>
  <si>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</si>
  <si>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</si>
  <si>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</si>
  <si>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</si>
  <si>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</si>
  <si>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</si>
  <si>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</si>
  <si>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</si>
  <si>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</si>
  <si>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</si>
  <si>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</si>
  <si>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</si>
  <si>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</si>
  <si>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</si>
  <si>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</si>
  <si>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</si>
  <si>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</si>
  <si>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</si>
  <si>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</si>
  <si>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</si>
  <si>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</si>
  <si>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</si>
  <si>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</si>
  <si>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</si>
  <si>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</si>
  <si>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</si>
  <si>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</si>
  <si>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</si>
  <si>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</si>
  <si>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</si>
  <si>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</si>
  <si>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</si>
  <si>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</si>
  <si>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</si>
  <si>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</si>
  <si>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</si>
  <si>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</si>
  <si>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</si>
  <si>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</si>
  <si>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</si>
  <si>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</si>
  <si>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</si>
  <si>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</si>
  <si>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</si>
  <si>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</si>
  <si>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</si>
  <si>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</si>
  <si>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</si>
  <si>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</si>
  <si>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</si>
  <si>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</si>
  <si>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</si>
  <si>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</si>
  <si>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</si>
  <si>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</si>
  <si>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</si>
  <si>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</si>
  <si>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</si>
  <si>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</si>
  <si>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</si>
  <si>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</si>
  <si>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</si>
  <si>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</si>
  <si>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</si>
  <si>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</si>
  <si>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</si>
  <si>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</si>
  <si>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</si>
  <si>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</si>
  <si>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</si>
  <si>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</si>
  <si>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</si>
  <si>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</si>
  <si>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</si>
  <si>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</si>
  <si>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</si>
  <si>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</si>
  <si>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</si>
  <si>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</si>
  <si>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</si>
  <si>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</si>
  <si>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</si>
  <si>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</si>
  <si>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</si>
  <si>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</si>
  <si>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</si>
  <si>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</si>
  <si>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</si>
  <si>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</si>
  <si>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</si>
  <si>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</si>
  <si>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</si>
  <si>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</si>
  <si>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</si>
  <si>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</si>
  <si>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</si>
  <si>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</si>
  <si>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</si>
  <si>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</si>
  <si>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</si>
  <si>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</si>
  <si>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</si>
  <si>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</si>
  <si>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</si>
  <si>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</si>
  <si>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</si>
  <si>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</si>
  <si>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</si>
  <si>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</si>
  <si>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</si>
  <si>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</si>
  <si>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</si>
  <si>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</si>
  <si>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</si>
  <si>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</si>
  <si>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</si>
  <si>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</si>
  <si>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</si>
  <si>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</si>
  <si>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</si>
  <si>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</si>
  <si>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</si>
  <si>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</si>
  <si>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</si>
  <si>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</si>
  <si>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</si>
  <si>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</si>
  <si>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</si>
  <si>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</si>
  <si>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</si>
  <si>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</si>
  <si>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</si>
  <si>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</si>
  <si>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</si>
  <si>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</si>
  <si>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</si>
  <si>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</si>
  <si>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</si>
  <si>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</si>
  <si>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</si>
  <si>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</si>
  <si>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</si>
  <si>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</si>
  <si>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</si>
  <si>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</si>
  <si>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</si>
  <si>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</si>
  <si>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</si>
  <si>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</si>
  <si>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</si>
  <si>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</si>
  <si>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</si>
  <si>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</si>
  <si>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</si>
  <si>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</si>
  <si>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</si>
  <si>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</si>
  <si>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</si>
  <si>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</si>
  <si>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</si>
  <si>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</si>
  <si>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</si>
  <si>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</si>
  <si>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</si>
  <si>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</si>
  <si>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</si>
  <si>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</si>
  <si>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</si>
  <si>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</si>
  <si>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</si>
  <si>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</si>
  <si>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</si>
  <si>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</si>
  <si>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</si>
  <si>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</si>
  <si>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</si>
  <si>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</si>
  <si>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</si>
  <si>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</si>
  <si>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</si>
  <si>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</si>
  <si>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</si>
  <si>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</si>
  <si>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</si>
  <si>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</si>
  <si>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</si>
  <si>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</si>
  <si>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</si>
  <si>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</si>
  <si>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</si>
  <si>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</si>
  <si>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</si>
  <si>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</si>
  <si>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</si>
  <si>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</si>
  <si>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</si>
  <si>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</si>
  <si>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</si>
  <si>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</si>
  <si>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</si>
  <si>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</si>
  <si>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</si>
  <si>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</si>
  <si>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</si>
  <si>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</si>
  <si>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</si>
  <si>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</si>
  <si>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</si>
  <si>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</si>
  <si>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</si>
  <si>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</si>
  <si>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</si>
  <si>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</si>
  <si>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</si>
  <si>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Funds-D</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</si>
  <si>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</si>
  <si>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</si>
  <si>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</si>
  <si>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</si>
  <si>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</si>
  <si>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</si>
  <si>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</si>
  <si>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</si>
  <si>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</si>
  <si>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</si>
  <si>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</si>
  <si>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</si>
  <si>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</si>
  <si>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</si>
  <si>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</si>
  <si>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</si>
  <si>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</si>
  <si>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</si>
  <si>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</si>
  <si>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</si>
  <si>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</si>
  <si>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</si>
  <si>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</si>
  <si>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</si>
  <si>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</si>
  <si>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</si>
  <si>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</si>
  <si>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</si>
  <si>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</si>
  <si>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</si>
  <si>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</si>
  <si>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</si>
  <si>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</si>
  <si>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</si>
  <si>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</si>
  <si>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</si>
  <si>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</si>
  <si>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</si>
  <si>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</si>
  <si>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</si>
  <si>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</si>
  <si>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</si>
  <si>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</si>
  <si>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</si>
  <si>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</si>
  <si>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</si>
  <si>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</si>
  <si>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</si>
  <si>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</si>
  <si>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</si>
  <si>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</si>
  <si>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</si>
  <si>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</si>
  <si>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</si>
  <si>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</si>
  <si>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</si>
  <si>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</si>
  <si>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</si>
  <si>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</si>
  <si>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</si>
  <si>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</si>
  <si>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</si>
  <si>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</si>
  <si>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</si>
  <si>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</si>
  <si>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</si>
  <si>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</si>
  <si>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</si>
  <si>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</si>
  <si>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</si>
  <si>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</si>
  <si>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</si>
  <si>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</si>
  <si>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</si>
  <si>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</si>
  <si>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</si>
  <si>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</si>
  <si>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</si>
  <si>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</si>
  <si>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</si>
  <si>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</si>
  <si>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</si>
  <si>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</si>
  <si>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</si>
  <si>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</si>
  <si>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</si>
  <si>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</si>
  <si>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</si>
  <si>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</si>
  <si>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</si>
  <si>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</si>
  <si>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</si>
  <si>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</si>
  <si>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</si>
  <si>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</si>
  <si>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</si>
  <si>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</si>
  <si>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</si>
  <si>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</si>
  <si>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</si>
  <si>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</si>
  <si>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</si>
  <si>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</si>
  <si>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</si>
  <si>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</si>
  <si>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</si>
  <si>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</si>
  <si>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</si>
  <si>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</si>
  <si>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</si>
  <si>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</si>
  <si>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</si>
  <si>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</si>
  <si>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</si>
  <si>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</si>
  <si>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</si>
  <si>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</si>
  <si>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</si>
  <si>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</si>
  <si>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</si>
  <si>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</si>
  <si>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</si>
  <si>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</si>
  <si>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</si>
  <si>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</si>
  <si>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</si>
  <si>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</si>
  <si>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</si>
  <si>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</si>
  <si>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</si>
  <si>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</si>
  <si>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</si>
  <si>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</si>
  <si>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</si>
  <si>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</si>
  <si>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</si>
  <si>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</si>
  <si>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</si>
  <si>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</si>
  <si>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</si>
  <si>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</si>
  <si>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</si>
  <si>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</si>
  <si>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</si>
  <si>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</si>
  <si>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</si>
  <si>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</si>
  <si>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</si>
  <si>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</si>
  <si>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</si>
  <si>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</si>
  <si>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</si>
  <si>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</si>
  <si>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</si>
  <si>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</si>
  <si>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</si>
  <si>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</si>
  <si>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</si>
  <si>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</si>
  <si>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</si>
  <si>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</si>
  <si>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</si>
  <si>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</si>
  <si>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</si>
  <si>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</si>
  <si>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</si>
  <si>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</si>
  <si>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</si>
  <si>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</si>
  <si>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</si>
  <si>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</si>
  <si>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</si>
  <si>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</si>
  <si>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</si>
  <si>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</si>
  <si>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</si>
  <si>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</si>
  <si>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</si>
  <si>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</si>
  <si>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</si>
  <si>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</si>
  <si>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</si>
  <si>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</si>
  <si>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</si>
  <si>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</si>
  <si>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</si>
  <si>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</si>
  <si>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</si>
  <si>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</si>
  <si>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</si>
  <si>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</si>
  <si>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</si>
  <si>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</si>
  <si>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</si>
  <si>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</si>
  <si>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</si>
  <si>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</si>
  <si>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</si>
  <si>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</si>
  <si>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</si>
  <si>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</si>
  <si>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</si>
  <si>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</si>
  <si>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</si>
  <si>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</si>
  <si>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</si>
  <si>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</si>
  <si>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</si>
  <si>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</si>
  <si>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</si>
  <si>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</si>
  <si>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</si>
  <si>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</si>
  <si>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</si>
  <si>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</si>
  <si>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</si>
  <si>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</si>
  <si>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</si>
  <si>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</si>
  <si>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</si>
  <si>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</si>
  <si>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</si>
  <si>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</si>
  <si>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</si>
  <si>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</si>
  <si>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</si>
  <si>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</si>
  <si>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</si>
  <si>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</si>
  <si>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</si>
  <si>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</si>
  <si>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</si>
  <si>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</si>
  <si>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</si>
  <si>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</si>
  <si>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</si>
  <si>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</si>
  <si>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</si>
  <si>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</si>
  <si>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</si>
  <si>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</si>
  <si>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</si>
  <si>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</si>
  <si>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</si>
  <si>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</si>
  <si>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</si>
  <si>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</si>
  <si>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</si>
  <si>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</si>
  <si>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</si>
  <si>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</si>
  <si>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</si>
  <si>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</si>
  <si>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</si>
  <si>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</si>
  <si>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</si>
  <si>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</si>
  <si>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</si>
  <si>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</si>
  <si>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</si>
  <si>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</si>
  <si>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</si>
  <si>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</si>
  <si>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</si>
  <si>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</si>
  <si>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</si>
  <si>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</si>
  <si>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</si>
  <si>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</si>
  <si>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</si>
  <si>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</si>
  <si>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</si>
  <si>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</si>
  <si>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</si>
  <si>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</si>
  <si>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</si>
  <si>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</si>
  <si>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</si>
  <si>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</si>
  <si>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</si>
  <si>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</si>
  <si>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</si>
  <si>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</si>
  <si>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</si>
  <si>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</si>
  <si>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</si>
  <si>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</si>
  <si>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</si>
  <si>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</si>
  <si>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</si>
  <si>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</si>
  <si>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</si>
  <si>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</si>
  <si>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</si>
  <si>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</si>
  <si>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</si>
  <si>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</si>
  <si>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</si>
  <si>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</si>
  <si>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</si>
  <si>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</si>
  <si>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</si>
  <si>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</si>
  <si>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</si>
  <si>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</si>
  <si>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</si>
  <si>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</si>
  <si>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</si>
  <si>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</si>
  <si>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</si>
  <si>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</si>
  <si>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</si>
  <si>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</si>
  <si>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</si>
  <si>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</si>
  <si>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</si>
  <si>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</si>
  <si>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</si>
  <si>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</si>
  <si>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</si>
  <si>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</si>
  <si>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</si>
  <si>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</si>
  <si>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</si>
  <si>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</si>
  <si>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</si>
  <si>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</si>
  <si>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Recreation</t>
  </si>
  <si>
    <t>12-1927</t>
  </si>
  <si>
    <t>Totals for City</t>
  </si>
  <si>
    <t>Totals  Includes Recreation</t>
  </si>
  <si>
    <t>Imposed Levy Limit (City's Historical Records)</t>
  </si>
  <si>
    <t>Fund Name</t>
  </si>
  <si>
    <t>Mill Rate Limit</t>
  </si>
  <si>
    <t>Ordinance Number:</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</si>
  <si>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</si>
  <si>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</si>
  <si>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</si>
  <si>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</si>
  <si>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</si>
  <si>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</si>
  <si>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</si>
  <si>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</si>
  <si>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</si>
  <si>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</si>
  <si>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</si>
  <si>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</si>
  <si>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</si>
  <si>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</si>
  <si>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</si>
  <si>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</si>
  <si>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</si>
  <si>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</si>
  <si>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</si>
  <si>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</si>
  <si>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</si>
  <si>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</si>
  <si>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</si>
  <si>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</si>
  <si>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</si>
  <si>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</si>
  <si>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</si>
  <si>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</si>
  <si>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</si>
  <si>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</si>
  <si>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</si>
  <si>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</si>
  <si>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</si>
  <si>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</si>
  <si>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</si>
  <si>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</si>
  <si>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</si>
  <si>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</si>
  <si>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</si>
  <si>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</si>
  <si>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</si>
  <si>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</si>
  <si>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</si>
  <si>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</si>
  <si>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</si>
  <si>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</si>
  <si>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</si>
  <si>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</si>
  <si>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</si>
  <si>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</si>
  <si>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</si>
  <si>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</si>
  <si>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</si>
  <si>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</si>
  <si>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</si>
  <si>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</si>
  <si>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</si>
  <si>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</si>
  <si>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</si>
  <si>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</si>
  <si>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</si>
  <si>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</si>
  <si>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</si>
  <si>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</si>
  <si>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</si>
  <si>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</si>
  <si>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</si>
  <si>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</si>
  <si>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</si>
  <si>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</si>
  <si>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</si>
  <si>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</si>
  <si>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</si>
  <si>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</si>
  <si>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</si>
  <si>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</si>
  <si>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</si>
  <si>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</si>
  <si>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</si>
  <si>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</si>
  <si>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</si>
  <si>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</si>
  <si>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</si>
  <si>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</si>
  <si>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</si>
  <si>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</si>
  <si>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</si>
  <si>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</si>
  <si>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</si>
  <si>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</si>
  <si>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</si>
  <si>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</si>
  <si>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</si>
  <si>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</si>
  <si>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</si>
  <si>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</si>
  <si>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</si>
  <si>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</si>
  <si>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</si>
  <si>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</si>
  <si>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</si>
  <si>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</si>
  <si>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</si>
  <si>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</si>
  <si>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</si>
  <si>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</si>
  <si>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</si>
  <si>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</si>
  <si>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</si>
  <si>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</si>
  <si>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</si>
  <si>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</si>
  <si>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</si>
  <si>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</si>
  <si>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</si>
  <si>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</si>
  <si>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</si>
  <si>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</si>
  <si>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</si>
  <si>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</si>
  <si>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following were changed to this spreadsheet on 8/29/10</t>
  </si>
  <si>
    <t>The estimated value of one mill would be:</t>
  </si>
  <si>
    <t>Change in Ad Valorem Tax Revenue:</t>
  </si>
  <si>
    <t>What Mill Rate Would Be Desired?</t>
  </si>
  <si>
    <t>Official Title:</t>
  </si>
  <si>
    <t>City Clerk, City Treasurer, Mayor</t>
  </si>
  <si>
    <t>34. Added four more no tax levy fund pages</t>
  </si>
  <si>
    <t>Compensating Use Tax</t>
  </si>
  <si>
    <t>Franchise Tax</t>
  </si>
  <si>
    <t>Licenses</t>
  </si>
  <si>
    <t>Desired Carryover Amount:</t>
  </si>
  <si>
    <t>Estimated Mill Rate Impact:</t>
  </si>
  <si>
    <t>35.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</si>
  <si>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</si>
  <si>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</si>
  <si>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</si>
  <si>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</si>
  <si>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</si>
  <si>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</si>
  <si>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</si>
  <si>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</si>
  <si>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</si>
  <si>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</si>
  <si>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</si>
  <si>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</si>
  <si>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The following were changed to this spreadsheet on 4/8/11</t>
  </si>
  <si>
    <t>1. Mvalloc tab change c19, d19, and e19 formula from InputPrYrE30 to E32</t>
  </si>
  <si>
    <t>The following were changed to this spreadsheet on 4/19/11</t>
  </si>
  <si>
    <t>1. Summ tab changed proposed year expenditure column to 'Budget Authority for Expenditures'</t>
  </si>
  <si>
    <t>City2 with Recreation Spreadsheet Instructions</t>
  </si>
  <si>
    <t>Library</t>
  </si>
  <si>
    <t>12-1220</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</si>
  <si>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</si>
  <si>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</si>
  <si>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</si>
  <si>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</si>
  <si>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</si>
  <si>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</si>
  <si>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</si>
  <si>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</si>
  <si>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</si>
  <si>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</si>
  <si>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</si>
  <si>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</si>
  <si>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</si>
  <si>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</si>
  <si>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 xml:space="preserve">Prior Year </t>
  </si>
  <si>
    <t xml:space="preserve">Current Year </t>
  </si>
  <si>
    <t xml:space="preserve">Proposed Budget </t>
  </si>
  <si>
    <t>Expenditures Must Be Changed by:</t>
  </si>
  <si>
    <t>Mill Rate Comparison</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</si>
  <si>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</si>
  <si>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</si>
  <si>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</si>
  <si>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</si>
  <si>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</si>
  <si>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</si>
  <si>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</si>
  <si>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</si>
  <si>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</si>
  <si>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</si>
  <si>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</si>
  <si>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</si>
  <si>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</si>
  <si>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</si>
  <si>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</si>
  <si>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</si>
  <si>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</si>
  <si>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</si>
  <si>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</si>
  <si>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</si>
  <si>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</si>
  <si>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</si>
  <si>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</si>
  <si>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</si>
  <si>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</si>
  <si>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</si>
  <si>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</si>
  <si>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</si>
  <si>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</si>
  <si>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</si>
  <si>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</si>
  <si>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</si>
  <si>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</si>
  <si>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</si>
  <si>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</si>
  <si>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</si>
  <si>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</si>
  <si>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</si>
  <si>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</si>
  <si>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</si>
  <si>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</si>
  <si>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</si>
  <si>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</si>
  <si>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</si>
  <si>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</si>
  <si>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</si>
  <si>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</si>
  <si>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</si>
  <si>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</si>
  <si>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</si>
  <si>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</si>
  <si>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</si>
  <si>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</si>
  <si>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</si>
  <si>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</si>
  <si>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</si>
  <si>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</si>
  <si>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</si>
  <si>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</si>
  <si>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</si>
  <si>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</si>
  <si>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</si>
  <si>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</si>
  <si>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</si>
  <si>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</si>
  <si>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</si>
  <si>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</si>
  <si>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</si>
  <si>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</si>
  <si>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</si>
  <si>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</si>
  <si>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</si>
  <si>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</si>
  <si>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21. Added four single no levy fund pages and 4 non-budgeted pages.</t>
  </si>
  <si>
    <t>22. Added question on Certificate page about the ordinance.</t>
  </si>
  <si>
    <t>23. Added note to the non-budgeted fund pages to ensure the amounts agree.</t>
  </si>
  <si>
    <t xml:space="preserve">budget year. The State Library requires a letter of certification from the municipality to continue </t>
  </si>
  <si>
    <t>eligibility. For more information contact the State Library of Kansas at 785.296.3296, or e-mail:</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</si>
  <si>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</si>
  <si>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</si>
  <si>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</si>
  <si>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</si>
  <si>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</si>
  <si>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</si>
  <si>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</si>
  <si>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 Debt</t>
  </si>
  <si>
    <t>Type of</t>
  </si>
  <si>
    <t xml:space="preserve"> Purchased</t>
  </si>
  <si>
    <t>Items</t>
  </si>
  <si>
    <t>Email:</t>
  </si>
  <si>
    <t>________________________  __________________________</t>
  </si>
  <si>
    <t>Allocation of MVT, RVT, 16/20M Vehicle Tax</t>
  </si>
  <si>
    <t xml:space="preserve">Allocation of Motor, Recreational, 16/20M Vehicle Tax </t>
  </si>
  <si>
    <t xml:space="preserve">Budget Tax Levy </t>
  </si>
  <si>
    <t>Delinquency % used in this budget will be shown on all fund pages with a tax levy**</t>
  </si>
  <si>
    <t>Expenditures Must Be Changed By: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</si>
  <si>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</si>
  <si>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</si>
  <si>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Prior Year</t>
  </si>
  <si>
    <t>Proposed Budget</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</si>
  <si>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</si>
  <si>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</si>
  <si>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</si>
  <si>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</si>
  <si>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</si>
  <si>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</si>
  <si>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</si>
  <si>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</si>
  <si>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</si>
  <si>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</si>
  <si>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</si>
  <si>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</si>
  <si>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</si>
  <si>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</si>
  <si>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</si>
  <si>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</si>
  <si>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</si>
  <si>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</si>
  <si>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</si>
  <si>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</si>
  <si>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</si>
  <si>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</si>
  <si>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</si>
  <si>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</si>
  <si>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</si>
  <si>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</si>
  <si>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</si>
  <si>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</si>
  <si>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</si>
  <si>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</si>
  <si>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</si>
  <si>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</si>
  <si>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</si>
  <si>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</si>
  <si>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</si>
  <si>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</si>
  <si>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</si>
  <si>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</si>
  <si>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</si>
  <si>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</si>
  <si>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</si>
  <si>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</si>
  <si>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(DebtService), Library and Recreation (Library-Rec),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</si>
  <si>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</si>
  <si>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</si>
  <si>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</si>
  <si>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</si>
  <si>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</si>
  <si>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</si>
  <si>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</si>
  <si>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</si>
  <si>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</si>
  <si>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</si>
  <si>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</si>
  <si>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</si>
  <si>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</si>
  <si>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</si>
  <si>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</si>
  <si>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</si>
  <si>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</si>
  <si>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</si>
  <si>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</si>
  <si>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</si>
  <si>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</si>
  <si>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</si>
  <si>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</si>
  <si>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</si>
  <si>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</si>
  <si>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</si>
  <si>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</si>
  <si>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</si>
  <si>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38.  Add Library-Rec tab, in comparison block j83 "Exceed Mill Rate", cell f79 'Reduce', cell f80 shows amount that needs to be reduce
</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</si>
  <si>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</si>
  <si>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City 2 spreadsheets has General Fund page (general), Debt Service (DebtService), Library and Recreation page (Library-Rec),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</si>
  <si>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</si>
  <si>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</si>
  <si>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#5d to show on Certificate page the table for Library Grant</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</si>
  <si>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</si>
  <si>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</si>
  <si>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</si>
  <si>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</si>
  <si>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</si>
  <si>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Miami County</t>
  </si>
  <si>
    <t>City of Osawatomie</t>
  </si>
  <si>
    <t>Bond &amp; Interest</t>
  </si>
  <si>
    <t>Recreation Employee Benefits</t>
  </si>
  <si>
    <t>Industrial</t>
  </si>
  <si>
    <t>Public Safety Equipment</t>
  </si>
  <si>
    <t>Fire Insurance Proceeds</t>
  </si>
  <si>
    <t>Special Parks &amp; Recreation</t>
  </si>
  <si>
    <t>Tourism</t>
  </si>
  <si>
    <t>12-1617h</t>
  </si>
  <si>
    <t>12-16,102</t>
  </si>
  <si>
    <t>12-110b</t>
  </si>
  <si>
    <t>Street Improvement</t>
  </si>
  <si>
    <t>Water</t>
  </si>
  <si>
    <t>Electric</t>
  </si>
  <si>
    <t>Refuse</t>
  </si>
  <si>
    <t>Sewer</t>
  </si>
  <si>
    <t>Rural Fire</t>
  </si>
  <si>
    <t>Revolving Fund</t>
  </si>
  <si>
    <t>Golf Course</t>
  </si>
  <si>
    <t>Special Revenue (911)</t>
  </si>
  <si>
    <t>Capital Projects - General</t>
  </si>
  <si>
    <t>Capital Improve. - Sewer</t>
  </si>
  <si>
    <t>Capital Improve. - Street</t>
  </si>
  <si>
    <t>Capital Improve. - Grants</t>
  </si>
  <si>
    <t>Street Improvements</t>
  </si>
  <si>
    <t>Court ADSAP</t>
  </si>
  <si>
    <t>Court Bonds</t>
  </si>
  <si>
    <t>Forfeitures</t>
  </si>
  <si>
    <t>Old Stone Church</t>
  </si>
  <si>
    <t>Cafeteria 125-HRA</t>
  </si>
  <si>
    <t>Ann Elmquist</t>
  </si>
  <si>
    <t>Golf</t>
  </si>
  <si>
    <t>Employee Benefit</t>
  </si>
  <si>
    <t>12-825d</t>
  </si>
  <si>
    <t>12-1,118</t>
  </si>
  <si>
    <t>Series 2008B Street Bonds</t>
  </si>
  <si>
    <t>Series 2008A Sewer Rehab.</t>
  </si>
  <si>
    <t>Various</t>
  </si>
  <si>
    <t>3/1 &amp; 9/1</t>
  </si>
  <si>
    <t>2/1 &amp; 8/1</t>
  </si>
  <si>
    <t>3.75-4.5</t>
  </si>
  <si>
    <t>4.1 - 5.5</t>
  </si>
  <si>
    <t>Golf Course Irrigation &amp; Equip.</t>
  </si>
  <si>
    <t>Golf Course Golf Carts</t>
  </si>
  <si>
    <t>Grants</t>
  </si>
  <si>
    <t>City Sales Tax</t>
  </si>
  <si>
    <t>County Sales Tax</t>
  </si>
  <si>
    <t>Charges for Services</t>
  </si>
  <si>
    <t>Fines and Fees</t>
  </si>
  <si>
    <t>Reimbursed Expense</t>
  </si>
  <si>
    <t>Transfer In from Electric</t>
  </si>
  <si>
    <t>Transer In from Sewer</t>
  </si>
  <si>
    <t>Transfer In from Refuse</t>
  </si>
  <si>
    <t>Transfer In from Water</t>
  </si>
  <si>
    <t>Transfer in from Library</t>
  </si>
  <si>
    <t>Sale of Fixed Assets</t>
  </si>
  <si>
    <t>COPS Fast Police Grant</t>
  </si>
  <si>
    <t>Federal Grants</t>
  </si>
  <si>
    <t>Overhead Fees Transfers</t>
  </si>
  <si>
    <t>Administration</t>
  </si>
  <si>
    <t>Sports Complex</t>
  </si>
  <si>
    <t>Police &amp; Fire</t>
  </si>
  <si>
    <t>John Brown Cabin</t>
  </si>
  <si>
    <t>Streets &amp; Alleys</t>
  </si>
  <si>
    <t>Swimming Pool</t>
  </si>
  <si>
    <t>Cemeteries</t>
  </si>
  <si>
    <t>Lakes &amp; Parks</t>
  </si>
  <si>
    <t>Municipal Court</t>
  </si>
  <si>
    <t>Levees &amp; Stormwater</t>
  </si>
  <si>
    <t xml:space="preserve">  Other Assistance</t>
  </si>
  <si>
    <t>Transfer from  Electric</t>
  </si>
  <si>
    <t>Transfer from Water</t>
  </si>
  <si>
    <t>Transfer from Sewer</t>
  </si>
  <si>
    <t>Transfer from Recreation Emp Ben Fund</t>
  </si>
  <si>
    <t>FICA</t>
  </si>
  <si>
    <t>KPERS</t>
  </si>
  <si>
    <t>Health Insurance</t>
  </si>
  <si>
    <t>Workers' Compensation</t>
  </si>
  <si>
    <t>Unemployment Insurance</t>
  </si>
  <si>
    <t>Other Contractual</t>
  </si>
  <si>
    <t>Transfer to 125/HRA Fund</t>
  </si>
  <si>
    <t>Special Assessment</t>
  </si>
  <si>
    <t>Transfer In from Sewer</t>
  </si>
  <si>
    <t>Bond Principal</t>
  </si>
  <si>
    <t>Bond Interest</t>
  </si>
  <si>
    <t>Grant Receipts (Non-CDBG)</t>
  </si>
  <si>
    <t>Donations</t>
  </si>
  <si>
    <t>Professional Services</t>
  </si>
  <si>
    <t>Transfer Out - To General</t>
  </si>
  <si>
    <t>Transfer Out - Library Project Fund</t>
  </si>
  <si>
    <t>Appropriation</t>
  </si>
  <si>
    <t>Transfer to Electric Fund</t>
  </si>
  <si>
    <t>Transfer to Special Parks &amp; Recreation Fund</t>
  </si>
  <si>
    <t>Property Leases</t>
  </si>
  <si>
    <t>Other Contractual Services</t>
  </si>
  <si>
    <t>Other Commodities</t>
  </si>
  <si>
    <t>Capital Equipment</t>
  </si>
  <si>
    <t>Transfer To Employee Benefit Fund</t>
  </si>
  <si>
    <t>City Connecting Links from County</t>
  </si>
  <si>
    <t>Transfer from Electric</t>
  </si>
  <si>
    <t>Transfer from CIP-Streets (reimbursement)</t>
  </si>
  <si>
    <t>Contractual Services</t>
  </si>
  <si>
    <t>Machine Parts</t>
  </si>
  <si>
    <t>Street Materials</t>
  </si>
  <si>
    <t>Fuel</t>
  </si>
  <si>
    <t>Equipment</t>
  </si>
  <si>
    <t>Chip/Seal</t>
  </si>
  <si>
    <t>Vehicles</t>
  </si>
  <si>
    <t>Insurance Proceeds</t>
  </si>
  <si>
    <t>Refund of Unused Funds</t>
  </si>
  <si>
    <t>Transient Guest Tax</t>
  </si>
  <si>
    <t>Old Stone Church Rent</t>
  </si>
  <si>
    <t>Transfer from Electric Fund for Jamboree</t>
  </si>
  <si>
    <t>Transfer from Pay Pal</t>
  </si>
  <si>
    <t>Historic Preservation Fund</t>
  </si>
  <si>
    <t>Educational Garden Fund</t>
  </si>
  <si>
    <t>Souvenirs</t>
  </si>
  <si>
    <t>John Brown Jamboree</t>
  </si>
  <si>
    <t>Special Events - Jamboree</t>
  </si>
  <si>
    <t>Sales/Charges</t>
  </si>
  <si>
    <t>Contract Collection</t>
  </si>
  <si>
    <t>Office Supplies</t>
  </si>
  <si>
    <t>Interest on Investments</t>
  </si>
  <si>
    <t>Greens &amp; Range Fees</t>
  </si>
  <si>
    <t>Member Fees</t>
  </si>
  <si>
    <t>Cart Related Fees</t>
  </si>
  <si>
    <t>Food &amp; Beverage</t>
  </si>
  <si>
    <t>Utilities</t>
  </si>
  <si>
    <t>Rentals</t>
  </si>
  <si>
    <t>Chemicals/Seed/Fertilizer</t>
  </si>
  <si>
    <t>Fuels</t>
  </si>
  <si>
    <t>Construction Equipment</t>
  </si>
  <si>
    <t>All Other Expenditures</t>
  </si>
  <si>
    <t>Operational/Construction Equipment</t>
  </si>
  <si>
    <t>125 Contributions</t>
  </si>
  <si>
    <t>Disbursements</t>
  </si>
  <si>
    <t>Court Fees</t>
  </si>
  <si>
    <t>Bonds</t>
  </si>
  <si>
    <t>Refunds</t>
  </si>
  <si>
    <t>Forfeited Assets</t>
  </si>
  <si>
    <t>Undercover Operations</t>
  </si>
  <si>
    <t>Maintenance</t>
  </si>
  <si>
    <t>Water Sales</t>
  </si>
  <si>
    <t>Bulk Water Sales</t>
  </si>
  <si>
    <t>New Utility Services</t>
  </si>
  <si>
    <t>Other Charges</t>
  </si>
  <si>
    <t>Miscellaneous Revenue</t>
  </si>
  <si>
    <t>Water Protection Tax</t>
  </si>
  <si>
    <t>Tower Lease</t>
  </si>
  <si>
    <t xml:space="preserve">  Personnel</t>
  </si>
  <si>
    <t xml:space="preserve">  Contractual Services</t>
  </si>
  <si>
    <t xml:space="preserve">  Debt Service</t>
  </si>
  <si>
    <t xml:space="preserve">  State Taxes &amp; Fees</t>
  </si>
  <si>
    <t>Treatment</t>
  </si>
  <si>
    <t>Distribution</t>
  </si>
  <si>
    <t xml:space="preserve">  Transfer to General Fund</t>
  </si>
  <si>
    <t xml:space="preserve">  Transfer to Bond &amp; Interest</t>
  </si>
  <si>
    <t xml:space="preserve">  Transfer to Employee Benefits</t>
  </si>
  <si>
    <t xml:space="preserve">  Transfer to General Fund (Overhead)</t>
  </si>
  <si>
    <t>Sales and Charges</t>
  </si>
  <si>
    <t>Penalties and Fees</t>
  </si>
  <si>
    <t>Utility Deposits</t>
  </si>
  <si>
    <t>Sales Taxes Collected</t>
  </si>
  <si>
    <t>Transfers In</t>
  </si>
  <si>
    <t>Production</t>
  </si>
  <si>
    <t xml:space="preserve">  Transfer Out - To General</t>
  </si>
  <si>
    <t xml:space="preserve">  Transfer Out - To Capital Improvements</t>
  </si>
  <si>
    <t xml:space="preserve">  Transfer Out - To Golf Course</t>
  </si>
  <si>
    <t xml:space="preserve">  Transfer Out - To Street Improvement</t>
  </si>
  <si>
    <t xml:space="preserve">  Transfer Out - Street CIP</t>
  </si>
  <si>
    <t xml:space="preserve">  Transfer Out - CIP Grants (Library)</t>
  </si>
  <si>
    <t xml:space="preserve">  Transfer Out - Special Parks and Recreation</t>
  </si>
  <si>
    <t xml:space="preserve">  Transfer Out - Tourism (JBJ)</t>
  </si>
  <si>
    <t xml:space="preserve">  Transfer Out - To EBF for insurance</t>
  </si>
  <si>
    <t xml:space="preserve">  Transfer Out - To Employee Benefit</t>
  </si>
  <si>
    <t xml:space="preserve">  Deposit Refunds and Interest</t>
  </si>
  <si>
    <t xml:space="preserve">  Tranfer to Bond &amp; Interest</t>
  </si>
  <si>
    <t>Liquor Tax</t>
  </si>
  <si>
    <t>Registration Fees</t>
  </si>
  <si>
    <t>Tournament Registrations</t>
  </si>
  <si>
    <t>Tournament Gate</t>
  </si>
  <si>
    <t>Concessions</t>
  </si>
  <si>
    <t>Sponsorship Fees</t>
  </si>
  <si>
    <t>Transfer from Recreation Fund</t>
  </si>
  <si>
    <t>Transfer from Electric Fund</t>
  </si>
  <si>
    <t>Balance from Recreation Commission</t>
  </si>
  <si>
    <t>Facilities</t>
  </si>
  <si>
    <t xml:space="preserve">  Salaries &amp; Wages</t>
  </si>
  <si>
    <t>Recreation Programs</t>
  </si>
  <si>
    <t>Building &amp; Fixed Equip</t>
  </si>
  <si>
    <t>Federal Grant Proceeds</t>
  </si>
  <si>
    <t>Transfer from Library</t>
  </si>
  <si>
    <t>Library Improvements</t>
  </si>
  <si>
    <t>`</t>
  </si>
  <si>
    <t>Dues &amp; Membership</t>
  </si>
  <si>
    <t>Education, Meetings &amp; Travel</t>
  </si>
  <si>
    <t>Professional</t>
  </si>
  <si>
    <t>Printing and Advertising</t>
  </si>
  <si>
    <t>Other Contracutal</t>
  </si>
  <si>
    <t>Volunteer Stipend</t>
  </si>
  <si>
    <t>August 9, 2012</t>
  </si>
  <si>
    <t>7:00 p.m.</t>
  </si>
  <si>
    <t>Memorial Hall</t>
  </si>
  <si>
    <t>Non-Budgeted CIP Funds</t>
  </si>
  <si>
    <t>Non-Budgeted Agency Funds 1</t>
  </si>
  <si>
    <t>Non-Budgeted Agency Funds 2</t>
  </si>
  <si>
    <t xml:space="preserve">  Taxes &amp; Fees</t>
  </si>
  <si>
    <t>2012 G.O. Refunding Bonds</t>
  </si>
  <si>
    <t>2.0-3.0</t>
  </si>
  <si>
    <t>KDHE SRLF - Sewer 1314</t>
  </si>
  <si>
    <t>KDHE SRLF - Sewer 1395</t>
  </si>
  <si>
    <t>KDHE SRLF - Water 2128</t>
  </si>
  <si>
    <t>Series 2003A Street Bonds</t>
  </si>
  <si>
    <t>Series 2003A Refinanced by 2012 GO Refunding Bonds</t>
  </si>
  <si>
    <t>All Refinanced by 2012 GO Refunding Bonds</t>
  </si>
  <si>
    <t>The governing body of  the</t>
  </si>
  <si>
    <t>Special Parks &amp; Rec</t>
  </si>
  <si>
    <t>Capital Projects - Grants</t>
  </si>
  <si>
    <t>Employee Benefits Fund</t>
  </si>
  <si>
    <t>Cafeteria 125/HRA</t>
  </si>
  <si>
    <t>Rec Employee Benefits</t>
  </si>
  <si>
    <t>Electric Fund</t>
  </si>
  <si>
    <t>Capital Projects - Street</t>
  </si>
  <si>
    <t>79-2934</t>
  </si>
  <si>
    <t>79-2958</t>
  </si>
  <si>
    <t>refinanced below</t>
  </si>
  <si>
    <t>refinanced</t>
  </si>
  <si>
    <t>Refinanced OGC Irr &amp; Equip</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</si>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</sst>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 numFmtId="180" formatCode="0.000_);[Red]\(0.000\)"/>
    <numFmt numFmtId="181" formatCode="0_);[Red]\(0\)"/>
  </numFmts>
  <fonts count="62">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family val="3"/>
    </font>
    <font>
      <sz val="12"/>
      <name val="Courier New"/>
      <family val="3"/>
    </font>
    <font>
      <b/>
      <u/>
      <sz val="12"/>
      <name val="Courier"/>
      <family val="3"/>
    </font>
    <font>
      <b/>
      <sz val="12"/>
      <name val="Courier"/>
      <family val="3"/>
    </font>
    <font>
      <i/>
      <sz val="12"/>
      <name val="Courier"/>
      <family val="3"/>
    </font>
    <font>
      <i/>
      <u/>
      <sz val="12"/>
      <name val="Courier"/>
      <family val="3"/>
    </font>
    <font>
      <sz val="12"/>
      <name val="Courier New"/>
      <family val="3"/>
    </font>
    <font>
      <b/>
      <u/>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name val="Courier"/>
      <family val="3"/>
    </font>
    <font>
      <b/>
      <sz val="8"/>
      <color indexed="10"/>
      <name val="Times New Roman"/>
      <family val="1"/>
    </font>
    <font>
      <u/>
      <sz val="12"/>
      <color indexed="12"/>
      <name val="Courier New"/>
      <family val="3"/>
    </font>
    <font>
      <sz val="10"/>
      <color indexed="10"/>
      <name val="Times New Roman"/>
      <family val="1"/>
    </font>
    <font>
      <u/>
      <sz val="12"/>
      <color indexed="10"/>
      <name val="Times New Roman"/>
      <family val="1"/>
    </font>
    <font>
      <u/>
      <sz val="12"/>
      <color indexed="10"/>
      <name val="Times New Roman"/>
      <family val="1"/>
    </font>
    <font>
      <b/>
      <u/>
      <sz val="12"/>
      <color indexed="8"/>
      <name val="Times New Roman"/>
      <family val="1"/>
    </font>
    <font>
      <b/>
      <sz val="11"/>
      <color indexed="8"/>
      <name val="Cambria"/>
      <family val="1"/>
    </font>
    <font>
      <sz val="11"/>
      <color indexed="8"/>
      <name val="Cambria"/>
      <family val="1"/>
    </font>
    <font>
      <b/>
      <sz val="12"/>
      <color indexed="8"/>
      <name val="Times New Roman"/>
      <family val="1"/>
    </font>
    <font>
      <sz val="10"/>
      <color indexed="10"/>
      <name val="Times New Roman"/>
      <family val="1"/>
    </font>
    <font>
      <sz val="12"/>
      <color indexed="10"/>
      <name val="Times New Roman"/>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sz val="12"/>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379">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8" fillId="0" borderId="0"/>
    <xf numFmtId="0" fontId="28" fillId="0" borderId="0"/>
    <xf numFmtId="0" fontId="2" fillId="0" borderId="0"/>
    <xf numFmtId="0" fontId="2"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7"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cellStyleXfs>
  <cellXfs count="1040">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xf numFmtId="0" fontId="4" fillId="2" borderId="0" xfId="0" applyFont="1" applyFill="1" applyProtection="1"/>
    <xf numFmtId="0" fontId="4" fillId="2" borderId="0" xfId="0" applyFont="1" applyFill="1" applyAlignment="1" applyProtection="1">
      <alignment horizontal="right"/>
    </xf>
    <xf numFmtId="37" fontId="4" fillId="2" borderId="0" xfId="0" applyNumberFormat="1" applyFont="1" applyFill="1" applyAlignment="1" applyProtection="1">
      <alignment horizontal="right"/>
    </xf>
    <xf numFmtId="0" fontId="4" fillId="2" borderId="0" xfId="0" applyFont="1" applyFill="1" applyAlignment="1" applyProtection="1">
      <alignment horizontal="centerContinuous"/>
    </xf>
    <xf numFmtId="0" fontId="4" fillId="2" borderId="2" xfId="0" applyFont="1" applyFill="1" applyBorder="1" applyProtection="1"/>
    <xf numFmtId="37" fontId="4" fillId="2" borderId="0" xfId="0" applyNumberFormat="1" applyFont="1" applyFill="1" applyProtection="1"/>
    <xf numFmtId="0" fontId="3" fillId="2" borderId="0" xfId="378" applyFont="1" applyFill="1" applyAlignment="1" applyProtection="1">
      <alignment horizontal="centerContinuous"/>
    </xf>
    <xf numFmtId="0" fontId="4" fillId="2" borderId="1" xfId="0" applyFont="1" applyFill="1" applyBorder="1" applyAlignment="1" applyProtection="1">
      <alignment horizontal="fill"/>
    </xf>
    <xf numFmtId="0" fontId="3" fillId="2" borderId="0" xfId="0" applyFont="1" applyFill="1" applyAlignment="1" applyProtection="1">
      <alignment horizontal="left"/>
    </xf>
    <xf numFmtId="0" fontId="4" fillId="2" borderId="0" xfId="0" applyFont="1" applyFill="1" applyAlignment="1" applyProtection="1">
      <alignment horizontal="center"/>
    </xf>
    <xf numFmtId="0" fontId="4" fillId="2" borderId="0" xfId="0" applyNumberFormat="1" applyFont="1" applyFill="1" applyAlignment="1" applyProtection="1">
      <alignment horizontal="right"/>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0" fontId="4" fillId="3" borderId="0" xfId="377" applyFont="1" applyFill="1" applyProtection="1"/>
    <xf numFmtId="0" fontId="4" fillId="3" borderId="0" xfId="0" applyFont="1" applyFill="1" applyProtection="1"/>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4" borderId="0" xfId="0" applyFont="1" applyFill="1" applyAlignment="1">
      <alignment vertical="center"/>
    </xf>
    <xf numFmtId="0" fontId="4" fillId="0" borderId="0" xfId="0" applyFont="1" applyFill="1" applyAlignment="1">
      <alignment vertical="center"/>
    </xf>
    <xf numFmtId="0" fontId="4" fillId="2" borderId="0" xfId="0" applyFont="1" applyFill="1" applyAlignment="1">
      <alignment vertical="center" wrapText="1"/>
    </xf>
    <xf numFmtId="0" fontId="4" fillId="0" borderId="0" xfId="0" applyFont="1" applyFill="1" applyAlignment="1">
      <alignment vertical="center" wrapText="1"/>
    </xf>
    <xf numFmtId="0" fontId="4" fillId="5" borderId="0" xfId="0" applyFont="1" applyFill="1" applyAlignment="1">
      <alignment vertical="center" wrapText="1"/>
    </xf>
    <xf numFmtId="0" fontId="4" fillId="3"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3" fillId="2" borderId="0" xfId="0" applyNumberFormat="1" applyFont="1" applyFill="1" applyAlignment="1" applyProtection="1">
      <alignment horizontal="left" vertical="center"/>
    </xf>
    <xf numFmtId="0" fontId="4" fillId="2" borderId="0" xfId="0" applyFont="1" applyFill="1" applyAlignment="1" applyProtection="1">
      <alignment vertical="center"/>
    </xf>
    <xf numFmtId="37" fontId="4" fillId="4" borderId="1" xfId="0" applyNumberFormat="1" applyFont="1" applyFill="1" applyBorder="1" applyAlignment="1" applyProtection="1">
      <alignment horizontal="left" vertical="center"/>
      <protection locked="0"/>
    </xf>
    <xf numFmtId="0" fontId="4" fillId="4" borderId="1" xfId="0" applyFont="1" applyFill="1" applyBorder="1" applyAlignment="1" applyProtection="1">
      <alignment vertical="center"/>
    </xf>
    <xf numFmtId="37" fontId="4" fillId="4" borderId="3" xfId="0" applyNumberFormat="1" applyFont="1" applyFill="1" applyBorder="1" applyAlignment="1" applyProtection="1">
      <alignment horizontal="left" vertical="center"/>
      <protection locked="0"/>
    </xf>
    <xf numFmtId="0" fontId="4" fillId="4" borderId="3" xfId="0" applyFont="1" applyFill="1" applyBorder="1" applyAlignment="1" applyProtection="1">
      <alignment vertical="center"/>
    </xf>
    <xf numFmtId="37" fontId="4" fillId="2" borderId="0" xfId="0" applyNumberFormat="1" applyFont="1" applyFill="1" applyAlignment="1" applyProtection="1">
      <alignment horizontal="left" vertical="center"/>
    </xf>
    <xf numFmtId="37" fontId="4" fillId="2" borderId="0" xfId="0" applyNumberFormat="1" applyFont="1" applyFill="1" applyBorder="1" applyAlignment="1" applyProtection="1">
      <alignment horizontal="left" vertical="center"/>
      <protection locked="0"/>
    </xf>
    <xf numFmtId="0" fontId="3" fillId="4" borderId="4" xfId="0" applyFont="1" applyFill="1" applyBorder="1" applyAlignment="1" applyProtection="1">
      <alignment horizontal="center" vertical="center"/>
      <protection locked="0"/>
    </xf>
    <xf numFmtId="37" fontId="3" fillId="2" borderId="0" xfId="0" applyNumberFormat="1" applyFont="1" applyFill="1" applyAlignment="1" applyProtection="1">
      <alignment horizontal="centerContinuous" vertical="center"/>
    </xf>
    <xf numFmtId="0" fontId="4" fillId="2" borderId="0" xfId="0" applyFont="1" applyFill="1" applyAlignment="1" applyProtection="1">
      <alignment horizontal="centerContinuous"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4" fillId="5" borderId="2" xfId="0" applyNumberFormat="1" applyFont="1" applyFill="1" applyBorder="1" applyAlignment="1" applyProtection="1">
      <alignment horizontal="center" vertical="center"/>
    </xf>
    <xf numFmtId="37" fontId="4" fillId="2" borderId="5" xfId="0" applyNumberFormat="1" applyFont="1" applyFill="1" applyBorder="1" applyAlignment="1" applyProtection="1">
      <alignment horizontal="center" vertical="center"/>
    </xf>
    <xf numFmtId="37" fontId="4" fillId="5" borderId="6" xfId="0" applyNumberFormat="1" applyFont="1" applyFill="1" applyBorder="1" applyAlignment="1" applyProtection="1">
      <alignment horizontal="center" vertical="center"/>
    </xf>
    <xf numFmtId="37" fontId="4" fillId="2" borderId="4" xfId="0" applyNumberFormat="1" applyFont="1" applyFill="1" applyBorder="1" applyAlignment="1" applyProtection="1">
      <alignment horizontal="left" vertical="center"/>
    </xf>
    <xf numFmtId="0" fontId="4" fillId="2" borderId="4" xfId="0" applyFont="1" applyFill="1" applyBorder="1" applyAlignment="1" applyProtection="1">
      <alignment vertical="center"/>
    </xf>
    <xf numFmtId="3" fontId="4" fillId="8" borderId="6" xfId="0" applyNumberFormat="1" applyFont="1" applyFill="1" applyBorder="1" applyAlignment="1" applyProtection="1">
      <alignment vertical="center"/>
      <protection locked="0"/>
    </xf>
    <xf numFmtId="3" fontId="4" fillId="8" borderId="4" xfId="0" applyNumberFormat="1" applyFont="1" applyFill="1" applyBorder="1" applyAlignment="1" applyProtection="1">
      <alignment vertical="center"/>
      <protection locked="0"/>
    </xf>
    <xf numFmtId="0" fontId="0" fillId="2" borderId="0" xfId="0" applyFill="1" applyAlignment="1">
      <alignment vertical="center"/>
    </xf>
    <xf numFmtId="0" fontId="4" fillId="8" borderId="4" xfId="0" applyFont="1" applyFill="1" applyBorder="1" applyAlignment="1" applyProtection="1">
      <alignment vertical="center"/>
      <protection locked="0"/>
    </xf>
    <xf numFmtId="37" fontId="4" fillId="2" borderId="1" xfId="0" applyNumberFormat="1" applyFont="1" applyFill="1" applyBorder="1" applyAlignment="1" applyProtection="1">
      <alignment horizontal="left"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37" fontId="4" fillId="2" borderId="7" xfId="0" applyNumberFormat="1" applyFont="1" applyFill="1" applyBorder="1" applyAlignment="1" applyProtection="1">
      <alignment vertical="center"/>
    </xf>
    <xf numFmtId="37" fontId="4" fillId="9" borderId="7" xfId="0" applyNumberFormat="1" applyFont="1" applyFill="1" applyBorder="1" applyAlignment="1" applyProtection="1">
      <alignment vertical="center"/>
    </xf>
    <xf numFmtId="37" fontId="4" fillId="2" borderId="0" xfId="0" applyNumberFormat="1" applyFont="1" applyFill="1" applyBorder="1" applyAlignment="1" applyProtection="1">
      <alignment horizontal="left" vertical="center"/>
    </xf>
    <xf numFmtId="0" fontId="4" fillId="2" borderId="0" xfId="0" applyFont="1" applyFill="1" applyBorder="1" applyAlignment="1" applyProtection="1">
      <alignment vertical="center"/>
    </xf>
    <xf numFmtId="37" fontId="4" fillId="2" borderId="0" xfId="0" applyNumberFormat="1" applyFont="1" applyFill="1" applyBorder="1" applyAlignment="1" applyProtection="1">
      <alignment vertical="center"/>
    </xf>
    <xf numFmtId="164" fontId="4" fillId="8" borderId="4"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xf>
    <xf numFmtId="3" fontId="4" fillId="9" borderId="4" xfId="0" applyNumberFormat="1" applyFont="1" applyFill="1" applyBorder="1" applyAlignment="1" applyProtection="1">
      <alignment vertical="center"/>
    </xf>
    <xf numFmtId="164" fontId="4" fillId="2" borderId="6" xfId="0" applyNumberFormat="1" applyFont="1" applyFill="1" applyBorder="1" applyAlignment="1" applyProtection="1">
      <alignment vertical="center"/>
      <protection locked="0"/>
    </xf>
    <xf numFmtId="3" fontId="4" fillId="2" borderId="0" xfId="0" applyNumberFormat="1" applyFont="1" applyFill="1" applyBorder="1" applyAlignment="1" applyProtection="1">
      <alignment vertical="center"/>
      <protection locked="0"/>
    </xf>
    <xf numFmtId="37" fontId="4" fillId="6" borderId="0" xfId="0" applyNumberFormat="1" applyFont="1" applyFill="1" applyAlignment="1" applyProtection="1">
      <alignment horizontal="center" vertical="center"/>
    </xf>
    <xf numFmtId="0" fontId="4" fillId="6" borderId="1" xfId="0" applyFont="1" applyFill="1" applyBorder="1" applyAlignment="1">
      <alignment horizontal="center" vertical="center"/>
    </xf>
    <xf numFmtId="37" fontId="4" fillId="2" borderId="4" xfId="0" applyNumberFormat="1" applyFont="1" applyFill="1" applyBorder="1" applyAlignment="1" applyProtection="1">
      <alignment vertical="center"/>
    </xf>
    <xf numFmtId="164" fontId="4" fillId="9" borderId="4" xfId="0" applyNumberFormat="1" applyFont="1" applyFill="1" applyBorder="1" applyAlignment="1" applyProtection="1">
      <alignment vertical="center"/>
    </xf>
    <xf numFmtId="37" fontId="4" fillId="5" borderId="1" xfId="0" applyNumberFormat="1" applyFont="1" applyFill="1" applyBorder="1" applyAlignment="1" applyProtection="1">
      <alignment horizontal="left" vertical="center"/>
    </xf>
    <xf numFmtId="0" fontId="4" fillId="5" borderId="1" xfId="0" applyFont="1" applyFill="1" applyBorder="1" applyAlignment="1" applyProtection="1">
      <alignment vertical="center"/>
    </xf>
    <xf numFmtId="37" fontId="4" fillId="5" borderId="3" xfId="0" applyNumberFormat="1" applyFont="1" applyFill="1" applyBorder="1" applyAlignment="1" applyProtection="1">
      <alignment horizontal="left" vertical="center"/>
    </xf>
    <xf numFmtId="0" fontId="4" fillId="5" borderId="3" xfId="0" applyFont="1" applyFill="1" applyBorder="1" applyAlignment="1" applyProtection="1">
      <alignment vertical="center"/>
    </xf>
    <xf numFmtId="0" fontId="4" fillId="2" borderId="7" xfId="0" applyFont="1" applyFill="1" applyBorder="1" applyAlignment="1" applyProtection="1">
      <alignment vertical="center"/>
    </xf>
    <xf numFmtId="37" fontId="12" fillId="6" borderId="0" xfId="0" applyNumberFormat="1" applyFont="1" applyFill="1" applyAlignment="1" applyProtection="1">
      <alignment horizontal="left" vertical="center"/>
    </xf>
    <xf numFmtId="0" fontId="5" fillId="5" borderId="0" xfId="0" applyFont="1" applyFill="1" applyAlignment="1" applyProtection="1">
      <alignment vertical="center"/>
    </xf>
    <xf numFmtId="0" fontId="5" fillId="2" borderId="0" xfId="0" applyFont="1" applyFill="1" applyAlignment="1" applyProtection="1">
      <alignment horizontal="center" vertical="center"/>
    </xf>
    <xf numFmtId="3" fontId="4" fillId="2" borderId="0" xfId="0" applyNumberFormat="1" applyFont="1" applyFill="1" applyAlignment="1" applyProtection="1">
      <alignment vertical="center"/>
    </xf>
    <xf numFmtId="0" fontId="4" fillId="2" borderId="0" xfId="0" applyFont="1" applyFill="1" applyAlignment="1" applyProtection="1">
      <alignment vertical="center"/>
      <protection locked="0"/>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6" borderId="1" xfId="0" applyFont="1" applyFill="1" applyBorder="1" applyAlignment="1" applyProtection="1">
      <alignment vertical="center"/>
    </xf>
    <xf numFmtId="0" fontId="4" fillId="2" borderId="5" xfId="0" applyFont="1" applyFill="1" applyBorder="1" applyAlignment="1" applyProtection="1">
      <alignment vertical="center"/>
      <protection locked="0"/>
    </xf>
    <xf numFmtId="3" fontId="4" fillId="4" borderId="4" xfId="0" applyNumberFormat="1" applyFont="1" applyFill="1" applyBorder="1" applyAlignment="1" applyProtection="1">
      <alignment vertical="center"/>
      <protection locked="0"/>
    </xf>
    <xf numFmtId="0" fontId="4" fillId="6" borderId="3" xfId="0" applyFont="1" applyFill="1" applyBorder="1" applyAlignment="1" applyProtection="1">
      <alignment vertical="center"/>
    </xf>
    <xf numFmtId="0" fontId="4" fillId="2" borderId="7" xfId="0" applyFont="1" applyFill="1" applyBorder="1" applyAlignment="1" applyProtection="1">
      <alignment vertical="center"/>
      <protection locked="0"/>
    </xf>
    <xf numFmtId="0" fontId="0" fillId="0" borderId="0" xfId="0" applyAlignment="1">
      <alignment vertical="center"/>
    </xf>
    <xf numFmtId="37" fontId="4" fillId="2" borderId="3" xfId="0" applyNumberFormat="1" applyFont="1" applyFill="1" applyBorder="1" applyAlignment="1" applyProtection="1">
      <alignment horizontal="left" vertical="center"/>
    </xf>
    <xf numFmtId="37" fontId="4" fillId="4" borderId="4" xfId="0" applyNumberFormat="1" applyFont="1" applyFill="1" applyBorder="1" applyAlignment="1" applyProtection="1">
      <alignment vertical="center"/>
      <protection locked="0"/>
    </xf>
    <xf numFmtId="37" fontId="3" fillId="2" borderId="3" xfId="0" applyNumberFormat="1"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171" fontId="4" fillId="4" borderId="1" xfId="0" applyNumberFormat="1" applyFont="1" applyFill="1" applyBorder="1" applyAlignment="1" applyProtection="1">
      <alignment vertical="center"/>
      <protection locked="0"/>
    </xf>
    <xf numFmtId="171" fontId="4" fillId="4" borderId="3" xfId="0" applyNumberFormat="1" applyFont="1" applyFill="1" applyBorder="1" applyAlignment="1" applyProtection="1">
      <alignment vertical="center"/>
      <protection locked="0"/>
    </xf>
    <xf numFmtId="0" fontId="4" fillId="2" borderId="8" xfId="0" applyFont="1" applyFill="1" applyBorder="1" applyAlignment="1" applyProtection="1">
      <alignment vertical="center"/>
    </xf>
    <xf numFmtId="171" fontId="4" fillId="4" borderId="8" xfId="0" applyNumberFormat="1" applyFont="1" applyFill="1" applyBorder="1" applyAlignment="1" applyProtection="1">
      <alignment vertical="center"/>
      <protection locked="0"/>
    </xf>
    <xf numFmtId="0" fontId="0" fillId="2" borderId="0" xfId="0" applyFill="1" applyAlignment="1" applyProtection="1">
      <alignment vertical="center"/>
    </xf>
    <xf numFmtId="0" fontId="0" fillId="2" borderId="0" xfId="0" applyFill="1" applyBorder="1" applyAlignment="1" applyProtection="1">
      <alignment vertical="center"/>
    </xf>
    <xf numFmtId="171" fontId="4" fillId="2" borderId="4" xfId="0" applyNumberFormat="1" applyFont="1" applyFill="1" applyBorder="1" applyAlignment="1" applyProtection="1">
      <alignment vertical="center"/>
    </xf>
    <xf numFmtId="0" fontId="0" fillId="2" borderId="1" xfId="0" applyFill="1" applyBorder="1" applyAlignment="1" applyProtection="1">
      <alignment vertical="center"/>
    </xf>
    <xf numFmtId="37" fontId="3" fillId="6" borderId="0" xfId="0" applyNumberFormat="1" applyFont="1" applyFill="1" applyAlignment="1" applyProtection="1">
      <alignment horizontal="left" vertical="center"/>
    </xf>
    <xf numFmtId="3" fontId="4" fillId="6" borderId="0" xfId="0" applyNumberFormat="1" applyFont="1" applyFill="1" applyAlignment="1" applyProtection="1">
      <alignment vertical="center"/>
    </xf>
    <xf numFmtId="3" fontId="4" fillId="2" borderId="5" xfId="0" applyNumberFormat="1" applyFont="1" applyFill="1" applyBorder="1" applyAlignment="1" applyProtection="1">
      <alignment vertical="center"/>
    </xf>
    <xf numFmtId="3" fontId="4" fillId="2" borderId="7" xfId="0" applyNumberFormat="1" applyFont="1" applyFill="1" applyBorder="1" applyAlignment="1" applyProtection="1">
      <alignment vertical="center"/>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2" borderId="1" xfId="0" applyFont="1" applyFill="1"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0" fontId="4" fillId="2" borderId="3" xfId="0" applyFont="1" applyFill="1" applyBorder="1" applyAlignment="1">
      <alignment vertical="center"/>
    </xf>
    <xf numFmtId="0" fontId="0" fillId="2" borderId="3" xfId="0" applyFill="1" applyBorder="1" applyAlignment="1">
      <alignment vertical="center"/>
    </xf>
    <xf numFmtId="0" fontId="0" fillId="2" borderId="7" xfId="0" applyFill="1" applyBorder="1" applyAlignment="1">
      <alignment vertical="center"/>
    </xf>
    <xf numFmtId="0" fontId="0" fillId="3" borderId="0" xfId="0" applyFill="1" applyAlignment="1">
      <alignment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15" fillId="2" borderId="0" xfId="0" applyFont="1" applyFill="1" applyAlignment="1">
      <alignment vertical="center"/>
    </xf>
    <xf numFmtId="0" fontId="18" fillId="2" borderId="0" xfId="0" applyFont="1" applyFill="1" applyAlignment="1">
      <alignment vertical="center"/>
    </xf>
    <xf numFmtId="37" fontId="4" fillId="2" borderId="4" xfId="0" applyNumberFormat="1" applyFont="1" applyFill="1" applyBorder="1" applyAlignment="1">
      <alignment vertical="center"/>
    </xf>
    <xf numFmtId="0" fontId="4" fillId="2" borderId="0" xfId="0" applyFont="1" applyFill="1" applyAlignment="1" applyProtection="1">
      <alignment horizontal="right" vertical="center"/>
    </xf>
    <xf numFmtId="37" fontId="4" fillId="2" borderId="0" xfId="0" applyNumberFormat="1" applyFont="1" applyFill="1" applyAlignment="1" applyProtection="1">
      <alignment horizontal="center" vertical="center"/>
    </xf>
    <xf numFmtId="37" fontId="4" fillId="2" borderId="0" xfId="0" applyNumberFormat="1" applyFont="1" applyFill="1" applyAlignment="1" applyProtection="1">
      <alignment horizontal="centerContinuous" vertical="center"/>
    </xf>
    <xf numFmtId="37" fontId="4" fillId="2" borderId="9" xfId="0" applyNumberFormat="1" applyFont="1" applyFill="1" applyBorder="1" applyAlignment="1" applyProtection="1">
      <alignment horizontal="centerContinuous" vertical="center"/>
    </xf>
    <xf numFmtId="0" fontId="4" fillId="2" borderId="3" xfId="0" applyFont="1" applyFill="1" applyBorder="1" applyAlignment="1" applyProtection="1">
      <alignment horizontal="centerContinuous" vertical="center"/>
    </xf>
    <xf numFmtId="0" fontId="4" fillId="2" borderId="7" xfId="0" applyFont="1" applyFill="1" applyBorder="1" applyAlignment="1" applyProtection="1">
      <alignment horizontal="centerContinuous" vertical="center"/>
    </xf>
    <xf numFmtId="37" fontId="4" fillId="2" borderId="1" xfId="0" applyNumberFormat="1" applyFont="1" applyFill="1" applyBorder="1" applyAlignment="1" applyProtection="1">
      <alignment horizontal="fill" vertical="center"/>
    </xf>
    <xf numFmtId="37" fontId="4" fillId="2" borderId="2" xfId="0" applyNumberFormat="1" applyFont="1" applyFill="1" applyBorder="1" applyAlignment="1" applyProtection="1">
      <alignment horizontal="left" vertical="center"/>
    </xf>
    <xf numFmtId="37" fontId="4" fillId="2" borderId="2"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center" vertical="center"/>
    </xf>
    <xf numFmtId="0" fontId="4" fillId="2" borderId="10" xfId="0" applyFont="1" applyFill="1" applyBorder="1" applyAlignment="1">
      <alignment horizontal="center" vertical="center"/>
    </xf>
    <xf numFmtId="37" fontId="3" fillId="2" borderId="1" xfId="0" applyNumberFormat="1" applyFont="1" applyFill="1" applyBorder="1" applyAlignment="1" applyProtection="1">
      <alignment horizontal="left" vertical="center"/>
    </xf>
    <xf numFmtId="37" fontId="4" fillId="2" borderId="6" xfId="0" applyNumberFormat="1" applyFont="1" applyFill="1" applyBorder="1" applyAlignment="1" applyProtection="1">
      <alignment horizontal="center" vertical="center"/>
    </xf>
    <xf numFmtId="0" fontId="4" fillId="2" borderId="6" xfId="0" applyFont="1" applyFill="1" applyBorder="1" applyAlignment="1">
      <alignment horizontal="center" vertical="center"/>
    </xf>
    <xf numFmtId="37" fontId="4" fillId="2" borderId="9" xfId="0" applyNumberFormat="1" applyFont="1" applyFill="1" applyBorder="1" applyAlignment="1" applyProtection="1">
      <alignment horizontal="left" vertical="center"/>
    </xf>
    <xf numFmtId="37" fontId="4" fillId="2" borderId="4" xfId="0" applyNumberFormat="1" applyFont="1" applyFill="1" applyBorder="1" applyAlignment="1" applyProtection="1">
      <alignment horizontal="center"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vertical="center"/>
    </xf>
    <xf numFmtId="37" fontId="12" fillId="2" borderId="9" xfId="0" applyNumberFormat="1" applyFont="1" applyFill="1" applyBorder="1" applyAlignment="1" applyProtection="1">
      <alignment horizontal="left" vertical="center"/>
    </xf>
    <xf numFmtId="37" fontId="12" fillId="2" borderId="7" xfId="0" applyNumberFormat="1"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vertical="center"/>
    </xf>
    <xf numFmtId="37" fontId="4" fillId="9" borderId="4" xfId="0" applyNumberFormat="1" applyFont="1" applyFill="1" applyBorder="1" applyAlignment="1" applyProtection="1">
      <alignment horizontal="center" vertical="center"/>
    </xf>
    <xf numFmtId="37" fontId="4" fillId="2" borderId="9" xfId="0" applyNumberFormat="1" applyFont="1" applyFill="1" applyBorder="1" applyAlignment="1" applyProtection="1">
      <alignment vertical="center"/>
    </xf>
    <xf numFmtId="0" fontId="4" fillId="2" borderId="7" xfId="0" applyFont="1" applyFill="1" applyBorder="1" applyAlignment="1" applyProtection="1">
      <alignment horizontal="center" vertical="center"/>
    </xf>
    <xf numFmtId="37" fontId="4" fillId="2" borderId="7" xfId="0" applyNumberFormat="1"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37" fontId="4" fillId="10" borderId="4" xfId="0" applyNumberFormat="1" applyFont="1" applyFill="1" applyBorder="1" applyAlignment="1" applyProtection="1">
      <alignment horizontal="left" vertical="center"/>
    </xf>
    <xf numFmtId="0" fontId="4" fillId="10" borderId="4" xfId="0" applyFont="1" applyFill="1" applyBorder="1" applyAlignment="1" applyProtection="1">
      <alignment vertical="center"/>
    </xf>
    <xf numFmtId="37" fontId="4" fillId="10" borderId="4" xfId="0" applyNumberFormat="1" applyFont="1" applyFill="1" applyBorder="1" applyAlignment="1" applyProtection="1">
      <alignment vertical="center"/>
    </xf>
    <xf numFmtId="0" fontId="0" fillId="10" borderId="4" xfId="0" applyFill="1" applyBorder="1" applyAlignment="1" applyProtection="1">
      <alignment vertical="center"/>
    </xf>
    <xf numFmtId="0" fontId="15" fillId="10" borderId="7" xfId="0" applyFont="1" applyFill="1" applyBorder="1" applyAlignment="1" applyProtection="1">
      <alignment horizontal="center" vertical="center"/>
    </xf>
    <xf numFmtId="37" fontId="4" fillId="2" borderId="0" xfId="0" applyNumberFormat="1" applyFont="1" applyFill="1" applyAlignment="1" applyProtection="1">
      <alignment horizontal="right" vertical="center"/>
    </xf>
    <xf numFmtId="0" fontId="4" fillId="2" borderId="0" xfId="0" applyFont="1" applyFill="1" applyBorder="1" applyAlignment="1" applyProtection="1">
      <alignment horizontal="right" vertical="center"/>
    </xf>
    <xf numFmtId="0" fontId="4"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4" fillId="2" borderId="0" xfId="0" applyFont="1" applyFill="1" applyAlignment="1">
      <alignment vertical="center"/>
    </xf>
    <xf numFmtId="37" fontId="4" fillId="2" borderId="0" xfId="0" applyNumberFormat="1"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0" xfId="0" quotePrefix="1" applyFont="1" applyFill="1" applyAlignment="1">
      <alignment horizontal="right" vertical="center"/>
    </xf>
    <xf numFmtId="3" fontId="4" fillId="2" borderId="0" xfId="0" applyNumberFormat="1" applyFont="1" applyFill="1" applyAlignment="1">
      <alignment vertical="center"/>
    </xf>
    <xf numFmtId="3" fontId="4" fillId="2" borderId="0" xfId="0" quotePrefix="1" applyNumberFormat="1" applyFont="1" applyFill="1" applyAlignment="1">
      <alignment vertical="center"/>
    </xf>
    <xf numFmtId="3" fontId="4" fillId="2" borderId="1" xfId="0" applyNumberFormat="1" applyFont="1" applyFill="1" applyBorder="1" applyAlignment="1">
      <alignment vertical="center"/>
    </xf>
    <xf numFmtId="3" fontId="4" fillId="2" borderId="3" xfId="0" applyNumberFormat="1" applyFont="1" applyFill="1" applyBorder="1" applyAlignment="1" applyProtection="1">
      <alignment horizontal="right" vertical="center"/>
    </xf>
    <xf numFmtId="0" fontId="3" fillId="2" borderId="0" xfId="0" applyFont="1" applyFill="1" applyAlignment="1">
      <alignment vertical="center"/>
    </xf>
    <xf numFmtId="3" fontId="4" fillId="2" borderId="3" xfId="0" applyNumberFormat="1" applyFont="1" applyFill="1" applyBorder="1" applyAlignment="1">
      <alignment vertical="center"/>
    </xf>
    <xf numFmtId="3" fontId="4" fillId="2" borderId="1" xfId="0" applyNumberFormat="1" applyFont="1" applyFill="1" applyBorder="1" applyAlignment="1" applyProtection="1">
      <alignment vertical="center"/>
    </xf>
    <xf numFmtId="3" fontId="4" fillId="2" borderId="0" xfId="0" applyNumberFormat="1" applyFont="1" applyFill="1" applyBorder="1" applyAlignment="1">
      <alignment vertical="center"/>
    </xf>
    <xf numFmtId="0" fontId="4" fillId="2" borderId="0" xfId="0" quotePrefix="1" applyFont="1" applyFill="1" applyAlignment="1">
      <alignment vertical="center"/>
    </xf>
    <xf numFmtId="0" fontId="4" fillId="2" borderId="0" xfId="0" applyFont="1" applyFill="1" applyAlignment="1">
      <alignment horizontal="right" vertical="center"/>
    </xf>
    <xf numFmtId="3" fontId="4" fillId="2" borderId="3" xfId="0" applyNumberFormat="1" applyFont="1" applyFill="1" applyBorder="1" applyAlignment="1" applyProtection="1">
      <alignment vertical="center"/>
    </xf>
    <xf numFmtId="3" fontId="4" fillId="2" borderId="8" xfId="0" applyNumberFormat="1" applyFont="1" applyFill="1" applyBorder="1" applyAlignment="1">
      <alignment vertical="center"/>
    </xf>
    <xf numFmtId="0" fontId="4" fillId="2" borderId="8" xfId="0" applyFont="1" applyFill="1" applyBorder="1" applyAlignment="1">
      <alignment vertical="center"/>
    </xf>
    <xf numFmtId="0" fontId="4" fillId="2" borderId="0" xfId="0" applyFont="1" applyFill="1" applyBorder="1" applyAlignment="1">
      <alignment vertical="center"/>
    </xf>
    <xf numFmtId="167" fontId="4" fillId="2" borderId="1" xfId="0" applyNumberFormat="1" applyFont="1" applyFill="1" applyBorder="1" applyAlignment="1">
      <alignment vertical="center"/>
    </xf>
    <xf numFmtId="0" fontId="4" fillId="2" borderId="0" xfId="0" quotePrefix="1" applyFont="1" applyFill="1" applyBorder="1" applyAlignment="1">
      <alignment vertical="center"/>
    </xf>
    <xf numFmtId="3" fontId="4" fillId="2" borderId="13" xfId="0" applyNumberFormat="1" applyFont="1" applyFill="1" applyBorder="1" applyAlignment="1">
      <alignment vertical="center"/>
    </xf>
    <xf numFmtId="3" fontId="4" fillId="2" borderId="1" xfId="1" applyNumberFormat="1" applyFont="1" applyFill="1" applyBorder="1" applyAlignment="1" applyProtection="1">
      <alignment vertical="center"/>
    </xf>
    <xf numFmtId="0" fontId="6" fillId="0" borderId="0" xfId="0" applyFont="1" applyAlignment="1">
      <alignment vertical="center"/>
    </xf>
    <xf numFmtId="37" fontId="4" fillId="2" borderId="0" xfId="0" applyNumberFormat="1" applyFont="1" applyFill="1" applyAlignment="1" applyProtection="1">
      <alignment vertical="center"/>
    </xf>
    <xf numFmtId="0" fontId="4" fillId="2" borderId="1" xfId="0" applyFont="1" applyFill="1" applyBorder="1" applyAlignment="1" applyProtection="1">
      <alignment horizontal="centerContinuous" vertical="center"/>
    </xf>
    <xf numFmtId="0" fontId="4" fillId="2" borderId="2" xfId="0" applyFont="1" applyFill="1" applyBorder="1" applyAlignment="1" applyProtection="1">
      <alignment horizontal="center" vertical="center"/>
    </xf>
    <xf numFmtId="37" fontId="4" fillId="2" borderId="12" xfId="0" applyNumberFormat="1"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166" fontId="4" fillId="2" borderId="0" xfId="0" applyNumberFormat="1" applyFont="1" applyFill="1" applyAlignment="1" applyProtection="1">
      <alignment vertical="center"/>
    </xf>
    <xf numFmtId="165" fontId="4" fillId="9" borderId="1" xfId="0" applyNumberFormat="1"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 fontId="4" fillId="2" borderId="6" xfId="0" applyNumberFormat="1" applyFont="1" applyFill="1" applyBorder="1" applyAlignment="1" applyProtection="1">
      <alignment horizontal="center" vertical="center"/>
    </xf>
    <xf numFmtId="170" fontId="4" fillId="4" borderId="6" xfId="1" applyNumberFormat="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4" xfId="0" applyFont="1" applyFill="1" applyBorder="1" applyAlignment="1" applyProtection="1">
      <alignment vertical="center"/>
      <protection locked="0"/>
    </xf>
    <xf numFmtId="170" fontId="4" fillId="4" borderId="4" xfId="1"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3" fontId="4" fillId="9" borderId="4" xfId="0" applyNumberFormat="1"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37" fontId="3" fillId="2" borderId="4" xfId="0" applyNumberFormat="1" applyFont="1" applyFill="1" applyBorder="1" applyAlignment="1" applyProtection="1">
      <alignment horizontal="center" vertical="center"/>
    </xf>
    <xf numFmtId="0" fontId="4" fillId="4" borderId="4" xfId="0" applyFont="1" applyFill="1" applyBorder="1" applyAlignment="1" applyProtection="1">
      <alignment horizontal="center" vertical="center"/>
      <protection locked="0"/>
    </xf>
    <xf numFmtId="1" fontId="4" fillId="2" borderId="0" xfId="0" applyNumberFormat="1" applyFont="1" applyFill="1" applyBorder="1" applyAlignment="1" applyProtection="1">
      <alignment horizontal="right" vertical="center"/>
    </xf>
    <xf numFmtId="0" fontId="3" fillId="2" borderId="0" xfId="378" applyFont="1" applyFill="1" applyAlignment="1" applyProtection="1">
      <alignment horizontal="centerContinuous" vertical="center"/>
    </xf>
    <xf numFmtId="0" fontId="4" fillId="2" borderId="1" xfId="0" applyFont="1" applyFill="1" applyBorder="1" applyAlignment="1" applyProtection="1">
      <alignment horizontal="fill" vertical="center"/>
    </xf>
    <xf numFmtId="0" fontId="4" fillId="2" borderId="14" xfId="0" applyFont="1" applyFill="1" applyBorder="1" applyAlignment="1" applyProtection="1">
      <alignment horizontal="centerContinuous" vertical="center"/>
    </xf>
    <xf numFmtId="0" fontId="4" fillId="2" borderId="12" xfId="0" applyFont="1" applyFill="1" applyBorder="1" applyAlignment="1" applyProtection="1">
      <alignment horizontal="centerContinuous" vertical="center"/>
    </xf>
    <xf numFmtId="0" fontId="4" fillId="2" borderId="10" xfId="0" applyFont="1" applyFill="1" applyBorder="1" applyAlignment="1" applyProtection="1">
      <alignment horizontal="center" vertical="center"/>
    </xf>
    <xf numFmtId="1" fontId="4" fillId="2" borderId="15" xfId="0" applyNumberFormat="1" applyFont="1" applyFill="1" applyBorder="1" applyAlignment="1" applyProtection="1">
      <alignment horizontal="center" vertical="center"/>
    </xf>
    <xf numFmtId="0" fontId="4" fillId="2" borderId="4" xfId="0" applyFont="1" applyFill="1" applyBorder="1" applyAlignment="1" applyProtection="1">
      <alignment horizontal="left" vertical="center"/>
    </xf>
    <xf numFmtId="2" fontId="4" fillId="2" borderId="4" xfId="0" applyNumberFormat="1" applyFont="1" applyFill="1" applyBorder="1" applyAlignment="1" applyProtection="1">
      <alignment vertical="center"/>
    </xf>
    <xf numFmtId="3" fontId="4" fillId="2" borderId="4" xfId="0" applyNumberFormat="1" applyFont="1" applyFill="1" applyBorder="1" applyAlignment="1" applyProtection="1">
      <alignment vertical="center"/>
    </xf>
    <xf numFmtId="2" fontId="4" fillId="8" borderId="4" xfId="0" applyNumberFormat="1" applyFont="1" applyFill="1" applyBorder="1" applyAlignment="1" applyProtection="1">
      <alignment horizontal="center" vertical="center"/>
      <protection locked="0"/>
    </xf>
    <xf numFmtId="3" fontId="4" fillId="8" borderId="4" xfId="0" applyNumberFormat="1" applyFont="1" applyFill="1" applyBorder="1" applyAlignment="1" applyProtection="1">
      <alignment horizontal="center" vertical="center"/>
      <protection locked="0"/>
    </xf>
    <xf numFmtId="37" fontId="4" fillId="8" borderId="4" xfId="0" applyNumberFormat="1" applyFont="1" applyFill="1" applyBorder="1" applyAlignment="1" applyProtection="1">
      <alignment horizontal="center" vertical="center"/>
      <protection locked="0"/>
    </xf>
    <xf numFmtId="169" fontId="4" fillId="8" borderId="4"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xf>
    <xf numFmtId="168" fontId="3" fillId="2" borderId="4" xfId="0" applyNumberFormat="1" applyFont="1" applyFill="1" applyBorder="1" applyAlignment="1" applyProtection="1">
      <alignment horizontal="center" vertical="center"/>
    </xf>
    <xf numFmtId="2" fontId="3" fillId="2" borderId="4" xfId="0" applyNumberFormat="1" applyFont="1" applyFill="1" applyBorder="1" applyAlignment="1" applyProtection="1">
      <alignment horizontal="center" vertical="center"/>
    </xf>
    <xf numFmtId="3" fontId="3" fillId="2" borderId="4" xfId="0" applyNumberFormat="1" applyFont="1" applyFill="1" applyBorder="1" applyAlignment="1" applyProtection="1">
      <alignment horizontal="center" vertical="center"/>
    </xf>
    <xf numFmtId="37" fontId="3" fillId="9" borderId="4" xfId="0" applyNumberFormat="1" applyFont="1" applyFill="1" applyBorder="1" applyAlignment="1" applyProtection="1">
      <alignment horizontal="center" vertical="center"/>
    </xf>
    <xf numFmtId="169" fontId="3" fillId="2" borderId="4" xfId="0" applyNumberFormat="1" applyFont="1" applyFill="1" applyBorder="1" applyAlignment="1" applyProtection="1">
      <alignment horizontal="center" vertical="center"/>
    </xf>
    <xf numFmtId="168" fontId="4" fillId="2" borderId="4" xfId="0" applyNumberFormat="1" applyFont="1" applyFill="1" applyBorder="1" applyAlignment="1" applyProtection="1">
      <alignment horizontal="center" vertical="center"/>
    </xf>
    <xf numFmtId="2" fontId="4" fillId="2" borderId="4"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xf>
    <xf numFmtId="169" fontId="4" fillId="2" borderId="4" xfId="0" applyNumberFormat="1" applyFont="1" applyFill="1" applyBorder="1" applyAlignment="1" applyProtection="1">
      <alignment horizontal="center" vertical="center"/>
    </xf>
    <xf numFmtId="1" fontId="3" fillId="2" borderId="4" xfId="0" applyNumberFormat="1" applyFont="1" applyFill="1" applyBorder="1" applyAlignment="1" applyProtection="1">
      <alignment horizontal="center" vertical="center"/>
    </xf>
    <xf numFmtId="3" fontId="3" fillId="9" borderId="4" xfId="0" applyNumberFormat="1" applyFont="1" applyFill="1" applyBorder="1" applyAlignment="1" applyProtection="1">
      <alignment horizontal="center" vertical="center"/>
    </xf>
    <xf numFmtId="1" fontId="4" fillId="2" borderId="4"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2" borderId="0" xfId="0" applyNumberFormat="1" applyFont="1" applyFill="1" applyAlignment="1" applyProtection="1">
      <alignment horizontal="right" vertical="center"/>
    </xf>
    <xf numFmtId="0" fontId="3" fillId="2" borderId="0" xfId="0" applyFont="1" applyFill="1" applyAlignment="1" applyProtection="1">
      <alignment vertical="center"/>
    </xf>
    <xf numFmtId="0" fontId="4" fillId="2" borderId="0" xfId="0" applyFont="1" applyFill="1" applyBorder="1" applyAlignment="1" applyProtection="1">
      <alignment horizontal="fill" vertical="center"/>
    </xf>
    <xf numFmtId="1" fontId="4" fillId="2" borderId="14" xfId="0" applyNumberFormat="1" applyFont="1" applyFill="1" applyBorder="1" applyAlignment="1" applyProtection="1">
      <alignment horizontal="center" vertical="center"/>
    </xf>
    <xf numFmtId="37" fontId="4" fillId="2" borderId="14"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4" fillId="2" borderId="9" xfId="0" applyFont="1" applyFill="1" applyBorder="1" applyAlignment="1" applyProtection="1">
      <alignment horizontal="left" vertical="center"/>
    </xf>
    <xf numFmtId="37" fontId="4" fillId="8" borderId="9" xfId="0" applyNumberFormat="1" applyFont="1" applyFill="1" applyBorder="1" applyAlignment="1" applyProtection="1">
      <alignment vertical="center"/>
      <protection locked="0"/>
    </xf>
    <xf numFmtId="37" fontId="4" fillId="8" borderId="7"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xf>
    <xf numFmtId="0" fontId="4" fillId="2" borderId="15" xfId="0" applyFont="1" applyFill="1" applyBorder="1" applyAlignment="1" applyProtection="1">
      <alignment horizontal="left" vertical="center"/>
    </xf>
    <xf numFmtId="3" fontId="4" fillId="8" borderId="9" xfId="0" applyNumberFormat="1" applyFont="1" applyFill="1" applyBorder="1" applyAlignment="1" applyProtection="1">
      <alignment vertical="center"/>
      <protection locked="0"/>
    </xf>
    <xf numFmtId="3" fontId="4" fillId="8" borderId="7" xfId="0" applyNumberFormat="1" applyFont="1" applyFill="1" applyBorder="1" applyAlignment="1" applyProtection="1">
      <alignment vertical="center"/>
      <protection locked="0"/>
    </xf>
    <xf numFmtId="37" fontId="4" fillId="2" borderId="4" xfId="0" applyNumberFormat="1" applyFont="1" applyFill="1" applyBorder="1" applyAlignment="1" applyProtection="1">
      <alignment horizontal="fill" vertical="center"/>
    </xf>
    <xf numFmtId="37" fontId="4" fillId="8" borderId="4" xfId="0" applyNumberFormat="1" applyFont="1" applyFill="1" applyBorder="1" applyAlignment="1" applyProtection="1">
      <alignment vertical="center"/>
      <protection locked="0"/>
    </xf>
    <xf numFmtId="0" fontId="4" fillId="8" borderId="9" xfId="0" applyFont="1" applyFill="1" applyBorder="1" applyAlignment="1" applyProtection="1">
      <alignment horizontal="left" vertical="center"/>
      <protection locked="0"/>
    </xf>
    <xf numFmtId="37" fontId="15" fillId="10" borderId="9" xfId="0" applyNumberFormat="1" applyFont="1" applyFill="1" applyBorder="1" applyAlignment="1" applyProtection="1">
      <alignment horizontal="center" vertical="center"/>
    </xf>
    <xf numFmtId="37" fontId="15" fillId="10" borderId="7" xfId="0" applyNumberFormat="1" applyFont="1" applyFill="1" applyBorder="1" applyAlignment="1" applyProtection="1">
      <alignment horizontal="center" vertical="center"/>
    </xf>
    <xf numFmtId="37" fontId="3" fillId="2" borderId="9" xfId="0" applyNumberFormat="1" applyFont="1" applyFill="1" applyBorder="1" applyAlignment="1" applyProtection="1">
      <alignment horizontal="left" vertical="center"/>
    </xf>
    <xf numFmtId="37" fontId="3" fillId="9" borderId="4" xfId="0" applyNumberFormat="1" applyFont="1" applyFill="1" applyBorder="1" applyAlignment="1" applyProtection="1">
      <alignment vertical="center"/>
    </xf>
    <xf numFmtId="3" fontId="3" fillId="9" borderId="9" xfId="0" applyNumberFormat="1" applyFont="1" applyFill="1" applyBorder="1" applyAlignment="1" applyProtection="1">
      <alignment vertical="center"/>
    </xf>
    <xf numFmtId="3" fontId="3" fillId="9" borderId="4" xfId="0" applyNumberFormat="1" applyFont="1" applyFill="1" applyBorder="1" applyAlignment="1" applyProtection="1">
      <alignment vertical="center"/>
    </xf>
    <xf numFmtId="0" fontId="3" fillId="2" borderId="0" xfId="0" applyFont="1" applyFill="1" applyAlignment="1" applyProtection="1">
      <alignment horizontal="left" vertical="center"/>
    </xf>
    <xf numFmtId="0" fontId="3" fillId="2" borderId="9" xfId="0" applyFont="1" applyFill="1" applyBorder="1" applyAlignment="1" applyProtection="1">
      <alignment horizontal="left" vertical="center"/>
    </xf>
    <xf numFmtId="3" fontId="4" fillId="9" borderId="9" xfId="0" applyNumberFormat="1" applyFont="1" applyFill="1" applyBorder="1" applyAlignment="1" applyProtection="1">
      <alignment vertical="center"/>
    </xf>
    <xf numFmtId="3" fontId="4" fillId="0" borderId="0" xfId="0" applyNumberFormat="1" applyFont="1" applyFill="1" applyBorder="1" applyAlignment="1" applyProtection="1">
      <alignment vertical="center"/>
      <protection locked="0"/>
    </xf>
    <xf numFmtId="0" fontId="4" fillId="9" borderId="9" xfId="0" applyFont="1" applyFill="1" applyBorder="1" applyAlignment="1" applyProtection="1">
      <alignment vertical="center"/>
    </xf>
    <xf numFmtId="0" fontId="4" fillId="8" borderId="9" xfId="0" applyFont="1" applyFill="1" applyBorder="1" applyAlignment="1" applyProtection="1">
      <alignment vertical="center"/>
      <protection locked="0"/>
    </xf>
    <xf numFmtId="0" fontId="4" fillId="2" borderId="9" xfId="0" applyFont="1" applyFill="1" applyBorder="1" applyAlignment="1" applyProtection="1">
      <alignment vertical="center"/>
    </xf>
    <xf numFmtId="37" fontId="4" fillId="9" borderId="4" xfId="0" applyNumberFormat="1" applyFont="1" applyFill="1" applyBorder="1" applyAlignment="1" applyProtection="1">
      <alignment vertical="center"/>
    </xf>
    <xf numFmtId="0" fontId="15" fillId="0" borderId="0" xfId="0" applyFont="1" applyAlignment="1" applyProtection="1">
      <alignment vertical="center"/>
    </xf>
    <xf numFmtId="0" fontId="13" fillId="2" borderId="0" xfId="0" applyFont="1" applyFill="1" applyAlignment="1" applyProtection="1">
      <alignment horizontal="center" vertical="center"/>
    </xf>
    <xf numFmtId="0" fontId="4" fillId="2" borderId="0" xfId="0" applyFont="1" applyFill="1" applyAlignment="1" applyProtection="1">
      <alignment horizontal="fill" vertical="center"/>
    </xf>
    <xf numFmtId="1" fontId="4" fillId="2" borderId="2" xfId="0" applyNumberFormat="1" applyFont="1" applyFill="1" applyBorder="1" applyAlignment="1" applyProtection="1">
      <alignment horizontal="center" vertical="center"/>
    </xf>
    <xf numFmtId="0" fontId="4" fillId="8" borderId="4" xfId="0" applyFont="1" applyFill="1" applyBorder="1" applyAlignment="1" applyProtection="1">
      <alignment horizontal="left" vertical="center"/>
      <protection locked="0"/>
    </xf>
    <xf numFmtId="0" fontId="4" fillId="4" borderId="0" xfId="0" applyFont="1" applyFill="1" applyAlignment="1" applyProtection="1">
      <alignment horizontal="left" vertical="center"/>
      <protection locked="0"/>
    </xf>
    <xf numFmtId="37" fontId="3" fillId="9" borderId="16" xfId="0" applyNumberFormat="1" applyFont="1" applyFill="1" applyBorder="1" applyAlignment="1" applyProtection="1">
      <alignment vertical="center"/>
    </xf>
    <xf numFmtId="0" fontId="15" fillId="2" borderId="0" xfId="0" applyFont="1" applyFill="1" applyAlignment="1" applyProtection="1">
      <alignment vertical="center"/>
    </xf>
    <xf numFmtId="37" fontId="4" fillId="2" borderId="15" xfId="0" applyNumberFormat="1" applyFont="1" applyFill="1" applyBorder="1" applyAlignment="1" applyProtection="1">
      <alignment horizontal="left" vertical="center"/>
    </xf>
    <xf numFmtId="3" fontId="4" fillId="2" borderId="4" xfId="0" applyNumberFormat="1" applyFont="1" applyFill="1" applyBorder="1" applyAlignment="1" applyProtection="1">
      <alignment horizontal="fill" vertical="center"/>
    </xf>
    <xf numFmtId="3" fontId="4" fillId="11" borderId="4" xfId="0" applyNumberFormat="1" applyFont="1" applyFill="1" applyBorder="1" applyAlignment="1" applyProtection="1">
      <alignment vertical="center"/>
    </xf>
    <xf numFmtId="1" fontId="4" fillId="2" borderId="0" xfId="0" applyNumberFormat="1" applyFont="1" applyFill="1" applyAlignment="1" applyProtection="1">
      <alignment horizontal="right" vertical="center"/>
    </xf>
    <xf numFmtId="37" fontId="4" fillId="2" borderId="0" xfId="0" applyNumberFormat="1" applyFont="1" applyFill="1" applyBorder="1" applyAlignment="1" applyProtection="1">
      <alignment horizontal="fill" vertical="center"/>
    </xf>
    <xf numFmtId="3" fontId="4" fillId="10" borderId="4"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4" borderId="9" xfId="0" applyFont="1" applyFill="1" applyBorder="1" applyAlignment="1" applyProtection="1">
      <alignment vertical="center"/>
      <protection locked="0"/>
    </xf>
    <xf numFmtId="3" fontId="4" fillId="2" borderId="4" xfId="0" applyNumberFormat="1"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3" fontId="4" fillId="2" borderId="1" xfId="0" applyNumberFormat="1" applyFont="1" applyFill="1" applyBorder="1" applyAlignment="1" applyProtection="1">
      <alignment horizontal="fill" vertical="center"/>
    </xf>
    <xf numFmtId="0" fontId="4" fillId="2" borderId="14" xfId="0" applyFont="1" applyFill="1" applyBorder="1" applyAlignment="1" applyProtection="1">
      <alignment vertical="center"/>
    </xf>
    <xf numFmtId="166" fontId="4" fillId="2" borderId="1" xfId="0" applyNumberFormat="1" applyFont="1" applyFill="1" applyBorder="1" applyAlignment="1" applyProtection="1">
      <alignment vertical="center"/>
    </xf>
    <xf numFmtId="37" fontId="4" fillId="2" borderId="1" xfId="0" quotePrefix="1" applyNumberFormat="1" applyFont="1" applyFill="1" applyBorder="1" applyAlignment="1" applyProtection="1">
      <alignment horizontal="right" vertical="center"/>
    </xf>
    <xf numFmtId="37" fontId="4" fillId="8" borderId="9" xfId="0" applyNumberFormat="1" applyFont="1" applyFill="1" applyBorder="1" applyAlignment="1" applyProtection="1">
      <alignment horizontal="left" vertical="center"/>
      <protection locked="0"/>
    </xf>
    <xf numFmtId="37" fontId="15" fillId="10" borderId="4" xfId="0" applyNumberFormat="1" applyFont="1" applyFill="1" applyBorder="1" applyAlignment="1" applyProtection="1">
      <alignment horizontal="center" vertical="center"/>
    </xf>
    <xf numFmtId="0" fontId="4" fillId="2" borderId="0" xfId="0" applyFont="1" applyFill="1" applyAlignment="1">
      <alignment horizontal="center" vertical="center"/>
    </xf>
    <xf numFmtId="0" fontId="19" fillId="2" borderId="0" xfId="0" applyFont="1" applyFill="1" applyAlignment="1">
      <alignment horizontal="center" vertical="center"/>
    </xf>
    <xf numFmtId="0" fontId="12" fillId="2" borderId="0" xfId="0" applyFont="1" applyFill="1" applyAlignment="1">
      <alignment horizontal="center" vertical="center"/>
    </xf>
    <xf numFmtId="0" fontId="4" fillId="2" borderId="7" xfId="0" applyFont="1" applyFill="1" applyBorder="1" applyAlignment="1">
      <alignment horizontal="center" vertical="center"/>
    </xf>
    <xf numFmtId="0" fontId="11" fillId="2" borderId="2" xfId="0" applyFont="1" applyFill="1" applyBorder="1" applyAlignment="1">
      <alignment vertical="center"/>
    </xf>
    <xf numFmtId="0" fontId="11" fillId="2" borderId="7" xfId="0" applyFont="1" applyFill="1" applyBorder="1" applyAlignment="1">
      <alignment horizontal="center" vertical="center"/>
    </xf>
    <xf numFmtId="0" fontId="11" fillId="2" borderId="12" xfId="0" applyFont="1" applyFill="1" applyBorder="1" applyAlignment="1">
      <alignment vertical="center"/>
    </xf>
    <xf numFmtId="0" fontId="11" fillId="2" borderId="4" xfId="0" applyFont="1" applyFill="1" applyBorder="1" applyAlignment="1">
      <alignment horizontal="center" vertical="center"/>
    </xf>
    <xf numFmtId="0" fontId="4" fillId="2" borderId="7" xfId="0" applyFont="1" applyFill="1" applyBorder="1" applyAlignment="1">
      <alignment vertical="center"/>
    </xf>
    <xf numFmtId="0" fontId="4" fillId="2" borderId="4" xfId="0" applyFont="1" applyFill="1" applyBorder="1" applyAlignment="1">
      <alignment horizontal="center" vertical="center"/>
    </xf>
    <xf numFmtId="0" fontId="11" fillId="2" borderId="15" xfId="0" applyFont="1" applyFill="1" applyBorder="1" applyAlignment="1">
      <alignment vertical="center"/>
    </xf>
    <xf numFmtId="3" fontId="11" fillId="4" borderId="4" xfId="0" applyNumberFormat="1" applyFont="1" applyFill="1" applyBorder="1" applyAlignment="1" applyProtection="1">
      <alignment horizontal="center" vertical="center"/>
      <protection locked="0"/>
    </xf>
    <xf numFmtId="0" fontId="11" fillId="2" borderId="1" xfId="0" applyFont="1" applyFill="1" applyBorder="1" applyAlignment="1">
      <alignment vertical="center"/>
    </xf>
    <xf numFmtId="3" fontId="11" fillId="9" borderId="4" xfId="0" applyNumberFormat="1" applyFont="1" applyFill="1" applyBorder="1" applyAlignment="1">
      <alignment horizontal="center" vertical="center"/>
    </xf>
    <xf numFmtId="0" fontId="11" fillId="2" borderId="0" xfId="0" applyFont="1" applyFill="1" applyAlignment="1">
      <alignment vertical="center"/>
    </xf>
    <xf numFmtId="3"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1" fillId="4" borderId="4"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11" fillId="4" borderId="0" xfId="0" applyFont="1" applyFill="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6"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3" fontId="17" fillId="10" borderId="4" xfId="0" applyNumberFormat="1" applyFont="1" applyFill="1" applyBorder="1" applyAlignment="1">
      <alignment horizontal="center" vertical="center"/>
    </xf>
    <xf numFmtId="3" fontId="4" fillId="0" borderId="0" xfId="0" applyNumberFormat="1" applyFont="1" applyAlignment="1">
      <alignment vertical="center"/>
    </xf>
    <xf numFmtId="0" fontId="4" fillId="9" borderId="0" xfId="0" applyFont="1" applyFill="1" applyAlignment="1">
      <alignment vertical="center"/>
    </xf>
    <xf numFmtId="0" fontId="4" fillId="0" borderId="0" xfId="0" applyFont="1" applyAlignment="1">
      <alignment horizontal="centerContinuous" vertical="center"/>
    </xf>
    <xf numFmtId="1" fontId="4" fillId="2" borderId="9" xfId="0" applyNumberFormat="1" applyFont="1" applyFill="1" applyBorder="1" applyAlignment="1" applyProtection="1">
      <alignment horizontal="centerContinuous" vertical="center"/>
    </xf>
    <xf numFmtId="164" fontId="4" fillId="2" borderId="4" xfId="0" applyNumberFormat="1" applyFont="1" applyFill="1" applyBorder="1" applyAlignment="1" applyProtection="1">
      <alignment vertical="center"/>
    </xf>
    <xf numFmtId="37" fontId="4" fillId="2" borderId="6" xfId="0" applyNumberFormat="1" applyFont="1" applyFill="1" applyBorder="1" applyAlignment="1" applyProtection="1">
      <alignment horizontal="fill" vertical="center"/>
    </xf>
    <xf numFmtId="1" fontId="5" fillId="2" borderId="0" xfId="0" applyNumberFormat="1" applyFont="1" applyFill="1" applyAlignment="1" applyProtection="1">
      <alignment horizontal="center" vertical="center"/>
    </xf>
    <xf numFmtId="3" fontId="4" fillId="2" borderId="1" xfId="0" applyNumberFormat="1"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3" fontId="4" fillId="4" borderId="4" xfId="0" applyNumberFormat="1" applyFont="1" applyFill="1" applyBorder="1" applyAlignment="1" applyProtection="1">
      <alignment horizontal="center" vertical="center"/>
      <protection locked="0"/>
    </xf>
    <xf numFmtId="172" fontId="4" fillId="2" borderId="4"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protection locked="0"/>
    </xf>
    <xf numFmtId="3" fontId="4" fillId="2" borderId="16" xfId="0" applyNumberFormat="1" applyFont="1" applyFill="1" applyBorder="1" applyAlignment="1" applyProtection="1">
      <alignment horizontal="center" vertical="center"/>
    </xf>
    <xf numFmtId="172" fontId="4" fillId="2" borderId="16" xfId="0" applyNumberFormat="1" applyFont="1" applyFill="1" applyBorder="1" applyAlignment="1" applyProtection="1">
      <alignment horizontal="center" vertical="center"/>
    </xf>
    <xf numFmtId="172" fontId="4" fillId="2" borderId="1" xfId="0" applyNumberFormat="1" applyFont="1" applyFill="1" applyBorder="1" applyAlignment="1" applyProtection="1">
      <alignment horizontal="center" vertical="center"/>
    </xf>
    <xf numFmtId="172" fontId="4" fillId="2" borderId="0" xfId="0" applyNumberFormat="1" applyFont="1" applyFill="1" applyBorder="1" applyAlignment="1" applyProtection="1">
      <alignment horizontal="center" vertical="center"/>
    </xf>
    <xf numFmtId="3" fontId="4" fillId="2" borderId="1" xfId="0" applyNumberFormat="1" applyFont="1" applyFill="1" applyBorder="1" applyAlignment="1">
      <alignment horizontal="center" vertical="center"/>
    </xf>
    <xf numFmtId="0" fontId="0" fillId="2" borderId="0" xfId="0" applyFill="1" applyAlignment="1">
      <alignment horizontal="center" vertical="center"/>
    </xf>
    <xf numFmtId="172" fontId="4" fillId="2" borderId="1" xfId="0" applyNumberFormat="1" applyFont="1" applyFill="1" applyBorder="1" applyAlignment="1">
      <alignment horizontal="center" vertical="center"/>
    </xf>
    <xf numFmtId="171" fontId="4" fillId="2" borderId="0" xfId="0" applyNumberFormat="1" applyFont="1" applyFill="1" applyBorder="1" applyAlignment="1" applyProtection="1">
      <alignment vertical="center"/>
    </xf>
    <xf numFmtId="0" fontId="5" fillId="0" borderId="0" xfId="0" applyFont="1" applyAlignment="1">
      <alignment vertical="center"/>
    </xf>
    <xf numFmtId="3" fontId="26" fillId="10" borderId="0" xfId="0" applyNumberFormat="1" applyFont="1" applyFill="1" applyAlignment="1">
      <alignment horizontal="center" vertical="center"/>
    </xf>
    <xf numFmtId="0" fontId="4" fillId="0" borderId="0" xfId="359" applyFont="1" applyAlignment="1">
      <alignment vertical="center"/>
    </xf>
    <xf numFmtId="0" fontId="4" fillId="0" borderId="0" xfId="99" applyFont="1" applyAlignment="1">
      <alignment vertical="center" wrapText="1"/>
    </xf>
    <xf numFmtId="0" fontId="4" fillId="4" borderId="1" xfId="0" applyFont="1" applyFill="1" applyBorder="1" applyAlignment="1" applyProtection="1">
      <alignment vertical="center"/>
      <protection locked="0"/>
    </xf>
    <xf numFmtId="0" fontId="4" fillId="4" borderId="3" xfId="0" applyFont="1" applyFill="1" applyBorder="1" applyAlignment="1" applyProtection="1">
      <alignment vertical="center"/>
      <protection locked="0"/>
    </xf>
    <xf numFmtId="0" fontId="28" fillId="0" borderId="0" xfId="363"/>
    <xf numFmtId="0" fontId="4" fillId="0" borderId="0" xfId="363" applyFont="1" applyAlignment="1">
      <alignment horizontal="left" vertical="center"/>
    </xf>
    <xf numFmtId="173" fontId="11" fillId="0" borderId="0" xfId="363" applyNumberFormat="1" applyFont="1" applyAlignment="1">
      <alignment horizontal="left" vertical="center"/>
    </xf>
    <xf numFmtId="49" fontId="4" fillId="0" borderId="0" xfId="363" applyNumberFormat="1" applyFont="1" applyAlignment="1">
      <alignment horizontal="left" vertical="center"/>
    </xf>
    <xf numFmtId="0" fontId="11" fillId="0" borderId="0" xfId="363" applyFont="1" applyAlignment="1">
      <alignment horizontal="left" vertical="center"/>
    </xf>
    <xf numFmtId="174" fontId="11" fillId="0" borderId="0" xfId="363" applyNumberFormat="1" applyFont="1" applyAlignment="1">
      <alignment horizontal="left" vertical="center"/>
    </xf>
    <xf numFmtId="0" fontId="27" fillId="0" borderId="0" xfId="139" applyFont="1" applyFill="1"/>
    <xf numFmtId="0" fontId="27" fillId="0" borderId="0" xfId="139" applyFont="1"/>
    <xf numFmtId="0" fontId="29" fillId="0" borderId="0" xfId="0" applyFont="1" applyAlignment="1">
      <alignment horizontal="center"/>
    </xf>
    <xf numFmtId="0" fontId="27" fillId="0" borderId="0" xfId="0" applyFont="1"/>
    <xf numFmtId="0" fontId="30" fillId="0" borderId="0" xfId="0" applyFont="1"/>
    <xf numFmtId="0" fontId="30" fillId="0" borderId="0" xfId="0" applyFont="1" applyAlignment="1"/>
    <xf numFmtId="0" fontId="27" fillId="0" borderId="0" xfId="0" quotePrefix="1" applyFont="1"/>
    <xf numFmtId="0" fontId="27" fillId="0" borderId="0" xfId="0" applyFont="1" applyAlignment="1"/>
    <xf numFmtId="0" fontId="0" fillId="0" borderId="0" xfId="0" applyAlignment="1"/>
    <xf numFmtId="0" fontId="30" fillId="0" borderId="0" xfId="0" applyFont="1" applyAlignment="1">
      <alignment horizontal="center"/>
    </xf>
    <xf numFmtId="0" fontId="4" fillId="0" borderId="0" xfId="68" applyFont="1" applyAlignment="1">
      <alignment vertical="center"/>
    </xf>
    <xf numFmtId="0" fontId="5" fillId="0" borderId="0" xfId="72" applyFont="1" applyAlignment="1">
      <alignment vertical="center"/>
    </xf>
    <xf numFmtId="0" fontId="4" fillId="0" borderId="0" xfId="230" applyFont="1" applyAlignment="1">
      <alignment vertical="center" wrapText="1"/>
    </xf>
    <xf numFmtId="0" fontId="4" fillId="0" borderId="0" xfId="90" applyFont="1" applyAlignment="1">
      <alignment vertical="center" wrapText="1"/>
    </xf>
    <xf numFmtId="0" fontId="4" fillId="2" borderId="0" xfId="0" applyFont="1" applyFill="1"/>
    <xf numFmtId="0" fontId="48" fillId="2" borderId="0" xfId="0" applyFont="1" applyFill="1" applyAlignment="1" applyProtection="1">
      <alignment horizontal="right" vertical="center"/>
      <protection locked="0"/>
    </xf>
    <xf numFmtId="0" fontId="7" fillId="2" borderId="0" xfId="0" applyFont="1" applyFill="1" applyAlignment="1" applyProtection="1">
      <alignment horizontal="left" vertical="center"/>
      <protection locked="0"/>
    </xf>
    <xf numFmtId="14" fontId="4" fillId="8" borderId="4" xfId="0" applyNumberFormat="1" applyFont="1" applyFill="1" applyBorder="1" applyAlignment="1" applyProtection="1">
      <alignment horizontal="center" vertical="center"/>
      <protection locked="0"/>
    </xf>
    <xf numFmtId="3" fontId="11" fillId="9" borderId="6" xfId="0" applyNumberFormat="1" applyFont="1" applyFill="1" applyBorder="1" applyAlignment="1">
      <alignment horizontal="center" vertical="center"/>
    </xf>
    <xf numFmtId="0" fontId="4" fillId="2" borderId="15" xfId="0" applyNumberFormat="1" applyFont="1" applyFill="1" applyBorder="1" applyAlignment="1" applyProtection="1">
      <alignment horizontal="center" vertical="center"/>
    </xf>
    <xf numFmtId="3" fontId="4" fillId="11" borderId="9" xfId="0" applyNumberFormat="1" applyFont="1" applyFill="1" applyBorder="1" applyAlignment="1" applyProtection="1">
      <alignment vertical="center"/>
    </xf>
    <xf numFmtId="37" fontId="13" fillId="2" borderId="4"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3" fontId="4" fillId="2" borderId="0" xfId="0" applyNumberFormat="1" applyFont="1" applyFill="1" applyBorder="1" applyAlignment="1" applyProtection="1">
      <alignment vertical="center"/>
    </xf>
    <xf numFmtId="3" fontId="4" fillId="2" borderId="0" xfId="0" applyNumberFormat="1" applyFont="1" applyFill="1" applyBorder="1" applyAlignment="1" applyProtection="1">
      <alignment horizontal="fill" vertical="center"/>
    </xf>
    <xf numFmtId="49" fontId="4" fillId="9" borderId="4" xfId="40" applyNumberFormat="1" applyFont="1" applyFill="1" applyBorder="1" applyAlignment="1" applyProtection="1">
      <alignment horizontal="center" vertical="center"/>
    </xf>
    <xf numFmtId="3" fontId="4" fillId="2" borderId="9" xfId="0" applyNumberFormat="1" applyFont="1" applyFill="1" applyBorder="1" applyAlignment="1" applyProtection="1">
      <alignment horizontal="center" vertical="center"/>
    </xf>
    <xf numFmtId="37" fontId="15" fillId="4" borderId="4" xfId="0" applyNumberFormat="1" applyFont="1" applyFill="1" applyBorder="1" applyAlignment="1" applyProtection="1">
      <alignment horizontal="center" vertical="center"/>
    </xf>
    <xf numFmtId="49" fontId="4" fillId="8" borderId="4" xfId="0" applyNumberFormat="1" applyFont="1" applyFill="1" applyBorder="1" applyAlignment="1" applyProtection="1">
      <alignment horizontal="center" vertical="center"/>
      <protection locked="0"/>
    </xf>
    <xf numFmtId="0" fontId="4" fillId="2" borderId="0" xfId="40" applyFont="1" applyFill="1" applyAlignment="1" applyProtection="1">
      <alignment horizontal="right" vertical="center"/>
    </xf>
    <xf numFmtId="172" fontId="4" fillId="2" borderId="0" xfId="370" applyNumberFormat="1" applyFont="1" applyFill="1" applyAlignment="1" applyProtection="1">
      <alignment horizontal="center" vertical="center"/>
    </xf>
    <xf numFmtId="0" fontId="2" fillId="0" borderId="0" xfId="36"/>
    <xf numFmtId="0" fontId="4" fillId="2" borderId="0" xfId="36" applyFont="1" applyFill="1" applyAlignment="1" applyProtection="1">
      <alignment vertical="center"/>
    </xf>
    <xf numFmtId="0" fontId="4" fillId="0" borderId="0" xfId="36" applyFont="1" applyAlignment="1" applyProtection="1">
      <alignment vertical="center"/>
      <protection locked="0"/>
    </xf>
    <xf numFmtId="37" fontId="4" fillId="2" borderId="0" xfId="36" applyNumberFormat="1" applyFont="1" applyFill="1" applyAlignment="1" applyProtection="1">
      <alignment horizontal="left" vertical="center"/>
    </xf>
    <xf numFmtId="0" fontId="3" fillId="2" borderId="0" xfId="36" applyFont="1" applyFill="1" applyAlignment="1" applyProtection="1">
      <alignment vertical="center"/>
    </xf>
    <xf numFmtId="3" fontId="4" fillId="8" borderId="4" xfId="36" applyNumberFormat="1" applyFont="1" applyFill="1" applyBorder="1" applyAlignment="1" applyProtection="1">
      <alignment vertical="center"/>
      <protection locked="0"/>
    </xf>
    <xf numFmtId="3" fontId="4" fillId="9" borderId="4" xfId="36" applyNumberFormat="1" applyFont="1" applyFill="1" applyBorder="1" applyAlignment="1" applyProtection="1">
      <alignment vertical="center"/>
    </xf>
    <xf numFmtId="0" fontId="4" fillId="2" borderId="0" xfId="36" applyFont="1" applyFill="1" applyAlignment="1" applyProtection="1">
      <alignment vertical="center"/>
      <protection locked="0"/>
    </xf>
    <xf numFmtId="0" fontId="2" fillId="0" borderId="0" xfId="36" applyAlignment="1">
      <alignment vertical="center"/>
    </xf>
    <xf numFmtId="1" fontId="4" fillId="2" borderId="0" xfId="36" applyNumberFormat="1" applyFont="1" applyFill="1" applyBorder="1" applyAlignment="1" applyProtection="1">
      <alignment horizontal="right" vertical="center"/>
    </xf>
    <xf numFmtId="37" fontId="4" fillId="2" borderId="0" xfId="36" quotePrefix="1" applyNumberFormat="1" applyFont="1" applyFill="1" applyAlignment="1" applyProtection="1">
      <alignment horizontal="right" vertical="center"/>
    </xf>
    <xf numFmtId="37" fontId="4" fillId="2" borderId="2" xfId="36" applyNumberFormat="1" applyFont="1" applyFill="1" applyBorder="1" applyAlignment="1" applyProtection="1">
      <alignment horizontal="center" vertical="center"/>
    </xf>
    <xf numFmtId="37" fontId="4" fillId="2" borderId="9" xfId="36" applyNumberFormat="1" applyFont="1" applyFill="1" applyBorder="1" applyAlignment="1" applyProtection="1">
      <alignment horizontal="left" vertical="center"/>
    </xf>
    <xf numFmtId="3" fontId="4" fillId="2" borderId="4" xfId="36" applyNumberFormat="1" applyFont="1" applyFill="1" applyBorder="1" applyAlignment="1" applyProtection="1">
      <alignment vertical="center"/>
    </xf>
    <xf numFmtId="37" fontId="4" fillId="2" borderId="9" xfId="36" applyNumberFormat="1" applyFont="1" applyFill="1" applyBorder="1" applyAlignment="1" applyProtection="1">
      <alignment vertical="center"/>
    </xf>
    <xf numFmtId="0" fontId="4" fillId="2" borderId="9" xfId="36" applyFont="1" applyFill="1" applyBorder="1" applyAlignment="1" applyProtection="1">
      <alignment vertical="center"/>
    </xf>
    <xf numFmtId="37" fontId="4" fillId="2" borderId="0" xfId="36" applyNumberFormat="1" applyFont="1" applyFill="1" applyAlignment="1" applyProtection="1">
      <alignment vertical="center"/>
    </xf>
    <xf numFmtId="0" fontId="4" fillId="2" borderId="0" xfId="36" applyFont="1" applyFill="1" applyAlignment="1" applyProtection="1">
      <alignment horizontal="right" vertical="center"/>
    </xf>
    <xf numFmtId="37" fontId="4" fillId="2" borderId="0" xfId="36" applyNumberFormat="1" applyFont="1" applyFill="1" applyAlignment="1" applyProtection="1">
      <alignment horizontal="right" vertical="center"/>
    </xf>
    <xf numFmtId="3" fontId="4" fillId="2" borderId="4" xfId="36" applyNumberFormat="1" applyFont="1" applyFill="1" applyBorder="1" applyAlignment="1" applyProtection="1">
      <alignment horizontal="center" vertical="center"/>
    </xf>
    <xf numFmtId="1" fontId="4" fillId="2" borderId="6" xfId="36" applyNumberFormat="1" applyFont="1" applyFill="1" applyBorder="1" applyAlignment="1" applyProtection="1">
      <alignment horizontal="center" vertical="center"/>
    </xf>
    <xf numFmtId="37" fontId="4" fillId="2" borderId="0" xfId="36" applyNumberFormat="1" applyFont="1" applyFill="1" applyAlignment="1" applyProtection="1">
      <alignment horizontal="fill" vertical="center"/>
    </xf>
    <xf numFmtId="37" fontId="4" fillId="2" borderId="15" xfId="36" applyNumberFormat="1" applyFont="1" applyFill="1" applyBorder="1" applyAlignment="1" applyProtection="1">
      <alignment horizontal="left" vertical="center"/>
    </xf>
    <xf numFmtId="37" fontId="3" fillId="2" borderId="9" xfId="36" applyNumberFormat="1" applyFont="1" applyFill="1" applyBorder="1" applyAlignment="1" applyProtection="1">
      <alignment horizontal="left" vertical="center"/>
    </xf>
    <xf numFmtId="3" fontId="4" fillId="2" borderId="0" xfId="36" applyNumberFormat="1" applyFont="1" applyFill="1" applyAlignment="1" applyProtection="1">
      <alignment horizontal="center" vertical="center"/>
    </xf>
    <xf numFmtId="0" fontId="15" fillId="0" borderId="0" xfId="36" applyFont="1" applyAlignment="1" applyProtection="1">
      <alignment vertical="center"/>
    </xf>
    <xf numFmtId="0" fontId="13" fillId="2" borderId="0" xfId="36" applyFont="1" applyFill="1" applyAlignment="1" applyProtection="1">
      <alignment horizontal="center" vertical="center"/>
    </xf>
    <xf numFmtId="37" fontId="4" fillId="8" borderId="9" xfId="36" applyNumberFormat="1" applyFont="1" applyFill="1" applyBorder="1" applyAlignment="1" applyProtection="1">
      <alignment horizontal="left" vertical="center"/>
      <protection locked="0"/>
    </xf>
    <xf numFmtId="3" fontId="3" fillId="9" borderId="4" xfId="36" applyNumberFormat="1" applyFont="1" applyFill="1" applyBorder="1" applyAlignment="1" applyProtection="1">
      <alignment vertical="center"/>
    </xf>
    <xf numFmtId="0" fontId="4" fillId="2" borderId="9" xfId="36" applyFont="1" applyFill="1" applyBorder="1" applyAlignment="1" applyProtection="1">
      <alignment vertical="center"/>
      <protection locked="0"/>
    </xf>
    <xf numFmtId="3" fontId="4" fillId="2" borderId="4" xfId="36" applyNumberFormat="1" applyFont="1" applyFill="1" applyBorder="1" applyAlignment="1" applyProtection="1">
      <alignment horizontal="fill" vertical="center"/>
    </xf>
    <xf numFmtId="37" fontId="4" fillId="4" borderId="0" xfId="36" applyNumberFormat="1" applyFont="1" applyFill="1" applyAlignment="1" applyProtection="1">
      <alignment horizontal="left" vertical="center"/>
      <protection locked="0"/>
    </xf>
    <xf numFmtId="0" fontId="4" fillId="8" borderId="9" xfId="36" applyFont="1" applyFill="1" applyBorder="1" applyAlignment="1" applyProtection="1">
      <alignment horizontal="left" vertical="center"/>
      <protection locked="0"/>
    </xf>
    <xf numFmtId="3" fontId="3" fillId="2" borderId="4" xfId="36" applyNumberFormat="1" applyFont="1" applyFill="1" applyBorder="1" applyAlignment="1" applyProtection="1">
      <alignment vertical="center"/>
    </xf>
    <xf numFmtId="37" fontId="4" fillId="2" borderId="14" xfId="36" applyNumberFormat="1" applyFont="1" applyFill="1" applyBorder="1" applyAlignment="1" applyProtection="1">
      <alignment horizontal="center" vertical="center"/>
    </xf>
    <xf numFmtId="1" fontId="4" fillId="2" borderId="14" xfId="36" applyNumberFormat="1" applyFont="1" applyFill="1" applyBorder="1" applyAlignment="1" applyProtection="1">
      <alignment horizontal="center" vertical="center"/>
    </xf>
    <xf numFmtId="1" fontId="4" fillId="2" borderId="15" xfId="36" applyNumberFormat="1" applyFont="1" applyFill="1" applyBorder="1" applyAlignment="1" applyProtection="1">
      <alignment horizontal="center" vertical="center"/>
    </xf>
    <xf numFmtId="37" fontId="4" fillId="4" borderId="9" xfId="36" applyNumberFormat="1" applyFont="1" applyFill="1" applyBorder="1" applyAlignment="1" applyProtection="1">
      <alignment horizontal="right" vertical="center"/>
      <protection locked="0"/>
    </xf>
    <xf numFmtId="3" fontId="3" fillId="9" borderId="9" xfId="36" applyNumberFormat="1" applyFont="1" applyFill="1" applyBorder="1" applyAlignment="1" applyProtection="1">
      <alignment vertical="center"/>
    </xf>
    <xf numFmtId="3" fontId="4" fillId="2" borderId="9" xfId="36" applyNumberFormat="1" applyFont="1" applyFill="1" applyBorder="1" applyAlignment="1" applyProtection="1">
      <alignment vertical="center"/>
    </xf>
    <xf numFmtId="37" fontId="4" fillId="4" borderId="9" xfId="36" applyNumberFormat="1" applyFont="1" applyFill="1" applyBorder="1" applyAlignment="1" applyProtection="1">
      <alignment vertical="center"/>
      <protection locked="0"/>
    </xf>
    <xf numFmtId="3" fontId="4" fillId="8" borderId="9" xfId="36" applyNumberFormat="1" applyFont="1" applyFill="1" applyBorder="1" applyAlignment="1" applyProtection="1">
      <alignment vertical="center"/>
      <protection locked="0"/>
    </xf>
    <xf numFmtId="3" fontId="3" fillId="2" borderId="9" xfId="36" applyNumberFormat="1" applyFont="1" applyFill="1" applyBorder="1" applyAlignment="1" applyProtection="1">
      <alignment vertical="center"/>
    </xf>
    <xf numFmtId="3" fontId="4" fillId="9" borderId="9" xfId="36" applyNumberFormat="1" applyFont="1" applyFill="1" applyBorder="1" applyAlignment="1" applyProtection="1">
      <alignment vertical="center"/>
    </xf>
    <xf numFmtId="37" fontId="3" fillId="2" borderId="1" xfId="36" applyNumberFormat="1" applyFont="1" applyFill="1" applyBorder="1" applyAlignment="1" applyProtection="1">
      <alignment vertical="center"/>
    </xf>
    <xf numFmtId="37" fontId="3" fillId="2" borderId="0" xfId="36" applyNumberFormat="1" applyFont="1" applyFill="1" applyBorder="1" applyAlignment="1" applyProtection="1">
      <alignment vertical="center"/>
    </xf>
    <xf numFmtId="37" fontId="4" fillId="2" borderId="0" xfId="40" applyNumberFormat="1" applyFont="1" applyFill="1" applyBorder="1" applyAlignment="1" applyProtection="1">
      <alignment horizontal="left" vertical="center"/>
    </xf>
    <xf numFmtId="37" fontId="4" fillId="2" borderId="4" xfId="40" applyNumberFormat="1" applyFont="1" applyFill="1" applyBorder="1" applyAlignment="1" applyProtection="1">
      <alignment horizontal="left" vertical="center"/>
    </xf>
    <xf numFmtId="3" fontId="4" fillId="8" borderId="4" xfId="40" applyNumberFormat="1" applyFont="1" applyFill="1" applyBorder="1" applyAlignment="1" applyProtection="1">
      <alignment vertical="center"/>
      <protection locked="0"/>
    </xf>
    <xf numFmtId="49" fontId="4" fillId="2" borderId="4" xfId="40" applyNumberFormat="1" applyFont="1" applyFill="1" applyBorder="1" applyAlignment="1" applyProtection="1">
      <alignment horizontal="center" vertical="center"/>
    </xf>
    <xf numFmtId="0" fontId="8" fillId="5" borderId="4" xfId="0" applyFont="1" applyFill="1" applyBorder="1" applyAlignment="1" applyProtection="1">
      <alignment vertical="center" shrinkToFit="1"/>
    </xf>
    <xf numFmtId="37" fontId="3" fillId="2" borderId="14" xfId="36" applyNumberFormat="1" applyFont="1" applyFill="1" applyBorder="1" applyAlignment="1" applyProtection="1">
      <alignment horizontal="left" vertical="center"/>
    </xf>
    <xf numFmtId="49" fontId="4" fillId="2" borderId="0" xfId="40" applyNumberFormat="1" applyFont="1" applyFill="1" applyBorder="1" applyAlignment="1" applyProtection="1">
      <alignment horizontal="center" vertical="center"/>
    </xf>
    <xf numFmtId="37" fontId="13" fillId="2" borderId="0" xfId="36" applyNumberFormat="1" applyFont="1" applyFill="1" applyAlignment="1" applyProtection="1">
      <alignment horizontal="center" vertical="center"/>
    </xf>
    <xf numFmtId="37" fontId="4" fillId="2" borderId="4" xfId="36" applyNumberFormat="1" applyFont="1" applyFill="1" applyBorder="1" applyAlignment="1" applyProtection="1">
      <alignment horizontal="center" vertical="center"/>
    </xf>
    <xf numFmtId="37" fontId="13" fillId="2" borderId="0" xfId="36" applyNumberFormat="1" applyFont="1" applyFill="1" applyAlignment="1" applyProtection="1">
      <alignment horizontal="right" vertical="center"/>
    </xf>
    <xf numFmtId="37" fontId="12" fillId="2" borderId="0" xfId="36" applyNumberFormat="1" applyFont="1" applyFill="1" applyAlignment="1" applyProtection="1">
      <alignment horizontal="center" vertical="center"/>
    </xf>
    <xf numFmtId="37" fontId="49" fillId="2" borderId="0" xfId="36" applyNumberFormat="1" applyFont="1" applyFill="1" applyAlignment="1" applyProtection="1">
      <alignment horizontal="center" vertical="center"/>
    </xf>
    <xf numFmtId="37" fontId="4" fillId="2" borderId="10" xfId="36" applyNumberFormat="1" applyFont="1" applyFill="1" applyBorder="1" applyAlignment="1" applyProtection="1">
      <alignment horizontal="center" vertical="center"/>
    </xf>
    <xf numFmtId="37" fontId="4" fillId="2" borderId="6" xfId="36" applyNumberFormat="1" applyFont="1" applyFill="1" applyBorder="1" applyAlignment="1" applyProtection="1">
      <alignment horizontal="center" vertical="center"/>
    </xf>
    <xf numFmtId="0" fontId="35" fillId="0" borderId="0" xfId="0" applyFont="1" applyAlignment="1" applyProtection="1">
      <alignment vertical="center"/>
    </xf>
    <xf numFmtId="0" fontId="36" fillId="0" borderId="0" xfId="0" applyFont="1"/>
    <xf numFmtId="0" fontId="36" fillId="5" borderId="0" xfId="0" applyFont="1" applyFill="1"/>
    <xf numFmtId="0" fontId="36" fillId="2" borderId="0" xfId="0" applyFont="1" applyFill="1"/>
    <xf numFmtId="0" fontId="50" fillId="5" borderId="0" xfId="0" applyFont="1" applyFill="1" applyAlignment="1">
      <alignment horizontal="center" wrapText="1"/>
    </xf>
    <xf numFmtId="0" fontId="50" fillId="2" borderId="0" xfId="0" applyFont="1" applyFill="1"/>
    <xf numFmtId="0" fontId="36" fillId="2" borderId="0" xfId="0" applyFont="1" applyFill="1" applyAlignment="1">
      <alignment horizontal="center"/>
    </xf>
    <xf numFmtId="0" fontId="50" fillId="2" borderId="17" xfId="0" applyFont="1" applyFill="1" applyBorder="1"/>
    <xf numFmtId="0" fontId="36" fillId="2" borderId="18" xfId="0" applyFont="1" applyFill="1" applyBorder="1"/>
    <xf numFmtId="0" fontId="36" fillId="2" borderId="19" xfId="0" applyFont="1" applyFill="1" applyBorder="1"/>
    <xf numFmtId="175" fontId="36" fillId="2" borderId="20" xfId="0" applyNumberFormat="1" applyFont="1" applyFill="1" applyBorder="1"/>
    <xf numFmtId="0" fontId="36" fillId="2" borderId="0" xfId="0" applyFont="1" applyFill="1" applyBorder="1"/>
    <xf numFmtId="175" fontId="36" fillId="2" borderId="1" xfId="0" applyNumberFormat="1" applyFont="1" applyFill="1" applyBorder="1" applyAlignment="1">
      <alignment horizontal="center"/>
    </xf>
    <xf numFmtId="0" fontId="36" fillId="2" borderId="21" xfId="0" applyFont="1" applyFill="1" applyBorder="1"/>
    <xf numFmtId="0" fontId="36" fillId="2" borderId="22" xfId="0" applyFont="1" applyFill="1" applyBorder="1"/>
    <xf numFmtId="0" fontId="36" fillId="2" borderId="23" xfId="0" applyFont="1" applyFill="1" applyBorder="1"/>
    <xf numFmtId="0" fontId="36" fillId="2" borderId="24" xfId="0" applyFont="1" applyFill="1" applyBorder="1"/>
    <xf numFmtId="175" fontId="36" fillId="2" borderId="0" xfId="0" applyNumberFormat="1" applyFont="1" applyFill="1"/>
    <xf numFmtId="0" fontId="36" fillId="2" borderId="17" xfId="0" applyFont="1" applyFill="1" applyBorder="1"/>
    <xf numFmtId="0" fontId="36" fillId="2" borderId="25" xfId="0" applyFont="1" applyFill="1" applyBorder="1"/>
    <xf numFmtId="175" fontId="36" fillId="4" borderId="20" xfId="0" applyNumberFormat="1" applyFont="1" applyFill="1" applyBorder="1" applyAlignment="1" applyProtection="1">
      <alignment horizontal="center"/>
      <protection locked="0"/>
    </xf>
    <xf numFmtId="172" fontId="36" fillId="2" borderId="0" xfId="0" applyNumberFormat="1" applyFont="1" applyFill="1" applyBorder="1" applyAlignment="1">
      <alignment horizontal="center"/>
    </xf>
    <xf numFmtId="0" fontId="51" fillId="0" borderId="0" xfId="0" applyFont="1" applyBorder="1"/>
    <xf numFmtId="0" fontId="36" fillId="0" borderId="0" xfId="0" applyFont="1" applyBorder="1"/>
    <xf numFmtId="0" fontId="50" fillId="0" borderId="0" xfId="0" applyFont="1" applyBorder="1" applyAlignment="1">
      <alignment horizontal="centerContinuous"/>
    </xf>
    <xf numFmtId="0" fontId="36" fillId="0" borderId="0" xfId="0" applyFont="1" applyBorder="1" applyAlignment="1">
      <alignment horizontal="centerContinuous"/>
    </xf>
    <xf numFmtId="0" fontId="36" fillId="5" borderId="0" xfId="0" applyFont="1" applyFill="1" applyBorder="1"/>
    <xf numFmtId="0" fontId="36" fillId="2" borderId="26" xfId="0" applyFont="1" applyFill="1" applyBorder="1"/>
    <xf numFmtId="0" fontId="36" fillId="2" borderId="8" xfId="0" applyFont="1" applyFill="1" applyBorder="1"/>
    <xf numFmtId="0" fontId="36" fillId="2" borderId="27" xfId="0" applyFont="1" applyFill="1" applyBorder="1"/>
    <xf numFmtId="5" fontId="36" fillId="2" borderId="23" xfId="0" applyNumberFormat="1" applyFont="1" applyFill="1" applyBorder="1" applyAlignment="1">
      <alignment horizontal="center"/>
    </xf>
    <xf numFmtId="0" fontId="36" fillId="2" borderId="23" xfId="0" applyFont="1" applyFill="1" applyBorder="1" applyAlignment="1">
      <alignment horizontal="center"/>
    </xf>
    <xf numFmtId="172" fontId="36" fillId="2" borderId="23" xfId="0" applyNumberFormat="1" applyFont="1" applyFill="1" applyBorder="1" applyAlignment="1">
      <alignment horizontal="center"/>
    </xf>
    <xf numFmtId="176" fontId="36" fillId="2" borderId="23" xfId="0" applyNumberFormat="1" applyFont="1" applyFill="1" applyBorder="1" applyAlignment="1">
      <alignment horizontal="center"/>
    </xf>
    <xf numFmtId="0" fontId="36" fillId="2" borderId="0" xfId="0" applyFont="1" applyFill="1" applyAlignment="1">
      <alignment horizontal="center" wrapText="1"/>
    </xf>
    <xf numFmtId="0" fontId="50" fillId="2" borderId="17" xfId="0" applyFont="1" applyFill="1" applyBorder="1" applyAlignment="1"/>
    <xf numFmtId="0" fontId="36" fillId="2" borderId="18" xfId="0" applyFont="1" applyFill="1" applyBorder="1" applyAlignment="1"/>
    <xf numFmtId="0" fontId="36" fillId="2" borderId="19" xfId="0" applyFont="1" applyFill="1" applyBorder="1" applyAlignment="1"/>
    <xf numFmtId="0" fontId="36" fillId="2" borderId="25" xfId="0" applyFont="1" applyFill="1" applyBorder="1" applyAlignment="1"/>
    <xf numFmtId="0" fontId="36" fillId="2" borderId="21" xfId="0" applyFont="1" applyFill="1" applyBorder="1" applyAlignment="1"/>
    <xf numFmtId="0" fontId="36" fillId="2" borderId="26" xfId="0" applyFont="1" applyFill="1" applyBorder="1" applyAlignment="1"/>
    <xf numFmtId="0" fontId="36" fillId="2" borderId="8" xfId="0" applyFont="1" applyFill="1" applyBorder="1" applyAlignment="1"/>
    <xf numFmtId="0" fontId="36" fillId="2" borderId="27" xfId="0" applyFont="1" applyFill="1" applyBorder="1" applyAlignment="1"/>
    <xf numFmtId="171" fontId="36" fillId="2" borderId="0" xfId="0" applyNumberFormat="1" applyFont="1" applyFill="1" applyBorder="1" applyAlignment="1">
      <alignment horizontal="center"/>
    </xf>
    <xf numFmtId="0" fontId="36" fillId="2" borderId="22" xfId="0" applyFont="1" applyFill="1" applyBorder="1" applyAlignment="1"/>
    <xf numFmtId="5" fontId="36" fillId="2" borderId="0" xfId="0" applyNumberFormat="1" applyFont="1" applyFill="1" applyBorder="1" applyAlignment="1">
      <alignment horizontal="center"/>
    </xf>
    <xf numFmtId="0" fontId="36" fillId="5" borderId="0" xfId="0" applyFont="1" applyFill="1" applyAlignment="1"/>
    <xf numFmtId="172" fontId="36" fillId="4" borderId="1" xfId="0" applyNumberFormat="1" applyFont="1" applyFill="1" applyBorder="1" applyAlignment="1" applyProtection="1">
      <alignment horizontal="center"/>
      <protection locked="0"/>
    </xf>
    <xf numFmtId="176" fontId="36" fillId="2" borderId="0" xfId="0" applyNumberFormat="1" applyFont="1" applyFill="1" applyBorder="1"/>
    <xf numFmtId="0" fontId="36" fillId="12" borderId="0" xfId="0" applyFont="1" applyFill="1"/>
    <xf numFmtId="0" fontId="38" fillId="0" borderId="0" xfId="0" applyFont="1" applyAlignment="1">
      <alignment horizontal="center"/>
    </xf>
    <xf numFmtId="0" fontId="4" fillId="0" borderId="0" xfId="0" applyFont="1" applyAlignment="1">
      <alignment wrapText="1"/>
    </xf>
    <xf numFmtId="0" fontId="39" fillId="0" borderId="0" xfId="9" applyFont="1" applyAlignment="1" applyProtection="1"/>
    <xf numFmtId="3" fontId="4" fillId="2" borderId="6" xfId="0" applyNumberFormat="1" applyFont="1" applyFill="1" applyBorder="1" applyAlignment="1" applyProtection="1">
      <alignment horizontal="center" vertical="center"/>
    </xf>
    <xf numFmtId="172" fontId="4" fillId="4" borderId="4" xfId="36" applyNumberFormat="1" applyFont="1" applyFill="1" applyBorder="1" applyAlignment="1" applyProtection="1">
      <alignment horizontal="center" vertical="center"/>
      <protection locked="0"/>
    </xf>
    <xf numFmtId="49" fontId="13" fillId="4" borderId="4" xfId="36" applyNumberFormat="1" applyFont="1" applyFill="1" applyBorder="1" applyAlignment="1" applyProtection="1">
      <alignment horizontal="center" vertical="center"/>
      <protection locked="0"/>
    </xf>
    <xf numFmtId="3" fontId="4" fillId="4" borderId="9" xfId="36" applyNumberFormat="1" applyFont="1" applyFill="1" applyBorder="1" applyAlignment="1" applyProtection="1">
      <alignment horizontal="right" vertical="center"/>
      <protection locked="0"/>
    </xf>
    <xf numFmtId="0" fontId="4" fillId="0" borderId="0" xfId="40" applyFont="1" applyAlignment="1">
      <alignment vertical="center" wrapText="1"/>
    </xf>
    <xf numFmtId="0" fontId="4" fillId="0" borderId="0" xfId="325" applyFont="1" applyAlignment="1">
      <alignment vertical="center" wrapText="1"/>
    </xf>
    <xf numFmtId="0" fontId="4" fillId="0" borderId="0" xfId="342" applyNumberFormat="1" applyFont="1" applyAlignment="1">
      <alignment vertical="center" wrapText="1"/>
    </xf>
    <xf numFmtId="37" fontId="4" fillId="2" borderId="4" xfId="0" applyNumberFormat="1" applyFont="1" applyFill="1" applyBorder="1" applyAlignment="1" applyProtection="1">
      <alignment horizontal="left"/>
    </xf>
    <xf numFmtId="37" fontId="4" fillId="2" borderId="4" xfId="0" applyNumberFormat="1" applyFont="1" applyFill="1" applyBorder="1" applyProtection="1"/>
    <xf numFmtId="0" fontId="20" fillId="0" borderId="0" xfId="0" applyFont="1"/>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4" fillId="0" borderId="0" xfId="40" applyFont="1" applyAlignment="1">
      <alignment vertical="center"/>
    </xf>
    <xf numFmtId="0" fontId="52" fillId="0" borderId="0" xfId="0" applyFont="1" applyAlignment="1">
      <alignment wrapText="1"/>
    </xf>
    <xf numFmtId="0" fontId="23" fillId="0" borderId="0" xfId="0" applyFont="1" applyAlignment="1">
      <alignment wrapText="1"/>
    </xf>
    <xf numFmtId="172" fontId="4" fillId="4" borderId="11" xfId="36" applyNumberFormat="1" applyFont="1" applyFill="1" applyBorder="1" applyAlignment="1" applyProtection="1">
      <alignment horizontal="center"/>
      <protection locked="0"/>
    </xf>
    <xf numFmtId="0" fontId="40" fillId="2" borderId="28" xfId="36" applyFont="1" applyFill="1" applyBorder="1" applyProtection="1"/>
    <xf numFmtId="0" fontId="4" fillId="2" borderId="0" xfId="36" applyFont="1" applyFill="1" applyBorder="1" applyProtection="1"/>
    <xf numFmtId="175" fontId="4" fillId="2" borderId="11" xfId="36" applyNumberFormat="1" applyFont="1" applyFill="1" applyBorder="1" applyAlignment="1" applyProtection="1">
      <alignment horizontal="center"/>
    </xf>
    <xf numFmtId="0" fontId="4" fillId="2" borderId="15" xfId="36" applyFont="1" applyFill="1" applyBorder="1" applyProtection="1"/>
    <xf numFmtId="0" fontId="4" fillId="2" borderId="1" xfId="36" applyFont="1" applyFill="1" applyBorder="1" applyProtection="1"/>
    <xf numFmtId="175" fontId="4" fillId="10" borderId="5" xfId="36" applyNumberFormat="1" applyFont="1" applyFill="1" applyBorder="1" applyAlignment="1" applyProtection="1">
      <alignment horizontal="center"/>
    </xf>
    <xf numFmtId="0" fontId="4" fillId="0" borderId="0" xfId="36" applyFont="1" applyFill="1" applyBorder="1" applyProtection="1"/>
    <xf numFmtId="0" fontId="4" fillId="2" borderId="28" xfId="36" applyFont="1" applyFill="1" applyBorder="1" applyProtection="1"/>
    <xf numFmtId="0" fontId="4" fillId="2" borderId="11" xfId="36" applyFont="1" applyFill="1" applyBorder="1" applyProtection="1"/>
    <xf numFmtId="171" fontId="4" fillId="2" borderId="11" xfId="36" applyNumberFormat="1" applyFont="1" applyFill="1" applyBorder="1" applyAlignment="1" applyProtection="1">
      <alignment horizontal="center"/>
    </xf>
    <xf numFmtId="0" fontId="4" fillId="10" borderId="28" xfId="36" applyFont="1" applyFill="1" applyBorder="1" applyProtection="1"/>
    <xf numFmtId="0" fontId="4" fillId="10" borderId="0" xfId="36" applyFont="1" applyFill="1" applyBorder="1" applyProtection="1"/>
    <xf numFmtId="0" fontId="4" fillId="10" borderId="15" xfId="36" applyFont="1" applyFill="1" applyBorder="1" applyProtection="1"/>
    <xf numFmtId="0" fontId="4" fillId="10" borderId="1" xfId="36" applyFont="1" applyFill="1" applyBorder="1" applyProtection="1"/>
    <xf numFmtId="0" fontId="4" fillId="0" borderId="0" xfId="36" applyFont="1" applyProtection="1"/>
    <xf numFmtId="175" fontId="4" fillId="2" borderId="5" xfId="36" applyNumberFormat="1" applyFont="1" applyFill="1" applyBorder="1" applyAlignment="1" applyProtection="1">
      <alignment horizontal="center"/>
    </xf>
    <xf numFmtId="0" fontId="5" fillId="0" borderId="0" xfId="73" applyFont="1" applyAlignment="1">
      <alignment vertical="center"/>
    </xf>
    <xf numFmtId="0" fontId="53" fillId="0" borderId="0" xfId="0" applyFont="1" applyAlignment="1">
      <alignment vertical="center"/>
    </xf>
    <xf numFmtId="0" fontId="54" fillId="0" borderId="0" xfId="0" applyFont="1" applyAlignment="1" applyProtection="1">
      <alignment horizontal="center" vertical="center"/>
      <protection locked="0"/>
    </xf>
    <xf numFmtId="0" fontId="55" fillId="2" borderId="0" xfId="0" applyFont="1" applyFill="1" applyAlignment="1" applyProtection="1">
      <alignment horizontal="center" vertical="center"/>
    </xf>
    <xf numFmtId="37" fontId="4" fillId="2" borderId="29" xfId="0" applyNumberFormat="1" applyFont="1" applyFill="1" applyBorder="1" applyAlignment="1" applyProtection="1">
      <alignment vertical="center"/>
    </xf>
    <xf numFmtId="0" fontId="4" fillId="2" borderId="29" xfId="0" applyFont="1" applyFill="1" applyBorder="1" applyAlignment="1" applyProtection="1">
      <alignment vertical="center"/>
    </xf>
    <xf numFmtId="170" fontId="4" fillId="4" borderId="4" xfId="1" applyNumberFormat="1" applyFont="1" applyFill="1" applyBorder="1" applyAlignment="1" applyProtection="1">
      <alignment vertical="center"/>
      <protection locked="0"/>
    </xf>
    <xf numFmtId="37" fontId="3" fillId="2" borderId="0" xfId="0" applyNumberFormat="1" applyFont="1" applyFill="1" applyBorder="1" applyAlignment="1" applyProtection="1">
      <alignment vertical="center"/>
    </xf>
    <xf numFmtId="0" fontId="4" fillId="8" borderId="9" xfId="25" applyNumberFormat="1" applyFont="1" applyFill="1" applyBorder="1" applyAlignment="1" applyProtection="1">
      <alignment horizontal="left" vertical="center"/>
      <protection locked="0"/>
    </xf>
    <xf numFmtId="0" fontId="4" fillId="8" borderId="9" xfId="40" applyNumberFormat="1" applyFont="1" applyFill="1" applyBorder="1" applyAlignment="1" applyProtection="1">
      <alignment horizontal="left" vertical="center"/>
      <protection locked="0"/>
    </xf>
    <xf numFmtId="37" fontId="4" fillId="2" borderId="2" xfId="25" applyNumberFormat="1" applyFont="1" applyFill="1" applyBorder="1" applyAlignment="1" applyProtection="1">
      <alignment horizontal="center"/>
    </xf>
    <xf numFmtId="37" fontId="4" fillId="2" borderId="6" xfId="25" applyNumberFormat="1" applyFont="1" applyFill="1" applyBorder="1" applyAlignment="1" applyProtection="1">
      <alignment horizontal="center"/>
    </xf>
    <xf numFmtId="0" fontId="50" fillId="2" borderId="25" xfId="0" applyFont="1" applyFill="1" applyBorder="1" applyAlignment="1">
      <alignment horizontal="centerContinuous" vertical="center"/>
    </xf>
    <xf numFmtId="175" fontId="50" fillId="2" borderId="0" xfId="0" applyNumberFormat="1" applyFont="1" applyFill="1" applyBorder="1" applyAlignment="1">
      <alignment horizontal="centerContinuous" vertical="center"/>
    </xf>
    <xf numFmtId="0" fontId="50" fillId="2" borderId="0" xfId="0" applyFont="1" applyFill="1" applyBorder="1" applyAlignment="1">
      <alignment horizontal="centerContinuous" vertical="center"/>
    </xf>
    <xf numFmtId="172" fontId="50" fillId="2" borderId="0" xfId="0" applyNumberFormat="1" applyFont="1" applyFill="1" applyBorder="1" applyAlignment="1" applyProtection="1">
      <alignment horizontal="centerContinuous" vertical="center"/>
      <protection locked="0"/>
    </xf>
    <xf numFmtId="176" fontId="50" fillId="2" borderId="0" xfId="0" applyNumberFormat="1" applyFont="1" applyFill="1" applyBorder="1" applyAlignment="1">
      <alignment horizontal="centerContinuous" vertical="center"/>
    </xf>
    <xf numFmtId="0" fontId="50" fillId="2" borderId="21" xfId="0" applyFont="1" applyFill="1" applyBorder="1" applyAlignment="1">
      <alignment horizontal="centerContinuous" vertical="center"/>
    </xf>
    <xf numFmtId="0" fontId="50" fillId="2" borderId="25" xfId="0" applyFont="1" applyFill="1" applyBorder="1" applyAlignment="1">
      <alignment horizontal="centerContinuous"/>
    </xf>
    <xf numFmtId="175" fontId="50" fillId="2" borderId="0" xfId="0" applyNumberFormat="1" applyFont="1" applyFill="1" applyBorder="1" applyAlignment="1">
      <alignment horizontal="centerContinuous"/>
    </xf>
    <xf numFmtId="0" fontId="50" fillId="2" borderId="0" xfId="0" applyFont="1" applyFill="1" applyBorder="1" applyAlignment="1">
      <alignment horizontal="centerContinuous"/>
    </xf>
    <xf numFmtId="172" fontId="50" fillId="2" borderId="0" xfId="0" applyNumberFormat="1" applyFont="1" applyFill="1" applyBorder="1" applyAlignment="1" applyProtection="1">
      <alignment horizontal="centerContinuous"/>
      <protection locked="0"/>
    </xf>
    <xf numFmtId="176" fontId="50" fillId="2" borderId="0" xfId="0" applyNumberFormat="1" applyFont="1" applyFill="1" applyBorder="1" applyAlignment="1">
      <alignment horizontal="centerContinuous"/>
    </xf>
    <xf numFmtId="0" fontId="50" fillId="2" borderId="21" xfId="0" applyFont="1" applyFill="1" applyBorder="1" applyAlignment="1">
      <alignment horizontal="centerContinuous"/>
    </xf>
    <xf numFmtId="175" fontId="36" fillId="0" borderId="0" xfId="0" applyNumberFormat="1" applyFont="1"/>
    <xf numFmtId="175" fontId="36" fillId="2" borderId="23" xfId="0" applyNumberFormat="1" applyFont="1" applyFill="1" applyBorder="1" applyAlignment="1">
      <alignment horizontal="center"/>
    </xf>
    <xf numFmtId="172" fontId="36" fillId="2" borderId="23" xfId="0" applyNumberFormat="1" applyFont="1" applyFill="1" applyBorder="1" applyAlignment="1" applyProtection="1">
      <alignment horizontal="center"/>
      <protection locked="0"/>
    </xf>
    <xf numFmtId="176" fontId="36" fillId="2" borderId="23" xfId="0" applyNumberFormat="1" applyFont="1" applyFill="1" applyBorder="1"/>
    <xf numFmtId="172" fontId="36" fillId="2" borderId="0" xfId="0" applyNumberFormat="1" applyFont="1" applyFill="1" applyBorder="1" applyAlignment="1" applyProtection="1">
      <alignment horizontal="center"/>
      <protection locked="0"/>
    </xf>
    <xf numFmtId="175" fontId="36" fillId="2" borderId="18" xfId="0" applyNumberFormat="1" applyFont="1" applyFill="1" applyBorder="1" applyAlignment="1">
      <alignment horizontal="center"/>
    </xf>
    <xf numFmtId="0" fontId="36" fillId="2" borderId="18" xfId="0" applyFont="1" applyFill="1" applyBorder="1" applyAlignment="1">
      <alignment horizontal="center"/>
    </xf>
    <xf numFmtId="172" fontId="36" fillId="2" borderId="18" xfId="0" applyNumberFormat="1" applyFont="1" applyFill="1" applyBorder="1" applyAlignment="1" applyProtection="1">
      <alignment horizontal="center"/>
      <protection locked="0"/>
    </xf>
    <xf numFmtId="176" fontId="36" fillId="2" borderId="18" xfId="0" applyNumberFormat="1" applyFont="1" applyFill="1" applyBorder="1"/>
    <xf numFmtId="175" fontId="36" fillId="2" borderId="0" xfId="0" applyNumberFormat="1" applyFont="1" applyFill="1" applyBorder="1" applyAlignment="1" applyProtection="1">
      <alignment horizontal="center"/>
      <protection locked="0"/>
    </xf>
    <xf numFmtId="175" fontId="4" fillId="10" borderId="11" xfId="36" applyNumberFormat="1" applyFont="1" applyFill="1" applyBorder="1" applyAlignment="1" applyProtection="1">
      <alignment horizontal="center"/>
    </xf>
    <xf numFmtId="0" fontId="4" fillId="10" borderId="15" xfId="0" applyFont="1" applyFill="1" applyBorder="1" applyAlignment="1">
      <alignment vertical="center"/>
    </xf>
    <xf numFmtId="0" fontId="4" fillId="10" borderId="1" xfId="0" applyFont="1" applyFill="1" applyBorder="1" applyAlignment="1">
      <alignment vertical="center"/>
    </xf>
    <xf numFmtId="175" fontId="4" fillId="10" borderId="5" xfId="0" applyNumberFormat="1" applyFont="1" applyFill="1" applyBorder="1" applyAlignment="1">
      <alignment horizontal="center" vertical="center"/>
    </xf>
    <xf numFmtId="0" fontId="3" fillId="2" borderId="0" xfId="0" applyFont="1" applyFill="1" applyAlignment="1" applyProtection="1">
      <alignment horizontal="center" vertical="center"/>
    </xf>
    <xf numFmtId="0" fontId="4" fillId="2" borderId="0" xfId="9" applyNumberFormat="1" applyFont="1" applyFill="1" applyBorder="1" applyAlignment="1" applyProtection="1">
      <alignment horizontal="right" vertical="center"/>
    </xf>
    <xf numFmtId="175" fontId="36" fillId="4" borderId="1" xfId="0" applyNumberFormat="1" applyFont="1" applyFill="1" applyBorder="1" applyAlignment="1" applyProtection="1">
      <alignment horizontal="center"/>
      <protection locked="0"/>
    </xf>
    <xf numFmtId="175" fontId="36" fillId="2" borderId="0" xfId="0" applyNumberFormat="1" applyFont="1" applyFill="1" applyBorder="1" applyAlignment="1">
      <alignment horizontal="center"/>
    </xf>
    <xf numFmtId="0" fontId="36" fillId="2" borderId="8" xfId="0" applyFont="1" applyFill="1" applyBorder="1" applyAlignment="1">
      <alignment horizontal="center"/>
    </xf>
    <xf numFmtId="0" fontId="50" fillId="2" borderId="0" xfId="0" applyFont="1" applyFill="1" applyAlignment="1">
      <alignment horizontal="center" wrapText="1"/>
    </xf>
    <xf numFmtId="0" fontId="50" fillId="2" borderId="0" xfId="0" applyFont="1" applyFill="1" applyAlignment="1">
      <alignment horizontal="center"/>
    </xf>
    <xf numFmtId="175" fontId="36" fillId="2" borderId="0" xfId="0" applyNumberFormat="1" applyFont="1" applyFill="1" applyAlignment="1">
      <alignment horizontal="center"/>
    </xf>
    <xf numFmtId="0" fontId="36" fillId="2" borderId="0" xfId="0" applyFont="1" applyFill="1" applyBorder="1" applyAlignment="1"/>
    <xf numFmtId="0" fontId="36" fillId="2" borderId="24" xfId="0" applyFont="1" applyFill="1" applyBorder="1" applyAlignment="1"/>
    <xf numFmtId="0" fontId="36" fillId="2" borderId="0" xfId="0" applyFont="1" applyFill="1" applyBorder="1" applyAlignment="1">
      <alignment horizontal="center"/>
    </xf>
    <xf numFmtId="176" fontId="36" fillId="2" borderId="0" xfId="0" applyNumberFormat="1" applyFont="1" applyFill="1" applyBorder="1" applyAlignment="1">
      <alignment horizontal="center"/>
    </xf>
    <xf numFmtId="0" fontId="4" fillId="2" borderId="0" xfId="0" applyNumberFormat="1" applyFont="1" applyFill="1" applyBorder="1" applyAlignment="1" applyProtection="1">
      <alignment horizontal="right" vertical="center"/>
    </xf>
    <xf numFmtId="49" fontId="4" fillId="0" borderId="0" xfId="363" applyNumberFormat="1" applyFont="1" applyFill="1" applyAlignment="1" applyProtection="1">
      <alignment horizontal="left" vertical="center"/>
      <protection locked="0"/>
    </xf>
    <xf numFmtId="0" fontId="56" fillId="0" borderId="0" xfId="0" applyFont="1"/>
    <xf numFmtId="49" fontId="4" fillId="4" borderId="0" xfId="363" applyNumberFormat="1" applyFont="1" applyFill="1" applyAlignment="1" applyProtection="1">
      <alignment horizontal="left" vertical="center"/>
      <protection locked="0"/>
    </xf>
    <xf numFmtId="0" fontId="4" fillId="4" borderId="0" xfId="363" applyFont="1" applyFill="1" applyAlignment="1" applyProtection="1">
      <alignment horizontal="left" vertical="center"/>
      <protection locked="0"/>
    </xf>
    <xf numFmtId="0" fontId="28" fillId="4" borderId="0" xfId="363" applyFill="1" applyAlignment="1" applyProtection="1">
      <alignment horizontal="left" vertical="center"/>
      <protection locked="0"/>
    </xf>
    <xf numFmtId="0" fontId="57" fillId="0" borderId="0" xfId="363" applyFont="1"/>
    <xf numFmtId="173" fontId="58" fillId="0" borderId="0" xfId="363" applyNumberFormat="1" applyFont="1" applyAlignment="1">
      <alignment horizontal="left" vertical="center"/>
    </xf>
    <xf numFmtId="0" fontId="58" fillId="0" borderId="0" xfId="363" applyNumberFormat="1" applyFont="1" applyAlignment="1">
      <alignment horizontal="left" vertical="center"/>
    </xf>
    <xf numFmtId="1" fontId="58" fillId="0" borderId="0" xfId="363" applyNumberFormat="1" applyFont="1" applyAlignment="1">
      <alignment horizontal="left" vertical="center"/>
    </xf>
    <xf numFmtId="0" fontId="59" fillId="0" borderId="0" xfId="363" applyFont="1" applyAlignment="1">
      <alignment horizontal="left" vertical="center"/>
    </xf>
    <xf numFmtId="37" fontId="4" fillId="2" borderId="0" xfId="25" applyNumberFormat="1" applyFont="1" applyFill="1" applyAlignment="1" applyProtection="1">
      <alignment vertical="center"/>
    </xf>
    <xf numFmtId="0" fontId="4" fillId="2" borderId="0" xfId="25" applyFont="1" applyFill="1" applyAlignment="1" applyProtection="1">
      <alignment vertical="center"/>
    </xf>
    <xf numFmtId="1" fontId="4" fillId="2" borderId="0" xfId="25" applyNumberFormat="1" applyFont="1" applyFill="1" applyBorder="1" applyAlignment="1" applyProtection="1">
      <alignment horizontal="right" vertical="center"/>
    </xf>
    <xf numFmtId="0" fontId="4" fillId="0" borderId="0" xfId="25" applyFont="1" applyAlignment="1" applyProtection="1">
      <alignment vertical="center"/>
      <protection locked="0"/>
    </xf>
    <xf numFmtId="37" fontId="4" fillId="2" borderId="0" xfId="25" applyNumberFormat="1" applyFont="1" applyFill="1" applyAlignment="1" applyProtection="1">
      <alignment horizontal="right" vertical="center"/>
    </xf>
    <xf numFmtId="0" fontId="3" fillId="2" borderId="0" xfId="25" applyFont="1" applyFill="1" applyAlignment="1" applyProtection="1">
      <alignment vertical="center"/>
    </xf>
    <xf numFmtId="37" fontId="4" fillId="2" borderId="0" xfId="25" applyNumberFormat="1" applyFont="1" applyFill="1" applyAlignment="1" applyProtection="1">
      <alignment horizontal="fill" vertical="center"/>
    </xf>
    <xf numFmtId="37" fontId="4" fillId="2" borderId="0" xfId="25" applyNumberFormat="1" applyFont="1" applyFill="1" applyAlignment="1" applyProtection="1">
      <alignment horizontal="left" vertical="center"/>
    </xf>
    <xf numFmtId="1" fontId="4" fillId="2" borderId="14" xfId="25" applyNumberFormat="1" applyFont="1" applyFill="1" applyBorder="1" applyAlignment="1" applyProtection="1">
      <alignment horizontal="center" vertical="center"/>
    </xf>
    <xf numFmtId="37" fontId="4" fillId="2" borderId="14" xfId="25" applyNumberFormat="1" applyFont="1" applyFill="1" applyBorder="1" applyAlignment="1" applyProtection="1">
      <alignment horizontal="center" vertical="center"/>
    </xf>
    <xf numFmtId="37" fontId="4" fillId="2" borderId="2" xfId="25" applyNumberFormat="1" applyFont="1" applyFill="1" applyBorder="1" applyAlignment="1" applyProtection="1">
      <alignment horizontal="center" vertical="center"/>
    </xf>
    <xf numFmtId="37" fontId="3" fillId="2" borderId="0" xfId="25" applyNumberFormat="1" applyFont="1" applyFill="1" applyBorder="1" applyAlignment="1" applyProtection="1">
      <alignment vertical="center"/>
    </xf>
    <xf numFmtId="0" fontId="4" fillId="2" borderId="15" xfId="25" applyNumberFormat="1" applyFont="1" applyFill="1" applyBorder="1" applyAlignment="1" applyProtection="1">
      <alignment horizontal="center" vertical="center"/>
    </xf>
    <xf numFmtId="1" fontId="4" fillId="2" borderId="6" xfId="25" applyNumberFormat="1" applyFont="1" applyFill="1" applyBorder="1" applyAlignment="1" applyProtection="1">
      <alignment horizontal="center" vertical="center"/>
    </xf>
    <xf numFmtId="37" fontId="4" fillId="2" borderId="9" xfId="25" applyNumberFormat="1" applyFont="1" applyFill="1" applyBorder="1" applyAlignment="1" applyProtection="1">
      <alignment horizontal="left" vertical="center"/>
    </xf>
    <xf numFmtId="3" fontId="4" fillId="8" borderId="14" xfId="25" applyNumberFormat="1" applyFont="1" applyFill="1" applyBorder="1" applyAlignment="1" applyProtection="1">
      <alignment horizontal="right" vertical="center"/>
      <protection locked="0"/>
    </xf>
    <xf numFmtId="3" fontId="4" fillId="2" borderId="4" xfId="1"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xf>
    <xf numFmtId="37" fontId="4" fillId="2" borderId="15" xfId="25" applyNumberFormat="1" applyFont="1" applyFill="1" applyBorder="1" applyAlignment="1" applyProtection="1">
      <alignment horizontal="left" vertical="center"/>
    </xf>
    <xf numFmtId="3" fontId="4" fillId="2" borderId="14" xfId="25" applyNumberFormat="1" applyFont="1" applyFill="1" applyBorder="1" applyAlignment="1" applyProtection="1">
      <alignment horizontal="right" vertical="center"/>
      <protection locked="0"/>
    </xf>
    <xf numFmtId="3" fontId="4" fillId="2" borderId="7" xfId="1" applyNumberFormat="1" applyFont="1" applyFill="1" applyBorder="1" applyAlignment="1" applyProtection="1">
      <alignment horizontal="right" vertical="center"/>
    </xf>
    <xf numFmtId="3" fontId="4" fillId="2" borderId="7" xfId="25" applyNumberFormat="1" applyFont="1" applyFill="1" applyBorder="1" applyAlignment="1" applyProtection="1">
      <alignment horizontal="fill" vertical="center"/>
    </xf>
    <xf numFmtId="3" fontId="4" fillId="8" borderId="4" xfId="25" applyNumberFormat="1" applyFont="1" applyFill="1" applyBorder="1" applyAlignment="1" applyProtection="1">
      <alignment horizontal="right" vertical="center"/>
      <protection locked="0"/>
    </xf>
    <xf numFmtId="3" fontId="4" fillId="8" borderId="7" xfId="25" applyNumberFormat="1" applyFont="1" applyFill="1" applyBorder="1" applyAlignment="1" applyProtection="1">
      <alignment horizontal="right" vertical="center"/>
      <protection locked="0"/>
    </xf>
    <xf numFmtId="3" fontId="4" fillId="2" borderId="7" xfId="25" applyNumberFormat="1" applyFont="1" applyFill="1" applyBorder="1" applyAlignment="1" applyProtection="1">
      <alignment horizontal="right" vertical="center"/>
    </xf>
    <xf numFmtId="0" fontId="4" fillId="2" borderId="9" xfId="25" applyNumberFormat="1" applyFont="1" applyFill="1" applyBorder="1" applyAlignment="1" applyProtection="1">
      <alignment horizontal="left" vertical="center"/>
    </xf>
    <xf numFmtId="3" fontId="4" fillId="4" borderId="7" xfId="25" applyNumberFormat="1" applyFont="1" applyFill="1" applyBorder="1" applyAlignment="1" applyProtection="1">
      <alignment horizontal="right" vertical="center"/>
      <protection locked="0"/>
    </xf>
    <xf numFmtId="3" fontId="4" fillId="8" borderId="9" xfId="25" applyNumberFormat="1" applyFont="1" applyFill="1" applyBorder="1" applyAlignment="1" applyProtection="1">
      <alignment horizontal="right" vertical="center"/>
      <protection locked="0"/>
    </xf>
    <xf numFmtId="0" fontId="4" fillId="8" borderId="14" xfId="25" applyNumberFormat="1" applyFont="1" applyFill="1" applyBorder="1" applyAlignment="1" applyProtection="1">
      <alignment horizontal="left" vertical="center"/>
      <protection locked="0"/>
    </xf>
    <xf numFmtId="0" fontId="4" fillId="2" borderId="9" xfId="25" applyFont="1" applyFill="1" applyBorder="1" applyAlignment="1" applyProtection="1">
      <alignment vertical="center"/>
    </xf>
    <xf numFmtId="3" fontId="4" fillId="8" borderId="5" xfId="25" applyNumberFormat="1" applyFont="1" applyFill="1" applyBorder="1" applyAlignment="1" applyProtection="1">
      <alignment horizontal="right" vertical="center"/>
      <protection locked="0"/>
    </xf>
    <xf numFmtId="3" fontId="15" fillId="11" borderId="9" xfId="25" applyNumberFormat="1" applyFont="1" applyFill="1" applyBorder="1" applyAlignment="1" applyProtection="1">
      <alignment horizontal="center" vertical="center"/>
    </xf>
    <xf numFmtId="3" fontId="15" fillId="11" borderId="4" xfId="25" applyNumberFormat="1" applyFont="1" applyFill="1" applyBorder="1" applyAlignment="1" applyProtection="1">
      <alignment horizontal="center" vertical="center"/>
    </xf>
    <xf numFmtId="3" fontId="15" fillId="11" borderId="7" xfId="25" applyNumberFormat="1" applyFont="1" applyFill="1" applyBorder="1" applyAlignment="1" applyProtection="1">
      <alignment horizontal="center" vertical="center"/>
    </xf>
    <xf numFmtId="37" fontId="3" fillId="2" borderId="9" xfId="25" applyNumberFormat="1" applyFont="1" applyFill="1" applyBorder="1" applyAlignment="1" applyProtection="1">
      <alignment horizontal="left" vertical="center"/>
    </xf>
    <xf numFmtId="3" fontId="3" fillId="9" borderId="9" xfId="25" applyNumberFormat="1" applyFont="1" applyFill="1" applyBorder="1" applyAlignment="1" applyProtection="1">
      <alignment horizontal="right" vertical="center"/>
    </xf>
    <xf numFmtId="3" fontId="3" fillId="9" borderId="4" xfId="25" applyNumberFormat="1" applyFont="1" applyFill="1" applyBorder="1" applyAlignment="1" applyProtection="1">
      <alignment horizontal="right" vertical="center"/>
    </xf>
    <xf numFmtId="3" fontId="3" fillId="9" borderId="5" xfId="25" applyNumberFormat="1" applyFont="1" applyFill="1" applyBorder="1" applyAlignment="1" applyProtection="1">
      <alignment horizontal="right" vertical="center"/>
    </xf>
    <xf numFmtId="3" fontId="3" fillId="9" borderId="7" xfId="25" applyNumberFormat="1" applyFont="1" applyFill="1" applyBorder="1" applyAlignment="1" applyProtection="1">
      <alignment horizontal="right" vertical="center"/>
    </xf>
    <xf numFmtId="3" fontId="4" fillId="2" borderId="9" xfId="25" applyNumberFormat="1" applyFont="1" applyFill="1" applyBorder="1" applyAlignment="1" applyProtection="1">
      <alignment horizontal="right" vertical="center"/>
    </xf>
    <xf numFmtId="3" fontId="4" fillId="2" borderId="4" xfId="25" applyNumberFormat="1" applyFont="1" applyFill="1" applyBorder="1" applyAlignment="1" applyProtection="1">
      <alignment horizontal="right" vertical="center"/>
    </xf>
    <xf numFmtId="0" fontId="4" fillId="8" borderId="9" xfId="25" applyFont="1" applyFill="1" applyBorder="1" applyAlignment="1" applyProtection="1">
      <alignment vertical="center"/>
      <protection locked="0"/>
    </xf>
    <xf numFmtId="3" fontId="4" fillId="8" borderId="7" xfId="25" applyNumberFormat="1" applyFont="1" applyFill="1" applyBorder="1" applyAlignment="1" applyProtection="1">
      <alignment horizontal="right"/>
      <protection locked="0"/>
    </xf>
    <xf numFmtId="0" fontId="4" fillId="8" borderId="9" xfId="25" applyFont="1" applyFill="1" applyBorder="1" applyProtection="1">
      <protection locked="0"/>
    </xf>
    <xf numFmtId="0" fontId="4" fillId="8" borderId="9" xfId="82" applyFont="1" applyFill="1" applyBorder="1" applyProtection="1">
      <protection locked="0"/>
    </xf>
    <xf numFmtId="0" fontId="4" fillId="0" borderId="0" xfId="25" applyFont="1" applyFill="1" applyBorder="1" applyAlignment="1" applyProtection="1">
      <alignment horizontal="center" vertical="center"/>
      <protection locked="0"/>
    </xf>
    <xf numFmtId="0" fontId="2" fillId="0" borderId="0" xfId="25" applyFill="1" applyBorder="1" applyAlignment="1">
      <alignment vertical="center"/>
    </xf>
    <xf numFmtId="0" fontId="4" fillId="0" borderId="0" xfId="25" applyFont="1" applyFill="1" applyBorder="1" applyAlignment="1" applyProtection="1">
      <alignment vertical="center"/>
      <protection locked="0"/>
    </xf>
    <xf numFmtId="3" fontId="4" fillId="0" borderId="0" xfId="25" applyNumberFormat="1" applyFont="1" applyFill="1" applyBorder="1" applyAlignment="1" applyProtection="1">
      <alignment horizontal="center" vertical="center"/>
      <protection locked="0"/>
    </xf>
    <xf numFmtId="0" fontId="4" fillId="0" borderId="0" xfId="25" applyFont="1" applyFill="1" applyBorder="1" applyAlignment="1" applyProtection="1">
      <alignment horizontal="left" vertical="center"/>
      <protection locked="0"/>
    </xf>
    <xf numFmtId="0" fontId="40" fillId="2" borderId="28" xfId="25" applyFont="1" applyFill="1" applyBorder="1" applyAlignment="1" applyProtection="1">
      <alignment vertical="center"/>
    </xf>
    <xf numFmtId="0" fontId="4" fillId="2" borderId="0" xfId="25" applyFont="1" applyFill="1" applyBorder="1" applyAlignment="1" applyProtection="1">
      <alignment vertical="center"/>
    </xf>
    <xf numFmtId="0" fontId="40" fillId="2" borderId="0" xfId="25" applyFont="1" applyFill="1" applyBorder="1" applyAlignment="1" applyProtection="1">
      <alignment vertical="center"/>
    </xf>
    <xf numFmtId="175" fontId="40" fillId="2" borderId="11" xfId="25" applyNumberFormat="1" applyFont="1" applyFill="1" applyBorder="1" applyAlignment="1" applyProtection="1">
      <alignment horizontal="center" vertical="center"/>
    </xf>
    <xf numFmtId="0" fontId="40" fillId="2" borderId="28" xfId="25" applyFont="1" applyFill="1" applyBorder="1" applyAlignment="1" applyProtection="1">
      <alignment horizontal="left" vertical="center"/>
    </xf>
    <xf numFmtId="175" fontId="40" fillId="4" borderId="4" xfId="25" applyNumberFormat="1" applyFont="1" applyFill="1" applyBorder="1" applyAlignment="1" applyProtection="1">
      <alignment horizontal="center" vertical="center"/>
      <protection locked="0"/>
    </xf>
    <xf numFmtId="0" fontId="42" fillId="2" borderId="7" xfId="25" applyFont="1" applyFill="1" applyBorder="1" applyAlignment="1" applyProtection="1">
      <alignment horizontal="center" vertical="center"/>
    </xf>
    <xf numFmtId="0" fontId="42" fillId="10" borderId="28" xfId="25" applyFont="1" applyFill="1" applyBorder="1" applyAlignment="1" applyProtection="1">
      <alignment vertical="center"/>
    </xf>
    <xf numFmtId="0" fontId="4" fillId="10" borderId="0" xfId="25" applyFont="1" applyFill="1" applyBorder="1" applyAlignment="1" applyProtection="1">
      <alignment vertical="center"/>
    </xf>
    <xf numFmtId="0" fontId="40" fillId="10" borderId="0" xfId="25" applyFont="1" applyFill="1" applyBorder="1" applyAlignment="1" applyProtection="1">
      <alignment vertical="center"/>
    </xf>
    <xf numFmtId="175" fontId="42" fillId="10" borderId="7" xfId="25" applyNumberFormat="1" applyFont="1" applyFill="1" applyBorder="1" applyAlignment="1" applyProtection="1">
      <alignment horizontal="center" vertical="center"/>
    </xf>
    <xf numFmtId="37" fontId="40" fillId="2" borderId="15" xfId="25" applyNumberFormat="1" applyFont="1" applyFill="1" applyBorder="1" applyAlignment="1" applyProtection="1">
      <alignment horizontal="left" vertical="center"/>
    </xf>
    <xf numFmtId="0" fontId="43" fillId="2" borderId="1" xfId="25" applyFont="1" applyFill="1" applyBorder="1" applyAlignment="1">
      <alignment horizontal="left" vertical="center"/>
    </xf>
    <xf numFmtId="175" fontId="42" fillId="10" borderId="5" xfId="25" applyNumberFormat="1" applyFont="1" applyFill="1" applyBorder="1" applyAlignment="1" applyProtection="1">
      <alignment horizontal="center" vertical="center"/>
      <protection locked="0"/>
    </xf>
    <xf numFmtId="0" fontId="4" fillId="2" borderId="28" xfId="25" applyFont="1" applyFill="1" applyBorder="1" applyAlignment="1" applyProtection="1">
      <alignment vertical="center"/>
    </xf>
    <xf numFmtId="0" fontId="4" fillId="2" borderId="11" xfId="25" applyFont="1" applyFill="1" applyBorder="1" applyAlignment="1" applyProtection="1">
      <alignment vertical="center"/>
    </xf>
    <xf numFmtId="175" fontId="40" fillId="2" borderId="28" xfId="25" applyNumberFormat="1" applyFont="1" applyFill="1" applyBorder="1" applyAlignment="1" applyProtection="1">
      <alignment horizontal="center" vertical="center"/>
    </xf>
    <xf numFmtId="0" fontId="40" fillId="2" borderId="0" xfId="25" applyFont="1" applyFill="1" applyBorder="1" applyAlignment="1" applyProtection="1">
      <alignment horizontal="left" vertical="center"/>
    </xf>
    <xf numFmtId="0" fontId="40" fillId="2" borderId="11" xfId="25" applyFont="1" applyFill="1" applyBorder="1" applyAlignment="1" applyProtection="1">
      <alignment vertical="center"/>
    </xf>
    <xf numFmtId="3" fontId="4" fillId="9" borderId="9" xfId="25" applyNumberFormat="1" applyFont="1" applyFill="1" applyBorder="1" applyAlignment="1" applyProtection="1">
      <alignment horizontal="right" vertical="center"/>
    </xf>
    <xf numFmtId="3" fontId="4" fillId="9" borderId="4" xfId="25" applyNumberFormat="1" applyFont="1" applyFill="1" applyBorder="1" applyAlignment="1" applyProtection="1">
      <alignment horizontal="right" vertical="center"/>
    </xf>
    <xf numFmtId="0" fontId="4" fillId="2" borderId="0" xfId="25" applyFont="1" applyFill="1" applyAlignment="1" applyProtection="1">
      <alignment horizontal="right" vertical="center"/>
    </xf>
    <xf numFmtId="3" fontId="4" fillId="2" borderId="4" xfId="25" applyNumberFormat="1" applyFont="1" applyFill="1" applyBorder="1" applyAlignment="1" applyProtection="1">
      <alignment horizontal="center" vertical="center"/>
    </xf>
    <xf numFmtId="0" fontId="15" fillId="0" borderId="0" xfId="25" applyFont="1" applyAlignment="1" applyProtection="1">
      <alignment vertical="center"/>
    </xf>
    <xf numFmtId="175" fontId="40" fillId="2" borderId="15" xfId="25" applyNumberFormat="1" applyFont="1" applyFill="1" applyBorder="1" applyAlignment="1" applyProtection="1">
      <alignment horizontal="center" vertical="center"/>
    </xf>
    <xf numFmtId="0" fontId="53" fillId="0" borderId="0" xfId="25" applyFont="1" applyProtection="1">
      <protection locked="0"/>
    </xf>
    <xf numFmtId="3" fontId="4" fillId="8" borderId="4" xfId="25" applyNumberFormat="1" applyFont="1" applyFill="1" applyBorder="1" applyAlignment="1" applyProtection="1">
      <alignment vertical="center"/>
      <protection locked="0"/>
    </xf>
    <xf numFmtId="0" fontId="44" fillId="0" borderId="0" xfId="25" applyFont="1" applyAlignment="1" applyProtection="1">
      <alignment vertical="center"/>
    </xf>
    <xf numFmtId="0" fontId="55" fillId="2" borderId="0" xfId="25" applyFont="1" applyFill="1" applyAlignment="1" applyProtection="1">
      <alignment horizontal="center" vertical="center"/>
    </xf>
    <xf numFmtId="3" fontId="4" fillId="2" borderId="4" xfId="25" applyNumberFormat="1" applyFont="1" applyFill="1" applyBorder="1" applyAlignment="1" applyProtection="1">
      <alignment vertical="center"/>
    </xf>
    <xf numFmtId="175" fontId="40" fillId="2" borderId="28" xfId="25" applyNumberFormat="1" applyFont="1" applyFill="1" applyBorder="1" applyAlignment="1" applyProtection="1">
      <alignment vertical="center"/>
    </xf>
    <xf numFmtId="0" fontId="13" fillId="2" borderId="0" xfId="25" applyFont="1" applyFill="1" applyAlignment="1" applyProtection="1">
      <alignment horizontal="center" vertical="center"/>
    </xf>
    <xf numFmtId="3" fontId="4" fillId="9" borderId="4" xfId="25" applyNumberFormat="1" applyFont="1" applyFill="1" applyBorder="1" applyAlignment="1" applyProtection="1">
      <alignment vertical="center"/>
    </xf>
    <xf numFmtId="2" fontId="4" fillId="2" borderId="0" xfId="25" applyNumberFormat="1" applyFont="1" applyFill="1" applyAlignment="1" applyProtection="1">
      <alignment horizontal="right" vertical="center"/>
      <protection locked="0"/>
    </xf>
    <xf numFmtId="178" fontId="4" fillId="2" borderId="0" xfId="40" applyNumberFormat="1" applyFont="1" applyFill="1" applyAlignment="1">
      <alignment horizontal="center" vertical="center"/>
    </xf>
    <xf numFmtId="175" fontId="42" fillId="10" borderId="15" xfId="25" applyNumberFormat="1" applyFont="1" applyFill="1" applyBorder="1" applyAlignment="1" applyProtection="1">
      <alignment horizontal="center" vertical="center"/>
    </xf>
    <xf numFmtId="0" fontId="42" fillId="10" borderId="1" xfId="25" applyFont="1" applyFill="1" applyBorder="1" applyAlignment="1" applyProtection="1">
      <alignment vertical="center"/>
    </xf>
    <xf numFmtId="0" fontId="40" fillId="10" borderId="5" xfId="25" applyFont="1" applyFill="1" applyBorder="1" applyAlignment="1" applyProtection="1">
      <alignment vertical="center"/>
    </xf>
    <xf numFmtId="0" fontId="4" fillId="10" borderId="5" xfId="25" applyFont="1" applyFill="1" applyBorder="1" applyAlignment="1" applyProtection="1">
      <alignment vertical="center"/>
    </xf>
    <xf numFmtId="3" fontId="3" fillId="10" borderId="16" xfId="25" applyNumberFormat="1" applyFont="1" applyFill="1" applyBorder="1" applyAlignment="1" applyProtection="1">
      <alignment vertical="center"/>
    </xf>
    <xf numFmtId="0" fontId="4" fillId="4" borderId="0" xfId="25" applyFont="1" applyFill="1" applyAlignment="1" applyProtection="1">
      <alignment horizontal="left" vertical="center"/>
      <protection locked="0"/>
    </xf>
    <xf numFmtId="172" fontId="40" fillId="2" borderId="28" xfId="25" applyNumberFormat="1" applyFont="1" applyFill="1" applyBorder="1" applyAlignment="1" applyProtection="1">
      <alignment horizontal="center" vertical="center"/>
    </xf>
    <xf numFmtId="0" fontId="41" fillId="2" borderId="0" xfId="25" applyFont="1" applyFill="1" applyBorder="1" applyAlignment="1" applyProtection="1">
      <alignment horizontal="center" vertical="center"/>
    </xf>
    <xf numFmtId="0" fontId="2" fillId="2" borderId="11" xfId="25" applyFill="1" applyBorder="1" applyAlignment="1" applyProtection="1">
      <alignment vertical="center"/>
    </xf>
    <xf numFmtId="172" fontId="40" fillId="10" borderId="15" xfId="25" applyNumberFormat="1" applyFont="1" applyFill="1" applyBorder="1" applyAlignment="1" applyProtection="1">
      <alignment horizontal="center" vertical="center"/>
    </xf>
    <xf numFmtId="0" fontId="4" fillId="0" borderId="0" xfId="25" applyFont="1" applyFill="1" applyBorder="1" applyAlignment="1" applyProtection="1">
      <alignment vertical="center"/>
    </xf>
    <xf numFmtId="175" fontId="4" fillId="0" borderId="0" xfId="25" applyNumberFormat="1" applyFont="1" applyFill="1" applyBorder="1" applyAlignment="1" applyProtection="1">
      <alignment vertical="center"/>
      <protection locked="0"/>
    </xf>
    <xf numFmtId="172" fontId="40" fillId="2" borderId="9" xfId="25" applyNumberFormat="1" applyFont="1" applyFill="1" applyBorder="1" applyAlignment="1" applyProtection="1">
      <alignment horizontal="center" vertical="center"/>
    </xf>
    <xf numFmtId="175" fontId="4" fillId="0" borderId="0" xfId="25" applyNumberFormat="1" applyFont="1" applyAlignment="1" applyProtection="1">
      <alignment vertical="center"/>
      <protection locked="0"/>
    </xf>
    <xf numFmtId="0" fontId="40" fillId="0" borderId="0" xfId="25" applyFont="1" applyFill="1" applyBorder="1" applyAlignment="1" applyProtection="1">
      <alignment horizontal="left" vertical="center"/>
    </xf>
    <xf numFmtId="0" fontId="40" fillId="0" borderId="0" xfId="25" applyFont="1" applyFill="1" applyBorder="1" applyAlignment="1" applyProtection="1">
      <alignment vertical="center"/>
    </xf>
    <xf numFmtId="175" fontId="40" fillId="0" borderId="0" xfId="25" applyNumberFormat="1" applyFont="1" applyFill="1" applyBorder="1" applyAlignment="1" applyProtection="1">
      <alignment horizontal="center" vertical="center"/>
      <protection locked="0"/>
    </xf>
    <xf numFmtId="0" fontId="40" fillId="0" borderId="0" xfId="25" applyFont="1" applyFill="1" applyBorder="1" applyAlignment="1" applyProtection="1">
      <alignment vertical="center"/>
      <protection locked="0"/>
    </xf>
    <xf numFmtId="172" fontId="40" fillId="10" borderId="9" xfId="25" applyNumberFormat="1" applyFont="1" applyFill="1" applyBorder="1" applyAlignment="1" applyProtection="1">
      <alignment horizontal="center" vertical="center"/>
    </xf>
    <xf numFmtId="3" fontId="4" fillId="0" borderId="0" xfId="25" applyNumberFormat="1" applyFont="1" applyFill="1" applyBorder="1" applyAlignment="1" applyProtection="1">
      <alignment horizontal="left" vertical="center"/>
      <protection locked="0"/>
    </xf>
    <xf numFmtId="6" fontId="4" fillId="0" borderId="0" xfId="25" applyNumberFormat="1" applyFont="1" applyFill="1" applyBorder="1" applyAlignment="1" applyProtection="1">
      <alignment horizontal="left" vertical="center"/>
      <protection locked="0"/>
    </xf>
    <xf numFmtId="0" fontId="40" fillId="2" borderId="1" xfId="25" applyFont="1" applyFill="1" applyBorder="1" applyAlignment="1" applyProtection="1">
      <alignment horizontal="left" vertical="center"/>
    </xf>
    <xf numFmtId="0" fontId="41" fillId="2" borderId="1" xfId="25" applyFont="1" applyFill="1" applyBorder="1" applyAlignment="1" applyProtection="1">
      <alignment horizontal="center" vertical="center"/>
    </xf>
    <xf numFmtId="0" fontId="2" fillId="2" borderId="5" xfId="25" applyFill="1" applyBorder="1" applyAlignment="1" applyProtection="1">
      <alignment vertical="center"/>
    </xf>
    <xf numFmtId="172" fontId="40" fillId="0" borderId="0" xfId="25" applyNumberFormat="1" applyFont="1" applyFill="1" applyBorder="1" applyAlignment="1" applyProtection="1">
      <alignment horizontal="center" vertical="center"/>
      <protection locked="0"/>
    </xf>
    <xf numFmtId="0" fontId="42" fillId="0" borderId="0" xfId="25" applyFont="1" applyFill="1" applyBorder="1" applyAlignment="1" applyProtection="1">
      <alignment horizontal="center" vertical="center"/>
    </xf>
    <xf numFmtId="0" fontId="42" fillId="0" borderId="0" xfId="25" applyFont="1" applyFill="1" applyBorder="1" applyAlignment="1" applyProtection="1">
      <alignment vertical="center"/>
    </xf>
    <xf numFmtId="175" fontId="42" fillId="0" borderId="0" xfId="25" applyNumberFormat="1" applyFont="1" applyFill="1" applyBorder="1" applyAlignment="1" applyProtection="1">
      <alignment horizontal="center" vertical="center"/>
    </xf>
    <xf numFmtId="3" fontId="55" fillId="0" borderId="0" xfId="25" applyNumberFormat="1" applyFont="1" applyFill="1" applyBorder="1" applyAlignment="1" applyProtection="1">
      <alignment horizontal="center" vertical="center"/>
      <protection locked="0"/>
    </xf>
    <xf numFmtId="0" fontId="55" fillId="0" borderId="0" xfId="25" applyFont="1" applyFill="1" applyBorder="1" applyAlignment="1" applyProtection="1">
      <alignment horizontal="center" vertical="center"/>
      <protection locked="0"/>
    </xf>
    <xf numFmtId="0" fontId="55" fillId="0" borderId="0" xfId="25" applyFont="1" applyAlignment="1" applyProtection="1">
      <alignment horizontal="center" vertical="center"/>
      <protection locked="0"/>
    </xf>
    <xf numFmtId="0" fontId="4" fillId="2" borderId="0" xfId="25" applyFont="1" applyFill="1"/>
    <xf numFmtId="0" fontId="2" fillId="0" borderId="0" xfId="25"/>
    <xf numFmtId="0" fontId="4" fillId="2" borderId="0" xfId="25" applyFont="1" applyFill="1" applyAlignment="1">
      <alignment vertical="center"/>
    </xf>
    <xf numFmtId="37" fontId="4" fillId="2" borderId="0" xfId="25" applyNumberFormat="1" applyFont="1" applyFill="1" applyAlignment="1">
      <alignment vertical="center"/>
    </xf>
    <xf numFmtId="0" fontId="4" fillId="2" borderId="1" xfId="25" applyFont="1" applyFill="1" applyBorder="1" applyAlignment="1">
      <alignment vertical="center"/>
    </xf>
    <xf numFmtId="0" fontId="4" fillId="2" borderId="0" xfId="25" applyFont="1" applyFill="1" applyAlignment="1">
      <alignment horizontal="center" vertical="center"/>
    </xf>
    <xf numFmtId="0" fontId="5" fillId="2" borderId="0" xfId="25" applyFont="1" applyFill="1" applyAlignment="1">
      <alignment horizontal="center" vertical="center"/>
    </xf>
    <xf numFmtId="175" fontId="4" fillId="2" borderId="0" xfId="25" applyNumberFormat="1" applyFont="1" applyFill="1" applyAlignment="1">
      <alignment vertical="center"/>
    </xf>
    <xf numFmtId="175" fontId="4" fillId="2" borderId="8" xfId="25" applyNumberFormat="1" applyFont="1" applyFill="1" applyBorder="1" applyAlignment="1">
      <alignment vertical="center"/>
    </xf>
    <xf numFmtId="6" fontId="4" fillId="2" borderId="0" xfId="25" applyNumberFormat="1" applyFont="1" applyFill="1" applyBorder="1" applyAlignment="1">
      <alignment vertical="center"/>
    </xf>
    <xf numFmtId="175" fontId="4" fillId="2" borderId="0" xfId="25" applyNumberFormat="1" applyFont="1" applyFill="1" applyBorder="1" applyAlignment="1">
      <alignment vertical="center"/>
    </xf>
    <xf numFmtId="0" fontId="54" fillId="10" borderId="0" xfId="25" applyFont="1" applyFill="1" applyAlignment="1">
      <alignment vertical="center"/>
    </xf>
    <xf numFmtId="0" fontId="54" fillId="2" borderId="0" xfId="25" applyFont="1" applyFill="1" applyAlignment="1">
      <alignment horizontal="center" vertical="center"/>
    </xf>
    <xf numFmtId="172" fontId="4" fillId="2" borderId="0" xfId="25" applyNumberFormat="1" applyFont="1" applyFill="1" applyAlignment="1">
      <alignment horizontal="center" vertical="center"/>
    </xf>
    <xf numFmtId="179" fontId="54" fillId="2" borderId="0" xfId="25" applyNumberFormat="1" applyFont="1" applyFill="1" applyAlignment="1">
      <alignment horizontal="center" vertical="center"/>
    </xf>
    <xf numFmtId="0" fontId="54" fillId="10" borderId="0" xfId="25" applyFont="1" applyFill="1" applyAlignment="1">
      <alignment horizontal="center" vertical="center"/>
    </xf>
    <xf numFmtId="0" fontId="60" fillId="10" borderId="0" xfId="25" applyFont="1" applyFill="1" applyAlignment="1">
      <alignment horizontal="center" vertical="center"/>
    </xf>
    <xf numFmtId="0" fontId="4" fillId="2" borderId="0" xfId="25" applyFont="1" applyFill="1" applyAlignment="1">
      <alignment horizontal="right" vertical="center"/>
    </xf>
    <xf numFmtId="0" fontId="4" fillId="2" borderId="0" xfId="25" applyFont="1" applyFill="1" applyAlignment="1">
      <alignment horizontal="left" vertical="center"/>
    </xf>
    <xf numFmtId="0" fontId="4" fillId="2" borderId="0" xfId="16" applyFont="1" applyFill="1"/>
    <xf numFmtId="0" fontId="2" fillId="2" borderId="0" xfId="25" applyFill="1"/>
    <xf numFmtId="0" fontId="3" fillId="2" borderId="0" xfId="16" applyFont="1" applyFill="1"/>
    <xf numFmtId="0" fontId="2" fillId="2" borderId="0" xfId="16" applyFill="1"/>
    <xf numFmtId="0" fontId="10" fillId="0" borderId="0" xfId="9" applyAlignment="1" applyProtection="1"/>
    <xf numFmtId="0" fontId="4" fillId="2" borderId="10" xfId="0" applyFont="1" applyFill="1" applyBorder="1" applyProtection="1"/>
    <xf numFmtId="0" fontId="7" fillId="2" borderId="6" xfId="0" applyFont="1" applyFill="1" applyBorder="1" applyAlignment="1" applyProtection="1">
      <alignment horizontal="center" vertical="center"/>
    </xf>
    <xf numFmtId="14" fontId="4" fillId="2" borderId="6" xfId="0" quotePrefix="1" applyNumberFormat="1" applyFont="1" applyFill="1" applyBorder="1" applyAlignment="1" applyProtection="1">
      <alignment horizontal="center" vertical="center"/>
    </xf>
    <xf numFmtId="3" fontId="3" fillId="9" borderId="16" xfId="0" applyNumberFormat="1" applyFont="1" applyFill="1" applyBorder="1" applyAlignment="1" applyProtection="1">
      <alignment horizontal="center" vertical="center"/>
    </xf>
    <xf numFmtId="1" fontId="4" fillId="8" borderId="4" xfId="0" applyNumberFormat="1" applyFont="1" applyFill="1" applyBorder="1" applyAlignment="1" applyProtection="1">
      <alignment horizontal="center" vertical="center"/>
      <protection locked="0"/>
    </xf>
    <xf numFmtId="0" fontId="40" fillId="0" borderId="0" xfId="36" applyFont="1" applyFill="1" applyBorder="1" applyAlignment="1" applyProtection="1">
      <alignment vertical="center"/>
    </xf>
    <xf numFmtId="0" fontId="4" fillId="0" borderId="0" xfId="36" applyFont="1" applyFill="1" applyBorder="1" applyAlignment="1" applyProtection="1">
      <alignment vertical="center"/>
      <protection locked="0"/>
    </xf>
    <xf numFmtId="0" fontId="40" fillId="0" borderId="0" xfId="36" applyFont="1" applyFill="1" applyBorder="1" applyAlignment="1" applyProtection="1">
      <alignment vertical="center"/>
      <protection locked="0"/>
    </xf>
    <xf numFmtId="172" fontId="40" fillId="0" borderId="0" xfId="36" applyNumberFormat="1" applyFont="1" applyFill="1" applyBorder="1" applyAlignment="1" applyProtection="1">
      <alignment horizontal="center" vertical="center"/>
      <protection locked="0"/>
    </xf>
    <xf numFmtId="0" fontId="42" fillId="0" borderId="0" xfId="36" applyFont="1" applyFill="1" applyBorder="1" applyAlignment="1" applyProtection="1">
      <alignment vertical="center"/>
      <protection locked="0"/>
    </xf>
    <xf numFmtId="175" fontId="42" fillId="0" borderId="0" xfId="36" applyNumberFormat="1" applyFont="1" applyFill="1" applyBorder="1" applyAlignment="1" applyProtection="1">
      <alignment horizontal="center" vertical="center"/>
      <protection locked="0"/>
    </xf>
    <xf numFmtId="178" fontId="4" fillId="2" borderId="0" xfId="370" applyNumberFormat="1" applyFont="1" applyFill="1" applyAlignment="1" applyProtection="1">
      <alignment horizontal="center" vertical="center"/>
    </xf>
    <xf numFmtId="3" fontId="4" fillId="11" borderId="16" xfId="0" applyNumberFormat="1" applyFont="1" applyFill="1" applyBorder="1" applyAlignment="1" applyProtection="1">
      <alignment vertical="center"/>
    </xf>
    <xf numFmtId="3" fontId="4" fillId="10" borderId="16" xfId="36"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0" fontId="4" fillId="0" borderId="0" xfId="0" applyFont="1" applyBorder="1" applyAlignment="1" applyProtection="1">
      <alignment vertical="center"/>
      <protection locked="0"/>
    </xf>
    <xf numFmtId="0" fontId="4" fillId="2" borderId="0" xfId="0" applyFont="1" applyFill="1" applyBorder="1" applyAlignment="1" applyProtection="1">
      <alignment vertical="center"/>
      <protection locked="0"/>
    </xf>
    <xf numFmtId="37" fontId="4" fillId="2" borderId="0" xfId="0" applyNumberFormat="1" applyFont="1" applyFill="1" applyBorder="1" applyAlignment="1" applyProtection="1">
      <alignment horizontal="fill" vertical="center"/>
      <protection locked="0"/>
    </xf>
    <xf numFmtId="37" fontId="4" fillId="2" borderId="0" xfId="0" applyNumberFormat="1" applyFont="1" applyFill="1" applyBorder="1" applyAlignment="1" applyProtection="1">
      <alignment horizontal="centerContinuous" vertical="center"/>
    </xf>
    <xf numFmtId="37" fontId="4" fillId="9" borderId="1" xfId="0" applyNumberFormat="1" applyFont="1" applyFill="1" applyBorder="1" applyAlignment="1" applyProtection="1">
      <alignment vertical="center"/>
    </xf>
    <xf numFmtId="0" fontId="4" fillId="2" borderId="0" xfId="0" applyFont="1" applyFill="1" applyBorder="1" applyAlignment="1" applyProtection="1">
      <alignment horizontal="center" vertical="center"/>
    </xf>
    <xf numFmtId="37" fontId="4" fillId="2" borderId="0" xfId="0" applyNumberFormat="1" applyFont="1" applyFill="1" applyBorder="1" applyAlignment="1" applyProtection="1">
      <alignment horizontal="center" vertical="center"/>
    </xf>
    <xf numFmtId="0" fontId="4" fillId="2" borderId="15" xfId="0" applyFont="1" applyFill="1" applyBorder="1" applyAlignment="1" applyProtection="1">
      <alignment vertical="center"/>
    </xf>
    <xf numFmtId="0" fontId="4" fillId="2" borderId="0" xfId="0" applyFont="1" applyFill="1" applyProtection="1">
      <protection locked="0"/>
    </xf>
    <xf numFmtId="178" fontId="4" fillId="8" borderId="4" xfId="0" applyNumberFormat="1" applyFont="1" applyFill="1" applyBorder="1" applyAlignment="1" applyProtection="1">
      <alignment vertical="center"/>
      <protection locked="0"/>
    </xf>
    <xf numFmtId="178" fontId="4" fillId="8" borderId="6" xfId="0" applyNumberFormat="1" applyFont="1" applyFill="1" applyBorder="1" applyAlignment="1" applyProtection="1">
      <alignment vertical="center"/>
      <protection locked="0"/>
    </xf>
    <xf numFmtId="0" fontId="4" fillId="2" borderId="28" xfId="36" applyFont="1" applyFill="1" applyBorder="1" applyAlignment="1" applyProtection="1">
      <alignment vertical="center"/>
    </xf>
    <xf numFmtId="0" fontId="4" fillId="2" borderId="0" xfId="36" applyFont="1" applyFill="1" applyBorder="1" applyAlignment="1" applyProtection="1">
      <alignment vertical="center"/>
    </xf>
    <xf numFmtId="0" fontId="4" fillId="2" borderId="11" xfId="36" applyFont="1" applyFill="1" applyBorder="1" applyAlignment="1" applyProtection="1">
      <alignment vertical="center"/>
    </xf>
    <xf numFmtId="0" fontId="40" fillId="2" borderId="28" xfId="36" applyFont="1" applyFill="1" applyBorder="1" applyAlignment="1" applyProtection="1">
      <alignment horizontal="left" vertical="center"/>
    </xf>
    <xf numFmtId="0" fontId="40" fillId="2" borderId="0" xfId="36" applyFont="1" applyFill="1" applyBorder="1" applyAlignment="1" applyProtection="1">
      <alignment vertical="center"/>
    </xf>
    <xf numFmtId="175" fontId="40" fillId="4" borderId="4" xfId="36" applyNumberFormat="1" applyFont="1" applyFill="1" applyBorder="1" applyAlignment="1" applyProtection="1">
      <alignment horizontal="center" vertical="center"/>
      <protection locked="0"/>
    </xf>
    <xf numFmtId="0" fontId="40" fillId="2" borderId="28" xfId="36" applyFont="1" applyFill="1" applyBorder="1" applyAlignment="1" applyProtection="1">
      <alignment vertical="center"/>
    </xf>
    <xf numFmtId="0" fontId="4" fillId="2" borderId="0" xfId="36" applyFont="1" applyFill="1" applyBorder="1" applyAlignment="1" applyProtection="1">
      <alignment vertical="center"/>
      <protection locked="0"/>
    </xf>
    <xf numFmtId="0" fontId="40" fillId="2" borderId="0" xfId="36" applyFont="1" applyFill="1" applyBorder="1" applyAlignment="1" applyProtection="1">
      <alignment vertical="center"/>
      <protection locked="0"/>
    </xf>
    <xf numFmtId="172" fontId="40" fillId="2" borderId="7" xfId="36" applyNumberFormat="1" applyFont="1" applyFill="1" applyBorder="1" applyAlignment="1" applyProtection="1">
      <alignment horizontal="center" vertical="center"/>
      <protection locked="0"/>
    </xf>
    <xf numFmtId="0" fontId="42" fillId="10" borderId="28" xfId="36" applyFont="1" applyFill="1" applyBorder="1" applyAlignment="1" applyProtection="1">
      <alignment vertical="center"/>
      <protection locked="0"/>
    </xf>
    <xf numFmtId="0" fontId="4" fillId="10" borderId="0" xfId="36" applyFont="1" applyFill="1" applyBorder="1" applyAlignment="1" applyProtection="1">
      <alignment vertical="center"/>
      <protection locked="0"/>
    </xf>
    <xf numFmtId="0" fontId="40" fillId="10" borderId="0" xfId="36" applyFont="1" applyFill="1" applyBorder="1" applyAlignment="1" applyProtection="1">
      <alignment vertical="center"/>
      <protection locked="0"/>
    </xf>
    <xf numFmtId="175" fontId="42" fillId="10" borderId="5" xfId="36" applyNumberFormat="1" applyFont="1" applyFill="1" applyBorder="1" applyAlignment="1" applyProtection="1">
      <alignment horizontal="center" vertical="center"/>
      <protection locked="0"/>
    </xf>
    <xf numFmtId="0" fontId="40" fillId="2" borderId="15" xfId="0" applyFont="1" applyFill="1" applyBorder="1" applyAlignment="1" applyProtection="1">
      <alignment vertical="center"/>
      <protection locked="0"/>
    </xf>
    <xf numFmtId="0" fontId="40" fillId="2" borderId="1"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175" fontId="42" fillId="10" borderId="5" xfId="0" applyNumberFormat="1" applyFont="1" applyFill="1" applyBorder="1" applyAlignment="1" applyProtection="1">
      <alignment horizontal="center" vertical="center"/>
      <protection locked="0"/>
    </xf>
    <xf numFmtId="175" fontId="40" fillId="2" borderId="28" xfId="36" applyNumberFormat="1" applyFont="1" applyFill="1" applyBorder="1" applyAlignment="1" applyProtection="1">
      <alignment horizontal="center" vertical="center"/>
    </xf>
    <xf numFmtId="0" fontId="40" fillId="2" borderId="0" xfId="36" applyFont="1" applyFill="1" applyBorder="1" applyAlignment="1" applyProtection="1">
      <alignment horizontal="left" vertical="center"/>
    </xf>
    <xf numFmtId="0" fontId="40" fillId="2" borderId="11" xfId="36" applyFont="1" applyFill="1" applyBorder="1" applyAlignment="1" applyProtection="1">
      <alignment vertical="center"/>
    </xf>
    <xf numFmtId="175" fontId="40" fillId="2" borderId="15" xfId="36" applyNumberFormat="1" applyFont="1" applyFill="1" applyBorder="1" applyAlignment="1" applyProtection="1">
      <alignment horizontal="center" vertical="center"/>
    </xf>
    <xf numFmtId="0" fontId="53" fillId="0" borderId="0" xfId="0" applyFont="1" applyProtection="1">
      <protection locked="0"/>
    </xf>
    <xf numFmtId="175" fontId="40" fillId="2" borderId="28" xfId="36" applyNumberFormat="1" applyFont="1" applyFill="1" applyBorder="1" applyAlignment="1" applyProtection="1">
      <alignment vertical="center"/>
    </xf>
    <xf numFmtId="175" fontId="42" fillId="10" borderId="15" xfId="36" applyNumberFormat="1" applyFont="1" applyFill="1" applyBorder="1" applyAlignment="1" applyProtection="1">
      <alignment horizontal="center" vertical="center"/>
    </xf>
    <xf numFmtId="0" fontId="42" fillId="10" borderId="1" xfId="36" applyFont="1" applyFill="1" applyBorder="1" applyAlignment="1" applyProtection="1">
      <alignment vertical="center"/>
    </xf>
    <xf numFmtId="0" fontId="40" fillId="10" borderId="5" xfId="36" applyFont="1" applyFill="1" applyBorder="1" applyAlignment="1" applyProtection="1">
      <alignment vertical="center"/>
    </xf>
    <xf numFmtId="0" fontId="4" fillId="10" borderId="5" xfId="36" applyFont="1" applyFill="1" applyBorder="1" applyAlignment="1" applyProtection="1">
      <alignment vertical="center"/>
    </xf>
    <xf numFmtId="172" fontId="40" fillId="2" borderId="28" xfId="0" applyNumberFormat="1" applyFont="1" applyFill="1" applyBorder="1" applyAlignment="1" applyProtection="1">
      <alignment horizontal="center" vertical="center"/>
    </xf>
    <xf numFmtId="0" fontId="40" fillId="2" borderId="0" xfId="0" applyFont="1" applyFill="1" applyBorder="1" applyAlignment="1" applyProtection="1">
      <alignment horizontal="left" vertical="center"/>
    </xf>
    <xf numFmtId="0" fontId="41" fillId="2" borderId="0" xfId="0" applyFont="1" applyFill="1" applyBorder="1" applyAlignment="1" applyProtection="1">
      <alignment horizontal="center" vertical="center"/>
    </xf>
    <xf numFmtId="0" fontId="0" fillId="2" borderId="11" xfId="0" applyFill="1" applyBorder="1" applyAlignment="1" applyProtection="1">
      <alignment vertical="center"/>
    </xf>
    <xf numFmtId="172" fontId="40" fillId="10" borderId="15" xfId="0" applyNumberFormat="1" applyFont="1" applyFill="1" applyBorder="1" applyAlignment="1" applyProtection="1">
      <alignment horizontal="center" vertical="center"/>
    </xf>
    <xf numFmtId="172" fontId="40" fillId="2" borderId="9" xfId="0" applyNumberFormat="1" applyFont="1" applyFill="1" applyBorder="1" applyAlignment="1" applyProtection="1">
      <alignment horizontal="center" vertical="center"/>
    </xf>
    <xf numFmtId="172" fontId="40" fillId="10" borderId="9" xfId="0" applyNumberFormat="1" applyFont="1" applyFill="1" applyBorder="1" applyAlignment="1" applyProtection="1">
      <alignment horizontal="center" vertical="center"/>
    </xf>
    <xf numFmtId="0" fontId="40" fillId="2" borderId="1" xfId="0" applyFont="1" applyFill="1" applyBorder="1" applyAlignment="1" applyProtection="1">
      <alignment horizontal="left" vertical="center"/>
    </xf>
    <xf numFmtId="0" fontId="41" fillId="2" borderId="1" xfId="0" applyFont="1" applyFill="1" applyBorder="1" applyAlignment="1" applyProtection="1">
      <alignment horizontal="center" vertical="center"/>
    </xf>
    <xf numFmtId="0" fontId="0" fillId="2" borderId="5" xfId="0" applyFill="1" applyBorder="1" applyAlignment="1" applyProtection="1">
      <alignment vertical="center"/>
    </xf>
    <xf numFmtId="0" fontId="40" fillId="2" borderId="28" xfId="0" applyFont="1" applyFill="1" applyBorder="1" applyAlignment="1" applyProtection="1">
      <alignment vertical="center"/>
    </xf>
    <xf numFmtId="0" fontId="40" fillId="2" borderId="0" xfId="0" applyFont="1" applyFill="1" applyBorder="1" applyAlignment="1" applyProtection="1">
      <alignment vertical="center"/>
    </xf>
    <xf numFmtId="175" fontId="40" fillId="2" borderId="11" xfId="0" applyNumberFormat="1" applyFont="1" applyFill="1" applyBorder="1" applyAlignment="1" applyProtection="1">
      <alignment horizontal="center" vertical="center"/>
    </xf>
    <xf numFmtId="0" fontId="40" fillId="2" borderId="28" xfId="0" applyFont="1" applyFill="1" applyBorder="1" applyAlignment="1" applyProtection="1">
      <alignment horizontal="left" vertical="center"/>
    </xf>
    <xf numFmtId="175" fontId="40" fillId="4" borderId="4" xfId="0" applyNumberFormat="1" applyFont="1" applyFill="1" applyBorder="1" applyAlignment="1" applyProtection="1">
      <alignment horizontal="center" vertical="center"/>
      <protection locked="0"/>
    </xf>
    <xf numFmtId="172" fontId="42" fillId="2" borderId="7" xfId="0" applyNumberFormat="1" applyFont="1" applyFill="1" applyBorder="1" applyAlignment="1" applyProtection="1">
      <alignment horizontal="center" vertical="center"/>
    </xf>
    <xf numFmtId="0" fontId="42" fillId="10" borderId="28" xfId="0" applyFont="1" applyFill="1" applyBorder="1" applyAlignment="1" applyProtection="1">
      <alignment vertical="center"/>
    </xf>
    <xf numFmtId="0" fontId="4" fillId="10" borderId="0" xfId="0" applyFont="1" applyFill="1" applyBorder="1" applyAlignment="1" applyProtection="1">
      <alignment vertical="center"/>
    </xf>
    <xf numFmtId="0" fontId="40" fillId="10" borderId="0" xfId="0" applyFont="1" applyFill="1" applyBorder="1" applyAlignment="1" applyProtection="1">
      <alignment vertical="center"/>
    </xf>
    <xf numFmtId="175" fontId="42" fillId="10" borderId="7" xfId="0" applyNumberFormat="1" applyFont="1" applyFill="1" applyBorder="1" applyAlignment="1" applyProtection="1">
      <alignment horizontal="center" vertical="center"/>
    </xf>
    <xf numFmtId="37" fontId="40" fillId="2" borderId="15" xfId="0" applyNumberFormat="1" applyFont="1" applyFill="1" applyBorder="1" applyAlignment="1" applyProtection="1">
      <alignment horizontal="left" vertical="center"/>
    </xf>
    <xf numFmtId="0" fontId="43" fillId="2" borderId="1" xfId="0" applyFont="1" applyFill="1" applyBorder="1" applyAlignment="1">
      <alignment horizontal="left" vertical="center"/>
    </xf>
    <xf numFmtId="0" fontId="4" fillId="2" borderId="28" xfId="36"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175" fontId="11" fillId="2" borderId="28" xfId="36" applyNumberFormat="1" applyFont="1" applyFill="1" applyBorder="1" applyAlignment="1" applyProtection="1">
      <alignment horizontal="center" vertical="center"/>
      <protection locked="0"/>
    </xf>
    <xf numFmtId="0" fontId="11" fillId="2" borderId="0" xfId="36" applyFont="1" applyFill="1" applyBorder="1" applyAlignment="1" applyProtection="1">
      <alignment horizontal="left" vertical="center"/>
      <protection locked="0"/>
    </xf>
    <xf numFmtId="0" fontId="4" fillId="2" borderId="11" xfId="36" applyFont="1" applyFill="1" applyBorder="1" applyAlignment="1" applyProtection="1">
      <alignment vertical="center"/>
      <protection locked="0"/>
    </xf>
    <xf numFmtId="0" fontId="11" fillId="2" borderId="0" xfId="36" applyFont="1" applyFill="1" applyBorder="1" applyAlignment="1" applyProtection="1">
      <alignment vertical="center"/>
      <protection locked="0"/>
    </xf>
    <xf numFmtId="175" fontId="11" fillId="2" borderId="15" xfId="36" applyNumberFormat="1" applyFont="1" applyFill="1" applyBorder="1" applyAlignment="1" applyProtection="1">
      <alignment horizontal="center" vertical="center"/>
      <protection locked="0"/>
    </xf>
    <xf numFmtId="175" fontId="11" fillId="2" borderId="28" xfId="36" applyNumberFormat="1" applyFont="1" applyFill="1" applyBorder="1" applyAlignment="1" applyProtection="1">
      <alignment vertical="center"/>
      <protection locked="0"/>
    </xf>
    <xf numFmtId="175" fontId="11" fillId="10" borderId="15" xfId="36" applyNumberFormat="1" applyFont="1" applyFill="1" applyBorder="1" applyAlignment="1" applyProtection="1">
      <alignment horizontal="center" vertical="center"/>
      <protection locked="0"/>
    </xf>
    <xf numFmtId="0" fontId="11" fillId="10" borderId="1" xfId="36" applyFont="1" applyFill="1" applyBorder="1" applyAlignment="1" applyProtection="1">
      <alignment vertical="center"/>
      <protection locked="0"/>
    </xf>
    <xf numFmtId="0" fontId="4" fillId="10" borderId="5" xfId="36" applyFont="1" applyFill="1" applyBorder="1" applyAlignment="1" applyProtection="1">
      <alignment vertical="center"/>
      <protection locked="0"/>
    </xf>
    <xf numFmtId="0" fontId="4" fillId="10" borderId="5" xfId="0" applyFont="1" applyFill="1" applyBorder="1" applyAlignment="1" applyProtection="1">
      <alignment vertical="center"/>
      <protection locked="0"/>
    </xf>
    <xf numFmtId="0" fontId="4" fillId="2" borderId="28" xfId="0" applyFont="1" applyFill="1" applyBorder="1" applyAlignment="1" applyProtection="1">
      <alignment vertical="center"/>
    </xf>
    <xf numFmtId="0" fontId="4" fillId="2" borderId="11" xfId="0" applyFont="1" applyFill="1" applyBorder="1" applyProtection="1">
      <protection locked="0"/>
    </xf>
    <xf numFmtId="175" fontId="40" fillId="2" borderId="28" xfId="0" applyNumberFormat="1" applyFont="1" applyFill="1" applyBorder="1" applyAlignment="1" applyProtection="1">
      <alignment horizontal="center" vertical="center"/>
    </xf>
    <xf numFmtId="0" fontId="40" fillId="2" borderId="11" xfId="0" applyFont="1" applyFill="1" applyBorder="1" applyAlignment="1" applyProtection="1">
      <alignment vertical="center"/>
    </xf>
    <xf numFmtId="175" fontId="40" fillId="2" borderId="15" xfId="0" applyNumberFormat="1" applyFont="1" applyFill="1" applyBorder="1" applyAlignment="1" applyProtection="1">
      <alignment horizontal="center" vertical="center"/>
    </xf>
    <xf numFmtId="0" fontId="46" fillId="0" borderId="0" xfId="0" applyFont="1" applyAlignment="1" applyProtection="1">
      <alignment horizontal="right" vertical="center"/>
    </xf>
    <xf numFmtId="175" fontId="11" fillId="2" borderId="28" xfId="0" applyNumberFormat="1" applyFont="1" applyFill="1" applyBorder="1" applyAlignment="1" applyProtection="1">
      <alignment horizontal="center" vertical="center"/>
    </xf>
    <xf numFmtId="0" fontId="4" fillId="2" borderId="11" xfId="0" applyFont="1" applyFill="1" applyBorder="1" applyAlignment="1" applyProtection="1">
      <alignment vertical="center"/>
    </xf>
    <xf numFmtId="175" fontId="11" fillId="2" borderId="28" xfId="0" applyNumberFormat="1" applyFont="1" applyFill="1" applyBorder="1" applyAlignment="1" applyProtection="1">
      <alignment vertical="center"/>
    </xf>
    <xf numFmtId="0" fontId="11" fillId="2" borderId="0" xfId="0" applyFont="1" applyFill="1" applyBorder="1" applyAlignment="1" applyProtection="1">
      <alignment vertical="center"/>
    </xf>
    <xf numFmtId="175" fontId="11" fillId="2" borderId="15" xfId="0" applyNumberFormat="1" applyFont="1" applyFill="1" applyBorder="1" applyAlignment="1" applyProtection="1">
      <alignment horizontal="center" vertical="center"/>
    </xf>
    <xf numFmtId="175" fontId="11" fillId="10" borderId="15" xfId="0" applyNumberFormat="1" applyFont="1" applyFill="1" applyBorder="1" applyAlignment="1" applyProtection="1">
      <alignment horizontal="center" vertical="center"/>
    </xf>
    <xf numFmtId="0" fontId="11" fillId="10" borderId="1" xfId="0" applyFont="1" applyFill="1" applyBorder="1" applyAlignment="1" applyProtection="1">
      <alignment vertical="center"/>
    </xf>
    <xf numFmtId="0" fontId="4" fillId="10" borderId="5" xfId="0" applyFont="1" applyFill="1" applyBorder="1" applyAlignment="1" applyProtection="1">
      <alignment vertical="center"/>
    </xf>
    <xf numFmtId="0" fontId="4" fillId="10" borderId="5" xfId="0" applyFont="1" applyFill="1" applyBorder="1" applyProtection="1">
      <protection locked="0"/>
    </xf>
    <xf numFmtId="0" fontId="53" fillId="0" borderId="0" xfId="0" applyFont="1"/>
    <xf numFmtId="0" fontId="4" fillId="0" borderId="0" xfId="0" applyFont="1" applyBorder="1" applyProtection="1">
      <protection locked="0"/>
    </xf>
    <xf numFmtId="172" fontId="40" fillId="0" borderId="0" xfId="0" applyNumberFormat="1"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applyAlignment="1" applyProtection="1">
      <alignment vertical="center"/>
    </xf>
    <xf numFmtId="175" fontId="40" fillId="2" borderId="28" xfId="0" applyNumberFormat="1" applyFont="1" applyFill="1" applyBorder="1" applyAlignment="1" applyProtection="1">
      <alignment vertical="center"/>
    </xf>
    <xf numFmtId="175" fontId="40" fillId="10" borderId="15" xfId="0" applyNumberFormat="1" applyFont="1" applyFill="1" applyBorder="1" applyAlignment="1" applyProtection="1">
      <alignment horizontal="center" vertical="center"/>
    </xf>
    <xf numFmtId="0" fontId="40" fillId="10" borderId="1" xfId="0" applyFont="1" applyFill="1" applyBorder="1" applyAlignment="1" applyProtection="1">
      <alignment vertical="center"/>
    </xf>
    <xf numFmtId="0" fontId="40" fillId="10" borderId="5" xfId="0" applyFont="1" applyFill="1" applyBorder="1" applyAlignment="1" applyProtection="1">
      <alignment vertical="center"/>
    </xf>
    <xf numFmtId="3" fontId="4" fillId="2" borderId="4" xfId="0" applyNumberFormat="1" applyFont="1" applyFill="1" applyBorder="1" applyAlignment="1" applyProtection="1">
      <alignment horizontal="right"/>
    </xf>
    <xf numFmtId="3" fontId="4" fillId="2" borderId="4" xfId="0" applyNumberFormat="1" applyFont="1" applyFill="1" applyBorder="1" applyAlignment="1" applyProtection="1">
      <alignment horizontal="right" vertical="center"/>
    </xf>
    <xf numFmtId="172" fontId="4" fillId="2" borderId="4" xfId="0" applyNumberFormat="1" applyFont="1" applyFill="1" applyBorder="1" applyAlignment="1" applyProtection="1">
      <alignment horizontal="right" vertical="center"/>
    </xf>
    <xf numFmtId="171" fontId="4" fillId="2" borderId="4" xfId="0" applyNumberFormat="1" applyFont="1" applyFill="1" applyBorder="1" applyAlignment="1" applyProtection="1">
      <alignment horizontal="right" vertical="center"/>
    </xf>
    <xf numFmtId="38" fontId="4" fillId="2" borderId="4" xfId="0" applyNumberFormat="1" applyFont="1" applyFill="1" applyBorder="1" applyAlignment="1" applyProtection="1">
      <alignment horizontal="right"/>
    </xf>
    <xf numFmtId="38" fontId="4" fillId="2" borderId="4" xfId="0" applyNumberFormat="1" applyFont="1" applyFill="1" applyBorder="1" applyAlignment="1" applyProtection="1">
      <alignment horizontal="right" vertical="center"/>
    </xf>
    <xf numFmtId="180" fontId="4" fillId="2" borderId="4" xfId="0" applyNumberFormat="1" applyFont="1" applyFill="1" applyBorder="1" applyAlignment="1" applyProtection="1">
      <alignment horizontal="right" vertical="center"/>
    </xf>
    <xf numFmtId="3" fontId="4" fillId="2" borderId="6" xfId="0" applyNumberFormat="1" applyFont="1" applyFill="1" applyBorder="1" applyAlignment="1" applyProtection="1">
      <alignment horizontal="right" vertical="center"/>
    </xf>
    <xf numFmtId="172" fontId="4" fillId="2" borderId="6" xfId="0" applyNumberFormat="1" applyFont="1" applyFill="1" applyBorder="1" applyAlignment="1" applyProtection="1">
      <alignment horizontal="right" vertical="center"/>
    </xf>
    <xf numFmtId="3" fontId="4" fillId="9" borderId="4" xfId="0" applyNumberFormat="1" applyFont="1" applyFill="1" applyBorder="1" applyAlignment="1" applyProtection="1">
      <alignment horizontal="right"/>
    </xf>
    <xf numFmtId="171" fontId="4" fillId="9" borderId="4" xfId="0" applyNumberFormat="1" applyFont="1" applyFill="1" applyBorder="1" applyAlignment="1" applyProtection="1">
      <alignment horizontal="right"/>
    </xf>
    <xf numFmtId="3" fontId="4" fillId="2" borderId="16" xfId="0" applyNumberFormat="1" applyFont="1" applyFill="1" applyBorder="1" applyAlignment="1" applyProtection="1">
      <alignment horizontal="right" vertical="center"/>
    </xf>
    <xf numFmtId="0" fontId="4" fillId="2" borderId="2" xfId="0" applyFont="1" applyFill="1" applyBorder="1" applyAlignment="1" applyProtection="1">
      <alignment horizontal="right" vertical="center"/>
    </xf>
    <xf numFmtId="3" fontId="4" fillId="2" borderId="2" xfId="0" applyNumberFormat="1" applyFont="1" applyFill="1" applyBorder="1" applyAlignment="1" applyProtection="1">
      <alignment horizontal="right" vertical="center"/>
    </xf>
    <xf numFmtId="177" fontId="4" fillId="2" borderId="4" xfId="0" applyNumberFormat="1"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3" fontId="4" fillId="2" borderId="29" xfId="0" applyNumberFormat="1" applyFont="1" applyFill="1" applyBorder="1" applyAlignment="1" applyProtection="1">
      <alignment horizontal="right" vertical="center"/>
    </xf>
    <xf numFmtId="0" fontId="4" fillId="2" borderId="29" xfId="0" applyFont="1" applyFill="1" applyBorder="1" applyAlignment="1" applyProtection="1">
      <alignment horizontal="right" vertical="center"/>
    </xf>
    <xf numFmtId="3" fontId="4" fillId="9" borderId="6" xfId="0" applyNumberFormat="1" applyFont="1" applyFill="1" applyBorder="1" applyAlignment="1" applyProtection="1">
      <alignment horizontal="right" vertical="center"/>
    </xf>
    <xf numFmtId="172" fontId="4" fillId="9" borderId="6" xfId="0" applyNumberFormat="1" applyFont="1" applyFill="1" applyBorder="1" applyAlignment="1" applyProtection="1">
      <alignment horizontal="right" vertical="center"/>
    </xf>
    <xf numFmtId="3" fontId="4" fillId="9" borderId="16" xfId="36" applyNumberFormat="1" applyFont="1" applyFill="1" applyBorder="1" applyAlignment="1" applyProtection="1">
      <alignment horizontal="right" vertical="center"/>
    </xf>
    <xf numFmtId="172" fontId="4" fillId="9" borderId="2" xfId="36" applyNumberFormat="1" applyFont="1" applyFill="1" applyBorder="1" applyAlignment="1" applyProtection="1">
      <alignment horizontal="right" vertical="center"/>
    </xf>
    <xf numFmtId="10" fontId="4" fillId="8" borderId="4" xfId="0" applyNumberFormat="1" applyFont="1" applyFill="1" applyBorder="1" applyAlignment="1" applyProtection="1">
      <alignment vertical="center"/>
      <protection locked="0"/>
    </xf>
    <xf numFmtId="0" fontId="4" fillId="0" borderId="0" xfId="73" applyFont="1" applyAlignment="1">
      <alignment vertical="center"/>
    </xf>
    <xf numFmtId="0" fontId="4" fillId="0" borderId="0" xfId="372" applyFont="1" applyAlignment="1">
      <alignment vertical="center" wrapText="1"/>
    </xf>
    <xf numFmtId="0" fontId="4" fillId="0" borderId="0" xfId="81" applyFont="1" applyAlignment="1">
      <alignment vertical="center" wrapText="1"/>
    </xf>
    <xf numFmtId="0" fontId="4" fillId="0" borderId="0" xfId="15" applyFont="1" applyAlignment="1">
      <alignment vertical="center" wrapText="1"/>
    </xf>
    <xf numFmtId="0" fontId="4" fillId="0" borderId="0" xfId="16" applyFont="1" applyAlignment="1">
      <alignment vertical="center" wrapText="1"/>
    </xf>
    <xf numFmtId="0" fontId="4" fillId="0" borderId="0" xfId="231" applyFont="1" applyAlignment="1">
      <alignment vertical="center" wrapText="1"/>
    </xf>
    <xf numFmtId="0" fontId="4" fillId="0" borderId="0" xfId="30" applyFont="1" applyAlignment="1">
      <alignment vertical="center" wrapText="1"/>
    </xf>
    <xf numFmtId="0" fontId="4" fillId="0" borderId="0" xfId="62" applyFont="1" applyAlignment="1">
      <alignment vertical="center" wrapText="1"/>
    </xf>
    <xf numFmtId="0" fontId="4" fillId="0" borderId="0" xfId="69" applyFont="1" applyAlignment="1">
      <alignment vertical="center" wrapText="1"/>
    </xf>
    <xf numFmtId="0" fontId="4" fillId="0" borderId="0" xfId="91" applyFont="1" applyAlignment="1">
      <alignment vertical="center" wrapText="1"/>
    </xf>
    <xf numFmtId="0" fontId="53" fillId="2" borderId="11" xfId="0" applyFont="1" applyFill="1" applyBorder="1" applyAlignment="1" applyProtection="1">
      <alignment vertical="center"/>
    </xf>
    <xf numFmtId="0" fontId="54" fillId="0" borderId="0" xfId="0" applyFont="1" applyAlignment="1">
      <alignment horizontal="center"/>
    </xf>
    <xf numFmtId="181" fontId="54" fillId="0" borderId="0" xfId="0" applyNumberFormat="1" applyFont="1" applyAlignment="1" applyProtection="1">
      <alignment horizontal="center" vertical="center"/>
      <protection locked="0"/>
    </xf>
    <xf numFmtId="0" fontId="46" fillId="0" borderId="0" xfId="0" applyFont="1" applyAlignment="1" applyProtection="1">
      <alignment vertical="center"/>
    </xf>
    <xf numFmtId="0" fontId="10" fillId="2" borderId="0" xfId="9" applyFill="1" applyAlignment="1" applyProtection="1"/>
    <xf numFmtId="0" fontId="61" fillId="2" borderId="0" xfId="311" applyFill="1"/>
    <xf numFmtId="0" fontId="4" fillId="0" borderId="0" xfId="103" applyFont="1" applyAlignment="1">
      <alignment vertical="center"/>
    </xf>
    <xf numFmtId="0" fontId="4" fillId="4" borderId="4" xfId="0" applyFont="1" applyFill="1" applyBorder="1" applyProtection="1">
      <protection locked="0"/>
    </xf>
    <xf numFmtId="0" fontId="4" fillId="8" borderId="4" xfId="0" applyFont="1" applyFill="1" applyBorder="1" applyProtection="1">
      <protection locked="0"/>
    </xf>
    <xf numFmtId="17" fontId="4" fillId="8" borderId="4" xfId="0" applyNumberFormat="1" applyFont="1" applyFill="1" applyBorder="1" applyProtection="1">
      <protection locked="0"/>
    </xf>
    <xf numFmtId="164" fontId="4" fillId="8" borderId="4" xfId="0" applyNumberFormat="1" applyFont="1" applyFill="1" applyBorder="1" applyProtection="1">
      <protection locked="0"/>
    </xf>
    <xf numFmtId="0" fontId="4" fillId="4" borderId="6"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4" fillId="8" borderId="4" xfId="0" applyFont="1" applyFill="1" applyBorder="1" applyAlignment="1" applyProtection="1">
      <alignment horizontal="center"/>
      <protection locked="0"/>
    </xf>
    <xf numFmtId="168" fontId="4" fillId="4" borderId="4" xfId="0" applyNumberFormat="1" applyFont="1" applyFill="1" applyBorder="1" applyAlignment="1" applyProtection="1">
      <alignment horizontal="center"/>
      <protection locked="0"/>
    </xf>
    <xf numFmtId="2" fontId="4" fillId="4" borderId="4" xfId="0" applyNumberFormat="1" applyFont="1" applyFill="1" applyBorder="1" applyAlignment="1" applyProtection="1">
      <alignment horizontal="center"/>
      <protection locked="0"/>
    </xf>
    <xf numFmtId="3" fontId="4" fillId="4" borderId="4" xfId="0" applyNumberFormat="1" applyFont="1" applyFill="1" applyBorder="1" applyAlignment="1" applyProtection="1">
      <alignment horizontal="center"/>
      <protection locked="0"/>
    </xf>
    <xf numFmtId="37" fontId="4" fillId="4" borderId="4" xfId="0" applyNumberFormat="1" applyFont="1" applyFill="1" applyBorder="1" applyAlignment="1" applyProtection="1">
      <alignment horizontal="center"/>
      <protection locked="0"/>
    </xf>
    <xf numFmtId="169" fontId="4" fillId="4" borderId="4" xfId="0" applyNumberFormat="1" applyFont="1" applyFill="1" applyBorder="1" applyAlignment="1" applyProtection="1">
      <alignment horizontal="center"/>
      <protection locked="0"/>
    </xf>
    <xf numFmtId="14" fontId="4" fillId="4" borderId="4" xfId="0" applyNumberFormat="1" applyFont="1" applyFill="1" applyBorder="1" applyAlignment="1" applyProtection="1">
      <alignment horizontal="center"/>
      <protection locked="0"/>
    </xf>
    <xf numFmtId="1" fontId="4" fillId="4" borderId="4" xfId="0" applyNumberFormat="1" applyFont="1" applyFill="1" applyBorder="1" applyAlignment="1" applyProtection="1">
      <alignment horizontal="center"/>
      <protection locked="0"/>
    </xf>
    <xf numFmtId="0" fontId="3" fillId="4" borderId="0" xfId="0" applyFont="1" applyFill="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3" fontId="4" fillId="0" borderId="0" xfId="0" applyNumberFormat="1" applyFont="1" applyAlignment="1" applyProtection="1">
      <alignment vertical="center"/>
      <protection locked="0"/>
    </xf>
    <xf numFmtId="0" fontId="3" fillId="8" borderId="9" xfId="0" applyFont="1" applyFill="1" applyBorder="1" applyAlignment="1" applyProtection="1">
      <alignment vertical="center"/>
      <protection locked="0"/>
    </xf>
    <xf numFmtId="0" fontId="19" fillId="8" borderId="4" xfId="0" applyFont="1" applyFill="1" applyBorder="1" applyAlignment="1" applyProtection="1">
      <alignment vertical="center"/>
      <protection locked="0"/>
    </xf>
    <xf numFmtId="0" fontId="41" fillId="2" borderId="28" xfId="0" applyFont="1" applyFill="1" applyBorder="1" applyAlignment="1" applyProtection="1">
      <alignment horizontal="center" vertical="center"/>
    </xf>
    <xf numFmtId="0" fontId="0" fillId="0" borderId="0" xfId="0" applyBorder="1" applyAlignment="1">
      <alignment vertical="center"/>
    </xf>
    <xf numFmtId="0" fontId="0" fillId="0" borderId="11" xfId="0" applyBorder="1" applyAlignment="1">
      <alignment vertical="center"/>
    </xf>
    <xf numFmtId="14" fontId="4" fillId="0" borderId="0" xfId="0" applyNumberFormat="1" applyFont="1" applyProtection="1">
      <protection locked="0"/>
    </xf>
    <xf numFmtId="3" fontId="4" fillId="0" borderId="0" xfId="25" applyNumberFormat="1" applyFont="1" applyAlignment="1" applyProtection="1">
      <alignment vertical="center"/>
      <protection locked="0"/>
    </xf>
    <xf numFmtId="37" fontId="13" fillId="2"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2" borderId="0" xfId="0" applyNumberFormat="1" applyFont="1" applyFill="1" applyAlignment="1" applyProtection="1">
      <alignment horizontal="left" vertical="center"/>
    </xf>
    <xf numFmtId="0" fontId="0" fillId="0" borderId="0" xfId="0" applyAlignment="1">
      <alignment horizontal="left" vertical="center"/>
    </xf>
    <xf numFmtId="0" fontId="4" fillId="2"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2" borderId="0" xfId="0" applyFont="1" applyFill="1" applyBorder="1" applyAlignment="1">
      <alignment vertical="center"/>
    </xf>
    <xf numFmtId="0" fontId="18" fillId="0" borderId="0" xfId="0" applyFont="1" applyAlignment="1">
      <alignment vertical="center"/>
    </xf>
    <xf numFmtId="37" fontId="12" fillId="2"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3" borderId="8" xfId="0" applyFont="1" applyFill="1" applyBorder="1" applyAlignment="1">
      <alignment vertical="center" wrapText="1"/>
    </xf>
    <xf numFmtId="0" fontId="0" fillId="0" borderId="8" xfId="0" applyBorder="1" applyAlignment="1">
      <alignment vertical="center" wrapText="1"/>
    </xf>
    <xf numFmtId="0" fontId="3" fillId="5" borderId="0" xfId="0" applyFont="1" applyFill="1" applyBorder="1" applyAlignment="1">
      <alignment horizontal="center" vertical="center"/>
    </xf>
    <xf numFmtId="0" fontId="1" fillId="5" borderId="0" xfId="0" applyFont="1" applyFill="1" applyBorder="1" applyAlignment="1">
      <alignment horizontal="center" vertical="center"/>
    </xf>
    <xf numFmtId="37" fontId="3" fillId="7" borderId="0" xfId="36" applyNumberFormat="1" applyFont="1" applyFill="1" applyAlignment="1" applyProtection="1">
      <alignment horizontal="center" vertical="center"/>
    </xf>
    <xf numFmtId="0" fontId="2" fillId="0" borderId="0" xfId="36" applyAlignment="1">
      <alignment horizontal="center" vertical="center"/>
    </xf>
    <xf numFmtId="0" fontId="4" fillId="0" borderId="0" xfId="363" applyFont="1" applyAlignment="1">
      <alignment horizontal="left" vertical="center" wrapText="1"/>
    </xf>
    <xf numFmtId="0" fontId="28" fillId="0" borderId="0" xfId="363" applyAlignment="1">
      <alignment horizontal="left" vertical="center" wrapText="1"/>
    </xf>
    <xf numFmtId="0" fontId="12" fillId="0" borderId="0" xfId="363" applyFont="1" applyAlignment="1">
      <alignment horizontal="left" vertical="center"/>
    </xf>
    <xf numFmtId="37" fontId="12" fillId="2" borderId="0" xfId="0" applyNumberFormat="1" applyFont="1" applyFill="1" applyAlignment="1" applyProtection="1">
      <alignment horizontal="center" vertical="center"/>
    </xf>
    <xf numFmtId="0" fontId="30" fillId="2" borderId="0" xfId="0" applyFont="1" applyFill="1" applyAlignment="1" applyProtection="1">
      <alignment horizontal="center" vertical="center"/>
    </xf>
    <xf numFmtId="37" fontId="4"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0" fillId="0" borderId="0" xfId="0" applyAlignment="1">
      <alignment vertical="center"/>
    </xf>
    <xf numFmtId="0" fontId="8" fillId="5" borderId="2" xfId="0" applyFont="1" applyFill="1" applyBorder="1" applyAlignment="1" applyProtection="1">
      <alignment horizontal="center" vertical="center" wrapText="1" shrinkToFit="1"/>
    </xf>
    <xf numFmtId="0" fontId="0" fillId="0" borderId="6" xfId="0" applyBorder="1" applyAlignment="1" applyProtection="1">
      <alignment horizontal="center" vertical="center" wrapText="1"/>
    </xf>
    <xf numFmtId="0" fontId="6" fillId="2" borderId="0" xfId="0" applyFont="1" applyFill="1" applyAlignment="1">
      <alignment horizontal="center" vertical="center"/>
    </xf>
    <xf numFmtId="37" fontId="3" fillId="2" borderId="0" xfId="0" applyNumberFormat="1" applyFont="1" applyFill="1" applyAlignment="1">
      <alignment horizontal="center" vertical="center"/>
    </xf>
    <xf numFmtId="0" fontId="3" fillId="2" borderId="0" xfId="0" applyFont="1" applyFill="1" applyAlignment="1">
      <alignment horizontal="center" vertical="center"/>
    </xf>
    <xf numFmtId="37" fontId="3" fillId="2" borderId="0" xfId="0" applyNumberFormat="1" applyFont="1" applyFill="1" applyAlignment="1" applyProtection="1">
      <alignment horizontal="center" vertical="center"/>
    </xf>
    <xf numFmtId="37" fontId="4" fillId="2" borderId="9" xfId="0" applyNumberFormat="1" applyFont="1" applyFill="1" applyBorder="1" applyAlignment="1" applyProtection="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3" fillId="2" borderId="0" xfId="0" applyFont="1" applyFill="1" applyAlignment="1" applyProtection="1">
      <alignment horizontal="center" vertical="center"/>
    </xf>
    <xf numFmtId="0" fontId="4" fillId="2" borderId="15" xfId="0" applyFont="1" applyFill="1" applyBorder="1" applyAlignment="1" applyProtection="1">
      <alignment horizontal="center" vertical="center"/>
    </xf>
    <xf numFmtId="0" fontId="0" fillId="0" borderId="5" xfId="0" applyBorder="1" applyAlignment="1" applyProtection="1">
      <alignment vertical="center"/>
    </xf>
    <xf numFmtId="1" fontId="4" fillId="2" borderId="15" xfId="0" applyNumberFormat="1" applyFont="1" applyFill="1" applyBorder="1" applyAlignment="1" applyProtection="1">
      <alignment horizontal="center" vertical="center"/>
    </xf>
    <xf numFmtId="0" fontId="0" fillId="0" borderId="5" xfId="0" applyBorder="1" applyAlignment="1" applyProtection="1">
      <alignment horizontal="center" vertical="center"/>
    </xf>
    <xf numFmtId="0" fontId="12" fillId="2" borderId="0" xfId="371" applyFont="1" applyFill="1" applyAlignment="1">
      <alignment horizontal="center"/>
    </xf>
    <xf numFmtId="0" fontId="2" fillId="2" borderId="0" xfId="25" applyFill="1" applyAlignment="1">
      <alignment horizontal="center"/>
    </xf>
    <xf numFmtId="0" fontId="3" fillId="2" borderId="0" xfId="25" applyFont="1" applyFill="1" applyAlignment="1">
      <alignment horizontal="center" vertical="center"/>
    </xf>
    <xf numFmtId="0" fontId="12" fillId="2" borderId="0" xfId="25" applyFont="1" applyFill="1" applyAlignment="1">
      <alignment horizontal="center" vertical="center"/>
    </xf>
    <xf numFmtId="0" fontId="4" fillId="2" borderId="0" xfId="25" applyFont="1" applyFill="1" applyAlignment="1">
      <alignment vertical="center" wrapText="1"/>
    </xf>
    <xf numFmtId="0" fontId="41" fillId="2" borderId="14" xfId="36" applyFont="1" applyFill="1" applyBorder="1" applyAlignment="1" applyProtection="1">
      <alignment horizontal="center" vertical="center"/>
    </xf>
    <xf numFmtId="0" fontId="41" fillId="2" borderId="8" xfId="36" applyFont="1" applyFill="1" applyBorder="1" applyAlignment="1" applyProtection="1">
      <alignment horizontal="center" vertical="center"/>
    </xf>
    <xf numFmtId="0" fontId="2" fillId="0" borderId="12" xfId="36" applyBorder="1" applyAlignment="1" applyProtection="1">
      <alignment vertical="center"/>
    </xf>
    <xf numFmtId="0" fontId="0" fillId="0" borderId="8" xfId="0" applyBorder="1" applyAlignment="1">
      <alignment vertical="center"/>
    </xf>
    <xf numFmtId="0" fontId="0" fillId="0" borderId="12" xfId="0" applyBorder="1" applyAlignment="1">
      <alignment vertical="center"/>
    </xf>
    <xf numFmtId="172" fontId="41" fillId="2" borderId="14" xfId="0" applyNumberFormat="1" applyFont="1" applyFill="1" applyBorder="1" applyAlignment="1" applyProtection="1">
      <alignment horizontal="center"/>
    </xf>
    <xf numFmtId="0" fontId="14" fillId="0" borderId="8" xfId="0" applyFont="1" applyBorder="1" applyAlignment="1"/>
    <xf numFmtId="0" fontId="14" fillId="0" borderId="12" xfId="0" applyFont="1" applyBorder="1" applyAlignment="1"/>
    <xf numFmtId="3" fontId="4" fillId="2" borderId="8" xfId="40" applyNumberFormat="1" applyFont="1" applyFill="1" applyBorder="1" applyAlignment="1" applyProtection="1">
      <alignment horizontal="right" vertical="center"/>
    </xf>
    <xf numFmtId="0" fontId="2" fillId="0" borderId="12" xfId="40" applyBorder="1" applyAlignment="1">
      <alignment horizontal="right" vertical="center"/>
    </xf>
    <xf numFmtId="0" fontId="4" fillId="2" borderId="0" xfId="40" applyFont="1" applyFill="1" applyAlignment="1" applyProtection="1">
      <alignment horizontal="right" vertical="center"/>
    </xf>
    <xf numFmtId="0" fontId="4" fillId="0" borderId="11" xfId="40" applyFont="1" applyBorder="1" applyAlignment="1">
      <alignment horizontal="right" vertical="center"/>
    </xf>
    <xf numFmtId="0" fontId="4" fillId="2" borderId="0" xfId="0" applyNumberFormat="1" applyFont="1" applyFill="1" applyBorder="1" applyAlignment="1" applyProtection="1">
      <alignment horizontal="right" vertical="center"/>
    </xf>
    <xf numFmtId="0" fontId="0" fillId="0" borderId="0" xfId="0" applyAlignment="1">
      <alignment horizontal="right" vertical="center"/>
    </xf>
    <xf numFmtId="0" fontId="4" fillId="2" borderId="0" xfId="9" applyNumberFormat="1" applyFont="1" applyFill="1" applyBorder="1" applyAlignment="1" applyProtection="1">
      <alignment horizontal="right" vertical="center"/>
    </xf>
    <xf numFmtId="0" fontId="4" fillId="0" borderId="0" xfId="9" applyFont="1" applyAlignment="1" applyProtection="1">
      <alignment horizontal="right" vertical="center"/>
    </xf>
    <xf numFmtId="172" fontId="41" fillId="2" borderId="14" xfId="25" applyNumberFormat="1" applyFont="1" applyFill="1" applyBorder="1" applyAlignment="1" applyProtection="1">
      <alignment horizontal="center"/>
    </xf>
    <xf numFmtId="0" fontId="14" fillId="0" borderId="8" xfId="25" applyFont="1" applyBorder="1" applyAlignment="1"/>
    <xf numFmtId="0" fontId="14" fillId="0" borderId="12" xfId="25" applyFont="1" applyBorder="1" applyAlignment="1"/>
    <xf numFmtId="0" fontId="41" fillId="0" borderId="0" xfId="25" applyFont="1" applyFill="1" applyBorder="1" applyAlignment="1" applyProtection="1">
      <alignment horizontal="center" vertical="center"/>
    </xf>
    <xf numFmtId="0" fontId="2" fillId="0" borderId="0" xfId="25" applyFill="1" applyBorder="1" applyAlignment="1" applyProtection="1">
      <alignment vertical="center"/>
    </xf>
    <xf numFmtId="0" fontId="4" fillId="0" borderId="0" xfId="25" applyFont="1" applyFill="1" applyBorder="1" applyAlignment="1" applyProtection="1">
      <alignment horizontal="center" vertical="center"/>
      <protection locked="0"/>
    </xf>
    <xf numFmtId="0" fontId="2" fillId="0" borderId="0" xfId="25" applyFill="1" applyBorder="1" applyAlignment="1">
      <alignment vertical="center"/>
    </xf>
    <xf numFmtId="0" fontId="41" fillId="2" borderId="14" xfId="25" applyFont="1" applyFill="1" applyBorder="1" applyAlignment="1" applyProtection="1">
      <alignment horizontal="center" vertical="center"/>
    </xf>
    <xf numFmtId="0" fontId="2" fillId="0" borderId="8" xfId="25" applyBorder="1" applyAlignment="1">
      <alignment vertical="center"/>
    </xf>
    <xf numFmtId="0" fontId="2" fillId="0" borderId="12" xfId="25" applyBorder="1" applyAlignment="1">
      <alignment vertical="center"/>
    </xf>
    <xf numFmtId="0" fontId="41" fillId="2" borderId="14" xfId="0" applyFont="1" applyFill="1" applyBorder="1" applyAlignment="1" applyProtection="1">
      <alignment horizontal="center" vertical="center"/>
    </xf>
    <xf numFmtId="0" fontId="34" fillId="2" borderId="14" xfId="36" applyFont="1" applyFill="1" applyBorder="1" applyAlignment="1" applyProtection="1">
      <alignment horizontal="center" vertical="center"/>
      <protection locked="0"/>
    </xf>
    <xf numFmtId="0" fontId="43" fillId="0" borderId="8" xfId="0" applyFont="1" applyBorder="1" applyAlignment="1">
      <alignment horizontal="center" vertical="center"/>
    </xf>
    <xf numFmtId="0" fontId="0" fillId="0" borderId="12" xfId="0" applyBorder="1" applyAlignment="1"/>
    <xf numFmtId="0" fontId="0" fillId="0" borderId="0" xfId="0" applyBorder="1" applyAlignment="1">
      <alignment horizontal="right" vertical="center"/>
    </xf>
    <xf numFmtId="0" fontId="0" fillId="0" borderId="8" xfId="0"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12" fillId="2" borderId="14" xfId="36" applyFont="1" applyFill="1" applyBorder="1" applyAlignment="1" applyProtection="1">
      <alignment horizontal="center"/>
    </xf>
    <xf numFmtId="0" fontId="2" fillId="0" borderId="8" xfId="36" applyBorder="1" applyAlignment="1" applyProtection="1">
      <alignment horizontal="center"/>
    </xf>
    <xf numFmtId="0" fontId="2" fillId="0" borderId="12" xfId="36" applyBorder="1" applyAlignment="1" applyProtection="1">
      <alignment horizontal="center"/>
    </xf>
    <xf numFmtId="0" fontId="12" fillId="2" borderId="8" xfId="36" applyFont="1" applyFill="1" applyBorder="1" applyAlignment="1" applyProtection="1">
      <alignment horizontal="center"/>
    </xf>
    <xf numFmtId="0" fontId="12" fillId="2" borderId="12" xfId="36" applyFont="1" applyFill="1" applyBorder="1" applyAlignment="1" applyProtection="1">
      <alignment horizontal="center"/>
    </xf>
    <xf numFmtId="0" fontId="0" fillId="0" borderId="8" xfId="0" applyBorder="1" applyAlignment="1">
      <alignment horizontal="center"/>
    </xf>
    <xf numFmtId="0" fontId="0" fillId="0" borderId="12" xfId="0" applyBorder="1" applyAlignment="1">
      <alignment horizontal="center"/>
    </xf>
    <xf numFmtId="37" fontId="4" fillId="2" borderId="8" xfId="0" applyNumberFormat="1" applyFont="1" applyFill="1" applyBorder="1" applyAlignment="1" applyProtection="1">
      <alignment horizontal="center" vertical="center"/>
    </xf>
    <xf numFmtId="37" fontId="4" fillId="2" borderId="0" xfId="61" applyNumberFormat="1" applyFont="1" applyFill="1" applyAlignment="1" applyProtection="1">
      <alignment horizontal="center"/>
    </xf>
    <xf numFmtId="37" fontId="3" fillId="2" borderId="1" xfId="0" applyNumberFormat="1" applyFont="1" applyFill="1" applyBorder="1" applyAlignment="1" applyProtection="1">
      <alignment horizontal="center" vertical="center"/>
      <protection locked="0"/>
    </xf>
    <xf numFmtId="0" fontId="4" fillId="2" borderId="0" xfId="0" applyFont="1" applyFill="1" applyAlignment="1">
      <alignment horizontal="right" vertical="center"/>
    </xf>
    <xf numFmtId="0" fontId="0" fillId="0" borderId="0" xfId="0" applyAlignment="1" applyProtection="1">
      <alignment vertical="center"/>
    </xf>
    <xf numFmtId="0" fontId="4" fillId="2"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0" fontId="50" fillId="2" borderId="0" xfId="0" applyFont="1" applyFill="1" applyBorder="1" applyAlignment="1">
      <alignment horizontal="center" wrapText="1"/>
    </xf>
    <xf numFmtId="0" fontId="50" fillId="0" borderId="0" xfId="0" applyFont="1" applyAlignment="1">
      <alignment horizontal="center" wrapText="1"/>
    </xf>
    <xf numFmtId="0" fontId="36" fillId="2" borderId="0" xfId="0" applyFont="1" applyFill="1" applyBorder="1" applyAlignment="1">
      <alignment wrapText="1"/>
    </xf>
    <xf numFmtId="0" fontId="36" fillId="0" borderId="0" xfId="0" applyFont="1" applyAlignment="1">
      <alignment wrapText="1"/>
    </xf>
    <xf numFmtId="0" fontId="36" fillId="2" borderId="0" xfId="0" applyFont="1" applyFill="1" applyBorder="1" applyAlignment="1"/>
    <xf numFmtId="0" fontId="36" fillId="0" borderId="0" xfId="0" applyFont="1" applyBorder="1" applyAlignment="1"/>
    <xf numFmtId="0" fontId="36" fillId="2" borderId="23" xfId="0" applyFont="1" applyFill="1" applyBorder="1" applyAlignment="1"/>
    <xf numFmtId="0" fontId="36" fillId="2" borderId="24" xfId="0" applyFont="1" applyFill="1" applyBorder="1" applyAlignment="1"/>
    <xf numFmtId="0" fontId="36" fillId="2" borderId="0" xfId="0" applyFont="1" applyFill="1" applyAlignment="1">
      <alignment wrapText="1"/>
    </xf>
    <xf numFmtId="0" fontId="50" fillId="2" borderId="18" xfId="0" applyFont="1" applyFill="1" applyBorder="1" applyAlignment="1">
      <alignment horizontal="center" vertical="center"/>
    </xf>
    <xf numFmtId="0" fontId="50" fillId="2" borderId="0" xfId="0" applyFont="1" applyFill="1" applyAlignment="1">
      <alignment horizontal="center"/>
    </xf>
    <xf numFmtId="0" fontId="50" fillId="2" borderId="0" xfId="0" applyFont="1" applyFill="1" applyAlignment="1">
      <alignment horizontal="center" wrapText="1"/>
    </xf>
    <xf numFmtId="175" fontId="36" fillId="2" borderId="0" xfId="0" applyNumberFormat="1" applyFont="1" applyFill="1" applyAlignment="1">
      <alignment horizontal="center"/>
    </xf>
    <xf numFmtId="175" fontId="36" fillId="4" borderId="20" xfId="0" applyNumberFormat="1" applyFont="1" applyFill="1" applyBorder="1" applyAlignment="1" applyProtection="1">
      <alignment horizontal="center"/>
      <protection locked="0"/>
    </xf>
    <xf numFmtId="175" fontId="36" fillId="4" borderId="1" xfId="0" applyNumberFormat="1" applyFont="1" applyFill="1" applyBorder="1" applyAlignment="1" applyProtection="1">
      <alignment horizontal="center"/>
      <protection locked="0"/>
    </xf>
    <xf numFmtId="0" fontId="36" fillId="0" borderId="0" xfId="0" applyFont="1" applyAlignment="1">
      <alignment horizontal="center" wrapText="1"/>
    </xf>
    <xf numFmtId="0" fontId="36" fillId="0" borderId="18" xfId="0" applyFont="1" applyBorder="1" applyAlignment="1">
      <alignment horizontal="center" vertical="center"/>
    </xf>
    <xf numFmtId="5" fontId="36" fillId="2" borderId="1" xfId="0" applyNumberFormat="1" applyFont="1" applyFill="1" applyBorder="1" applyAlignment="1">
      <alignment horizontal="center"/>
    </xf>
    <xf numFmtId="0" fontId="50" fillId="2" borderId="0" xfId="0" applyFont="1" applyFill="1" applyAlignment="1">
      <alignment horizontal="center" vertical="center"/>
    </xf>
    <xf numFmtId="0" fontId="50" fillId="0" borderId="0" xfId="0" applyFont="1" applyAlignment="1">
      <alignment horizontal="center" vertical="center"/>
    </xf>
    <xf numFmtId="0" fontId="36" fillId="2" borderId="8" xfId="0" applyFont="1" applyFill="1" applyBorder="1" applyAlignment="1">
      <alignment horizontal="center"/>
    </xf>
    <xf numFmtId="175" fontId="36" fillId="2" borderId="0" xfId="0" applyNumberFormat="1" applyFont="1" applyFill="1" applyBorder="1" applyAlignment="1">
      <alignment horizontal="center"/>
    </xf>
    <xf numFmtId="171" fontId="36" fillId="4" borderId="1" xfId="0" applyNumberFormat="1" applyFont="1" applyFill="1" applyBorder="1" applyAlignment="1" applyProtection="1">
      <alignment horizontal="center"/>
      <protection locked="0"/>
    </xf>
    <xf numFmtId="176" fontId="36" fillId="2" borderId="0" xfId="0" applyNumberFormat="1" applyFont="1" applyFill="1" applyBorder="1" applyAlignment="1">
      <alignment horizontal="center"/>
    </xf>
    <xf numFmtId="176" fontId="36" fillId="0" borderId="21" xfId="0" applyNumberFormat="1" applyFont="1" applyBorder="1" applyAlignment="1">
      <alignment horizontal="center"/>
    </xf>
    <xf numFmtId="0" fontId="36" fillId="0" borderId="21" xfId="0" applyFont="1" applyBorder="1" applyAlignment="1">
      <alignment horizontal="center"/>
    </xf>
    <xf numFmtId="0" fontId="36" fillId="2" borderId="0" xfId="0" applyFont="1" applyFill="1" applyBorder="1" applyAlignment="1">
      <alignment horizontal="center"/>
    </xf>
    <xf numFmtId="175" fontId="36" fillId="2" borderId="0" xfId="0" applyNumberFormat="1" applyFont="1" applyFill="1" applyAlignment="1"/>
    <xf numFmtId="0" fontId="36" fillId="2" borderId="25" xfId="0" applyFont="1" applyFill="1" applyBorder="1" applyAlignment="1">
      <alignment vertical="top" wrapText="1"/>
    </xf>
    <xf numFmtId="0" fontId="36" fillId="0" borderId="0" xfId="0" applyFont="1" applyAlignment="1">
      <alignment vertical="top" wrapText="1"/>
    </xf>
    <xf numFmtId="0" fontId="36" fillId="0" borderId="21" xfId="0" applyFont="1" applyBorder="1" applyAlignment="1">
      <alignment vertical="top" wrapText="1"/>
    </xf>
  </cellXfs>
  <cellStyles count="379">
    <cellStyle name="Comma" xfId="1" builtinId="3"/>
    <cellStyle name="Comma 11 2" xfId="2"/>
    <cellStyle name="Comma 16" xfId="3"/>
    <cellStyle name="Comma 16 2" xfId="4"/>
    <cellStyle name="Comma 16 3" xfId="5"/>
    <cellStyle name="Comma 17" xfId="6"/>
    <cellStyle name="Comma 2 2" xfId="7"/>
    <cellStyle name="Comma 7 2" xfId="8"/>
    <cellStyle name="Hyperlink" xfId="9" builtinId="8"/>
    <cellStyle name="Hyperlink 16" xfId="10"/>
    <cellStyle name="Hyperlink 2 2" xfId="11"/>
    <cellStyle name="Hyperlink 4 2" xfId="12"/>
    <cellStyle name="Hyperlink 7 2" xfId="13"/>
    <cellStyle name="Normal" xfId="0" builtinId="0"/>
    <cellStyle name="Normal 10" xfId="14"/>
    <cellStyle name="Normal 10 2" xfId="15"/>
    <cellStyle name="Normal 10 2 2" xfId="16"/>
    <cellStyle name="Normal 10 2 2 2" xfId="17"/>
    <cellStyle name="Normal 10 2 2 3" xfId="18"/>
    <cellStyle name="Normal 10 3" xfId="19"/>
    <cellStyle name="Normal 10 3 2" xfId="20"/>
    <cellStyle name="Normal 10 3 3" xfId="21"/>
    <cellStyle name="Normal 10 4" xfId="22"/>
    <cellStyle name="Normal 10 4 2" xfId="23"/>
    <cellStyle name="Normal 10 4 3" xfId="24"/>
    <cellStyle name="Normal 10 5" xfId="25"/>
    <cellStyle name="Normal 10 6" xfId="26"/>
    <cellStyle name="Normal 10 6 2" xfId="27"/>
    <cellStyle name="Normal 10 6 3" xfId="28"/>
    <cellStyle name="Normal 10 7" xfId="29"/>
    <cellStyle name="Normal 11" xfId="30"/>
    <cellStyle name="Normal 11 2" xfId="31"/>
    <cellStyle name="Normal 11 3" xfId="32"/>
    <cellStyle name="Normal 11 4" xfId="33"/>
    <cellStyle name="Normal 11 5" xfId="34"/>
    <cellStyle name="Normal 12" xfId="35"/>
    <cellStyle name="Normal 12 10" xfId="36"/>
    <cellStyle name="Normal 12 11" xfId="37"/>
    <cellStyle name="Normal 12 12" xfId="38"/>
    <cellStyle name="Normal 12 2" xfId="39"/>
    <cellStyle name="Normal 12 2 2" xfId="40"/>
    <cellStyle name="Normal 12 3" xfId="41"/>
    <cellStyle name="Normal 12 4" xfId="42"/>
    <cellStyle name="Normal 12 5" xfId="43"/>
    <cellStyle name="Normal 12 6" xfId="44"/>
    <cellStyle name="Normal 12 7" xfId="45"/>
    <cellStyle name="Normal 12 8" xfId="46"/>
    <cellStyle name="Normal 12 9" xfId="47"/>
    <cellStyle name="Normal 13" xfId="48"/>
    <cellStyle name="Normal 13 10" xfId="49"/>
    <cellStyle name="Normal 13 11" xfId="50"/>
    <cellStyle name="Normal 13 12" xfId="51"/>
    <cellStyle name="Normal 13 2" xfId="52"/>
    <cellStyle name="Normal 13 2 2" xfId="53"/>
    <cellStyle name="Normal 13 3" xfId="54"/>
    <cellStyle name="Normal 13 4" xfId="55"/>
    <cellStyle name="Normal 13 5" xfId="56"/>
    <cellStyle name="Normal 13 6" xfId="57"/>
    <cellStyle name="Normal 13 7" xfId="58"/>
    <cellStyle name="Normal 13 8" xfId="59"/>
    <cellStyle name="Normal 13 9" xfId="60"/>
    <cellStyle name="Normal 14" xfId="61"/>
    <cellStyle name="Normal 14 2" xfId="62"/>
    <cellStyle name="Normal 14 3" xfId="63"/>
    <cellStyle name="Normal 14 4" xfId="64"/>
    <cellStyle name="Normal 14 5" xfId="65"/>
    <cellStyle name="Normal 14 6" xfId="66"/>
    <cellStyle name="Normal 14 7" xfId="67"/>
    <cellStyle name="Normal 15" xfId="68"/>
    <cellStyle name="Normal 15 2" xfId="69"/>
    <cellStyle name="Normal 15 3" xfId="70"/>
    <cellStyle name="Normal 15 4" xfId="71"/>
    <cellStyle name="Normal 16" xfId="72"/>
    <cellStyle name="Normal 16 2" xfId="73"/>
    <cellStyle name="Normal 16 3" xfId="74"/>
    <cellStyle name="Normal 16 4" xfId="75"/>
    <cellStyle name="Normal 17" xfId="76"/>
    <cellStyle name="Normal 17 2" xfId="77"/>
    <cellStyle name="Normal 17 3" xfId="78"/>
    <cellStyle name="Normal 17 4" xfId="79"/>
    <cellStyle name="Normal 18" xfId="80"/>
    <cellStyle name="Normal 18 2" xfId="81"/>
    <cellStyle name="Normal 18 2 2" xfId="82"/>
    <cellStyle name="Normal 18 2 3" xfId="83"/>
    <cellStyle name="Normal 18 3" xfId="84"/>
    <cellStyle name="Normal 18 4" xfId="85"/>
    <cellStyle name="Normal 18 5" xfId="86"/>
    <cellStyle name="Normal 18 6" xfId="87"/>
    <cellStyle name="Normal 18 7" xfId="88"/>
    <cellStyle name="Normal 18 8" xfId="89"/>
    <cellStyle name="Normal 19" xfId="90"/>
    <cellStyle name="Normal 19 2" xfId="91"/>
    <cellStyle name="Normal 19 2 2" xfId="92"/>
    <cellStyle name="Normal 19 2 3" xfId="93"/>
    <cellStyle name="Normal 19 3" xfId="94"/>
    <cellStyle name="Normal 19 4" xfId="95"/>
    <cellStyle name="Normal 19 5" xfId="96"/>
    <cellStyle name="Normal 19 6" xfId="97"/>
    <cellStyle name="Normal 19 7" xfId="98"/>
    <cellStyle name="Normal 2" xfId="99"/>
    <cellStyle name="Normal 2 10" xfId="100"/>
    <cellStyle name="Normal 2 10 10" xfId="101"/>
    <cellStyle name="Normal 2 10 2" xfId="102"/>
    <cellStyle name="Normal 2 10 2 2" xfId="103"/>
    <cellStyle name="Normal 2 10 3" xfId="104"/>
    <cellStyle name="Normal 2 10 3 2" xfId="105"/>
    <cellStyle name="Normal 2 10 4" xfId="106"/>
    <cellStyle name="Normal 2 10 4 2" xfId="107"/>
    <cellStyle name="Normal 2 10 5" xfId="108"/>
    <cellStyle name="Normal 2 10 5 2" xfId="109"/>
    <cellStyle name="Normal 2 10 6" xfId="110"/>
    <cellStyle name="Normal 2 10 6 2" xfId="111"/>
    <cellStyle name="Normal 2 10 7" xfId="112"/>
    <cellStyle name="Normal 2 10 7 2" xfId="113"/>
    <cellStyle name="Normal 2 10 8" xfId="114"/>
    <cellStyle name="Normal 2 10 8 2" xfId="115"/>
    <cellStyle name="Normal 2 10 9" xfId="116"/>
    <cellStyle name="Normal 2 11" xfId="117"/>
    <cellStyle name="Normal 2 11 10" xfId="118"/>
    <cellStyle name="Normal 2 11 2" xfId="119"/>
    <cellStyle name="Normal 2 11 2 2" xfId="120"/>
    <cellStyle name="Normal 2 11 3" xfId="121"/>
    <cellStyle name="Normal 2 11 3 2" xfId="122"/>
    <cellStyle name="Normal 2 11 4" xfId="123"/>
    <cellStyle name="Normal 2 11 4 2" xfId="124"/>
    <cellStyle name="Normal 2 11 5" xfId="125"/>
    <cellStyle name="Normal 2 11 5 2" xfId="126"/>
    <cellStyle name="Normal 2 11 6" xfId="127"/>
    <cellStyle name="Normal 2 11 6 2" xfId="128"/>
    <cellStyle name="Normal 2 11 7" xfId="129"/>
    <cellStyle name="Normal 2 11 7 2" xfId="130"/>
    <cellStyle name="Normal 2 11 8" xfId="131"/>
    <cellStyle name="Normal 2 11 8 2" xfId="132"/>
    <cellStyle name="Normal 2 11 9" xfId="133"/>
    <cellStyle name="Normal 2 12" xfId="134"/>
    <cellStyle name="Normal 2 13" xfId="135"/>
    <cellStyle name="Normal 2 14" xfId="136"/>
    <cellStyle name="Normal 2 15" xfId="137"/>
    <cellStyle name="Normal 2 16" xfId="138"/>
    <cellStyle name="Normal 2 2" xfId="139"/>
    <cellStyle name="Normal 2 2 10" xfId="140"/>
    <cellStyle name="Normal 2 2 10 2" xfId="141"/>
    <cellStyle name="Normal 2 2 11" xfId="142"/>
    <cellStyle name="Normal 2 2 11 2" xfId="143"/>
    <cellStyle name="Normal 2 2 12" xfId="144"/>
    <cellStyle name="Normal 2 2 12 2" xfId="145"/>
    <cellStyle name="Normal 2 2 12 2 2" xfId="146"/>
    <cellStyle name="Normal 2 2 13" xfId="147"/>
    <cellStyle name="Normal 2 2 13 2" xfId="148"/>
    <cellStyle name="Normal 2 2 13 2 2" xfId="149"/>
    <cellStyle name="Normal 2 2 14" xfId="150"/>
    <cellStyle name="Normal 2 2 14 2" xfId="151"/>
    <cellStyle name="Normal 2 2 15" xfId="152"/>
    <cellStyle name="Normal 2 2 15 2" xfId="153"/>
    <cellStyle name="Normal 2 2 16" xfId="154"/>
    <cellStyle name="Normal 2 2 16 2" xfId="155"/>
    <cellStyle name="Normal 2 2 16 3" xfId="156"/>
    <cellStyle name="Normal 2 2 17" xfId="157"/>
    <cellStyle name="Normal 2 2 18" xfId="158"/>
    <cellStyle name="Normal 2 2 19" xfId="159"/>
    <cellStyle name="Normal 2 2 2" xfId="160"/>
    <cellStyle name="Normal 2 2 2 2" xfId="161"/>
    <cellStyle name="Normal 2 2 2 2 2" xfId="162"/>
    <cellStyle name="Normal 2 2 2 2 3" xfId="163"/>
    <cellStyle name="Normal 2 2 2 3" xfId="164"/>
    <cellStyle name="Normal 2 2 2 3 2" xfId="165"/>
    <cellStyle name="Normal 2 2 2 4" xfId="166"/>
    <cellStyle name="Normal 2 2 2 4 2" xfId="167"/>
    <cellStyle name="Normal 2 2 2 5" xfId="168"/>
    <cellStyle name="Normal 2 2 2 5 2" xfId="169"/>
    <cellStyle name="Normal 2 2 2 6" xfId="170"/>
    <cellStyle name="Normal 2 2 2 6 2" xfId="171"/>
    <cellStyle name="Normal 2 2 2 7" xfId="172"/>
    <cellStyle name="Normal 2 2 2 8" xfId="173"/>
    <cellStyle name="Normal 2 2 20" xfId="174"/>
    <cellStyle name="Normal 2 2 21" xfId="175"/>
    <cellStyle name="Normal 2 2 3" xfId="176"/>
    <cellStyle name="Normal 2 2 3 2" xfId="177"/>
    <cellStyle name="Normal 2 2 4" xfId="178"/>
    <cellStyle name="Normal 2 2 4 2" xfId="179"/>
    <cellStyle name="Normal 2 2 5" xfId="180"/>
    <cellStyle name="Normal 2 2 5 2" xfId="181"/>
    <cellStyle name="Normal 2 2 6" xfId="182"/>
    <cellStyle name="Normal 2 2 6 2" xfId="183"/>
    <cellStyle name="Normal 2 2 7" xfId="184"/>
    <cellStyle name="Normal 2 2 7 2" xfId="185"/>
    <cellStyle name="Normal 2 2 8" xfId="186"/>
    <cellStyle name="Normal 2 2 8 2" xfId="187"/>
    <cellStyle name="Normal 2 2 9" xfId="188"/>
    <cellStyle name="Normal 2 2 9 2" xfId="189"/>
    <cellStyle name="Normal 2 3" xfId="190"/>
    <cellStyle name="Normal 2 3 10" xfId="191"/>
    <cellStyle name="Normal 2 3 11" xfId="192"/>
    <cellStyle name="Normal 2 3 12" xfId="193"/>
    <cellStyle name="Normal 2 3 13" xfId="194"/>
    <cellStyle name="Normal 2 3 14" xfId="195"/>
    <cellStyle name="Normal 2 3 15" xfId="196"/>
    <cellStyle name="Normal 2 3 2" xfId="197"/>
    <cellStyle name="Normal 2 3 2 2" xfId="198"/>
    <cellStyle name="Normal 2 3 2 2 2" xfId="199"/>
    <cellStyle name="Normal 2 3 2 2 3" xfId="200"/>
    <cellStyle name="Normal 2 3 2 3" xfId="201"/>
    <cellStyle name="Normal 2 3 2 4" xfId="202"/>
    <cellStyle name="Normal 2 3 3" xfId="203"/>
    <cellStyle name="Normal 2 3 3 2" xfId="204"/>
    <cellStyle name="Normal 2 3 4" xfId="205"/>
    <cellStyle name="Normal 2 3 5" xfId="206"/>
    <cellStyle name="Normal 2 3 6" xfId="207"/>
    <cellStyle name="Normal 2 3 7" xfId="208"/>
    <cellStyle name="Normal 2 3 8" xfId="209"/>
    <cellStyle name="Normal 2 3 9" xfId="210"/>
    <cellStyle name="Normal 2 4" xfId="211"/>
    <cellStyle name="Normal 2 4 10" xfId="212"/>
    <cellStyle name="Normal 2 4 11" xfId="213"/>
    <cellStyle name="Normal 2 4 12" xfId="214"/>
    <cellStyle name="Normal 2 4 13" xfId="215"/>
    <cellStyle name="Normal 2 4 2" xfId="216"/>
    <cellStyle name="Normal 2 4 2 2" xfId="217"/>
    <cellStyle name="Normal 2 4 2 2 2" xfId="218"/>
    <cellStyle name="Normal 2 4 2 2 3" xfId="219"/>
    <cellStyle name="Normal 2 4 2 3" xfId="220"/>
    <cellStyle name="Normal 2 4 2 4" xfId="221"/>
    <cellStyle name="Normal 2 4 3" xfId="222"/>
    <cellStyle name="Normal 2 4 3 2" xfId="223"/>
    <cellStyle name="Normal 2 4 4" xfId="224"/>
    <cellStyle name="Normal 2 4 5" xfId="225"/>
    <cellStyle name="Normal 2 4 6" xfId="226"/>
    <cellStyle name="Normal 2 4 7" xfId="227"/>
    <cellStyle name="Normal 2 4 8" xfId="228"/>
    <cellStyle name="Normal 2 4 9" xfId="229"/>
    <cellStyle name="Normal 2 5" xfId="230"/>
    <cellStyle name="Normal 2 5 10" xfId="231"/>
    <cellStyle name="Normal 2 5 11" xfId="232"/>
    <cellStyle name="Normal 2 5 1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2" xfId="247"/>
    <cellStyle name="Normal 2 6 2 2" xfId="248"/>
    <cellStyle name="Normal 2 6 3" xfId="249"/>
    <cellStyle name="Normal 2 6 3 2" xfId="250"/>
    <cellStyle name="Normal 2 6 4" xfId="251"/>
    <cellStyle name="Normal 2 6 5" xfId="252"/>
    <cellStyle name="Normal 2 6 6" xfId="253"/>
    <cellStyle name="Normal 2 6 7" xfId="254"/>
    <cellStyle name="Normal 2 6 8" xfId="255"/>
    <cellStyle name="Normal 2 6 9" xfId="256"/>
    <cellStyle name="Normal 2 7" xfId="257"/>
    <cellStyle name="Normal 2 7 10" xfId="258"/>
    <cellStyle name="Normal 2 7 2" xfId="259"/>
    <cellStyle name="Normal 2 7 2 2" xfId="260"/>
    <cellStyle name="Normal 2 7 3" xfId="261"/>
    <cellStyle name="Normal 2 7 3 2" xfId="262"/>
    <cellStyle name="Normal 2 7 4" xfId="263"/>
    <cellStyle name="Normal 2 7 4 2" xfId="264"/>
    <cellStyle name="Normal 2 7 5" xfId="265"/>
    <cellStyle name="Normal 2 7 5 2" xfId="266"/>
    <cellStyle name="Normal 2 7 6" xfId="267"/>
    <cellStyle name="Normal 2 7 6 2" xfId="268"/>
    <cellStyle name="Normal 2 7 7" xfId="269"/>
    <cellStyle name="Normal 2 7 7 2" xfId="270"/>
    <cellStyle name="Normal 2 7 8" xfId="271"/>
    <cellStyle name="Normal 2 7 8 2" xfId="272"/>
    <cellStyle name="Normal 2 7 9" xfId="273"/>
    <cellStyle name="Normal 2 8" xfId="274"/>
    <cellStyle name="Normal 2 8 10" xfId="275"/>
    <cellStyle name="Normal 2 8 2" xfId="276"/>
    <cellStyle name="Normal 2 8 2 2" xfId="277"/>
    <cellStyle name="Normal 2 8 3" xfId="278"/>
    <cellStyle name="Normal 2 8 3 2" xfId="279"/>
    <cellStyle name="Normal 2 8 4" xfId="280"/>
    <cellStyle name="Normal 2 8 4 2" xfId="281"/>
    <cellStyle name="Normal 2 8 5" xfId="282"/>
    <cellStyle name="Normal 2 8 5 2" xfId="283"/>
    <cellStyle name="Normal 2 8 6" xfId="284"/>
    <cellStyle name="Normal 2 8 6 2" xfId="285"/>
    <cellStyle name="Normal 2 8 7" xfId="286"/>
    <cellStyle name="Normal 2 8 7 2" xfId="287"/>
    <cellStyle name="Normal 2 8 8" xfId="288"/>
    <cellStyle name="Normal 2 8 8 2" xfId="289"/>
    <cellStyle name="Normal 2 8 9" xfId="290"/>
    <cellStyle name="Normal 2 9" xfId="291"/>
    <cellStyle name="Normal 2 9 10" xfId="292"/>
    <cellStyle name="Normal 2 9 2" xfId="293"/>
    <cellStyle name="Normal 2 9 2 2" xfId="294"/>
    <cellStyle name="Normal 2 9 3" xfId="295"/>
    <cellStyle name="Normal 2 9 3 2" xfId="296"/>
    <cellStyle name="Normal 2 9 4" xfId="297"/>
    <cellStyle name="Normal 2 9 4 2" xfId="298"/>
    <cellStyle name="Normal 2 9 5" xfId="299"/>
    <cellStyle name="Normal 2 9 5 2" xfId="300"/>
    <cellStyle name="Normal 2 9 6" xfId="301"/>
    <cellStyle name="Normal 2 9 6 2" xfId="302"/>
    <cellStyle name="Normal 2 9 7" xfId="303"/>
    <cellStyle name="Normal 2 9 7 2" xfId="304"/>
    <cellStyle name="Normal 2 9 8" xfId="305"/>
    <cellStyle name="Normal 2 9 8 2" xfId="306"/>
    <cellStyle name="Normal 2 9 9" xfId="307"/>
    <cellStyle name="Normal 20" xfId="308"/>
    <cellStyle name="Normal 20 2" xfId="309"/>
    <cellStyle name="Normal 20 3" xfId="310"/>
    <cellStyle name="Normal 21" xfId="311"/>
    <cellStyle name="Normal 22" xfId="312"/>
    <cellStyle name="Normal 22 2" xfId="313"/>
    <cellStyle name="Normal 22 3" xfId="314"/>
    <cellStyle name="Normal 23" xfId="315"/>
    <cellStyle name="Normal 23 2" xfId="316"/>
    <cellStyle name="Normal 23 3" xfId="317"/>
    <cellStyle name="Normal 24" xfId="318"/>
    <cellStyle name="Normal 24 2" xfId="319"/>
    <cellStyle name="Normal 24 3" xfId="320"/>
    <cellStyle name="Normal 25" xfId="321"/>
    <cellStyle name="Normal 25 2" xfId="322"/>
    <cellStyle name="Normal 25 3" xfId="323"/>
    <cellStyle name="Normal 26" xfId="324"/>
    <cellStyle name="Normal 3" xfId="325"/>
    <cellStyle name="Normal 3 10" xfId="326"/>
    <cellStyle name="Normal 3 2" xfId="327"/>
    <cellStyle name="Normal 3 2 2" xfId="328"/>
    <cellStyle name="Normal 3 2 2 2" xfId="329"/>
    <cellStyle name="Normal 3 2 3" xfId="330"/>
    <cellStyle name="Normal 3 2 4" xfId="331"/>
    <cellStyle name="Normal 3 3" xfId="332"/>
    <cellStyle name="Normal 3 3 2" xfId="333"/>
    <cellStyle name="Normal 3 3 2 2" xfId="334"/>
    <cellStyle name="Normal 3 3 3" xfId="335"/>
    <cellStyle name="Normal 3 4" xfId="336"/>
    <cellStyle name="Normal 3 5" xfId="337"/>
    <cellStyle name="Normal 3 6" xfId="338"/>
    <cellStyle name="Normal 3 7" xfId="339"/>
    <cellStyle name="Normal 3 8" xfId="340"/>
    <cellStyle name="Normal 3 9" xfId="341"/>
    <cellStyle name="Normal 4" xfId="342"/>
    <cellStyle name="Normal 4 2" xfId="343"/>
    <cellStyle name="Normal 4 2 2" xfId="344"/>
    <cellStyle name="Normal 4 2 2 2" xfId="345"/>
    <cellStyle name="Normal 4 2 3" xfId="346"/>
    <cellStyle name="Normal 4 2 4" xfId="347"/>
    <cellStyle name="Normal 4 3" xfId="348"/>
    <cellStyle name="Normal 4 4" xfId="349"/>
    <cellStyle name="Normal 4 5" xfId="350"/>
    <cellStyle name="Normal 4 6" xfId="351"/>
    <cellStyle name="Normal 5" xfId="352"/>
    <cellStyle name="Normal 5 2" xfId="353"/>
    <cellStyle name="Normal 5 3" xfId="354"/>
    <cellStyle name="Normal 5 3 2" xfId="355"/>
    <cellStyle name="Normal 5 3 3" xfId="356"/>
    <cellStyle name="Normal 5 4" xfId="357"/>
    <cellStyle name="Normal 5 5" xfId="358"/>
    <cellStyle name="Normal 6" xfId="359"/>
    <cellStyle name="Normal 6 2" xfId="360"/>
    <cellStyle name="Normal 6 3" xfId="361"/>
    <cellStyle name="Normal 6 4" xfId="362"/>
    <cellStyle name="Normal 7 2" xfId="363"/>
    <cellStyle name="Normal 7 2 2" xfId="364"/>
    <cellStyle name="Normal 7 2 3" xfId="365"/>
    <cellStyle name="Normal 7 3" xfId="366"/>
    <cellStyle name="Normal 7 4" xfId="367"/>
    <cellStyle name="Normal 7 4 2" xfId="368"/>
    <cellStyle name="Normal 7 5" xfId="369"/>
    <cellStyle name="Normal 8" xfId="370"/>
    <cellStyle name="Normal 8 2" xfId="371"/>
    <cellStyle name="Normal 9" xfId="372"/>
    <cellStyle name="Normal 9 2" xfId="373"/>
    <cellStyle name="Normal 9 3" xfId="374"/>
    <cellStyle name="Normal 9 4" xfId="375"/>
    <cellStyle name="Normal 9 5" xfId="376"/>
    <cellStyle name="Normal_debt" xfId="377"/>
    <cellStyle name="Normal_lpform" xfId="378"/>
  </cellStyles>
  <dxfs count="326">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8.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26"/>
  <sheetViews>
    <sheetView topLeftCell="A43" zoomScale="80" workbookViewId="0">
      <selection activeCell="A49" sqref="A49"/>
    </sheetView>
  </sheetViews>
  <sheetFormatPr defaultRowHeight="15.75"/>
  <cols>
    <col min="1" max="1" width="75.77734375" style="21" customWidth="1"/>
    <col min="2" max="16384" width="8.88671875" style="21"/>
  </cols>
  <sheetData>
    <row r="1" spans="1:1">
      <c r="A1" s="20" t="s">
        <v>753</v>
      </c>
    </row>
    <row r="3" spans="1:1" ht="39.75" customHeight="1">
      <c r="A3" s="22" t="s">
        <v>289</v>
      </c>
    </row>
    <row r="4" spans="1:1">
      <c r="A4" s="23"/>
    </row>
    <row r="5" spans="1:1" ht="49.5" customHeight="1">
      <c r="A5" s="24" t="s">
        <v>832</v>
      </c>
    </row>
    <row r="6" spans="1:1">
      <c r="A6" s="24"/>
    </row>
    <row r="7" spans="1:1" ht="85.5" customHeight="1">
      <c r="A7" s="24" t="s">
        <v>948</v>
      </c>
    </row>
    <row r="8" spans="1:1">
      <c r="A8" s="24"/>
    </row>
    <row r="9" spans="1:1" ht="32.25" customHeight="1">
      <c r="A9" s="24" t="s">
        <v>290</v>
      </c>
    </row>
    <row r="11" spans="1:1" ht="51" customHeight="1">
      <c r="A11" s="24" t="s">
        <v>38</v>
      </c>
    </row>
    <row r="13" spans="1:1">
      <c r="A13" s="20" t="s">
        <v>841</v>
      </c>
    </row>
    <row r="14" spans="1:1">
      <c r="A14" s="20"/>
    </row>
    <row r="15" spans="1:1">
      <c r="A15" s="23" t="s">
        <v>842</v>
      </c>
    </row>
    <row r="17" spans="1:1" ht="37.5" customHeight="1">
      <c r="A17" s="25" t="s">
        <v>317</v>
      </c>
    </row>
    <row r="18" spans="1:1" ht="9" customHeight="1">
      <c r="A18" s="25"/>
    </row>
    <row r="20" spans="1:1">
      <c r="A20" s="20" t="s">
        <v>44</v>
      </c>
    </row>
    <row r="22" spans="1:1" ht="36" customHeight="1">
      <c r="A22" s="24" t="s">
        <v>291</v>
      </c>
    </row>
    <row r="23" spans="1:1">
      <c r="A23" s="24"/>
    </row>
    <row r="24" spans="1:1">
      <c r="A24" s="26" t="s">
        <v>292</v>
      </c>
    </row>
    <row r="25" spans="1:1" ht="12" customHeight="1">
      <c r="A25" s="24"/>
    </row>
    <row r="26" spans="1:1">
      <c r="A26" s="27" t="s">
        <v>202</v>
      </c>
    </row>
    <row r="27" spans="1:1">
      <c r="A27" s="28"/>
    </row>
    <row r="28" spans="1:1" ht="84.75" customHeight="1">
      <c r="A28" s="29" t="s">
        <v>827</v>
      </c>
    </row>
    <row r="29" spans="1:1" ht="12.75" customHeight="1">
      <c r="A29" s="30"/>
    </row>
    <row r="30" spans="1:1">
      <c r="A30" s="31" t="s">
        <v>293</v>
      </c>
    </row>
    <row r="31" spans="1:1">
      <c r="A31" s="30"/>
    </row>
    <row r="32" spans="1:1">
      <c r="A32" s="32" t="s">
        <v>840</v>
      </c>
    </row>
    <row r="33" spans="1:1">
      <c r="A33" s="30"/>
    </row>
    <row r="34" spans="1:1">
      <c r="A34" s="24" t="s">
        <v>138</v>
      </c>
    </row>
    <row r="36" spans="1:1">
      <c r="A36" s="20" t="s">
        <v>139</v>
      </c>
    </row>
    <row r="38" spans="1:1" ht="66.75" customHeight="1">
      <c r="A38" s="24" t="s">
        <v>680</v>
      </c>
    </row>
    <row r="39" spans="1:1" ht="35.25" customHeight="1">
      <c r="A39" s="24" t="s">
        <v>221</v>
      </c>
    </row>
    <row r="40" spans="1:1" ht="53.25" customHeight="1">
      <c r="A40" s="33" t="s">
        <v>294</v>
      </c>
    </row>
    <row r="42" spans="1:1" ht="84" customHeight="1">
      <c r="A42" s="24" t="s">
        <v>681</v>
      </c>
    </row>
    <row r="43" spans="1:1" ht="53.25" customHeight="1">
      <c r="A43" s="24" t="s">
        <v>295</v>
      </c>
    </row>
    <row r="44" spans="1:1" ht="102" customHeight="1">
      <c r="A44" s="24" t="s">
        <v>39</v>
      </c>
    </row>
    <row r="45" spans="1:1" ht="102" customHeight="1">
      <c r="A45" s="498" t="s">
        <v>682</v>
      </c>
    </row>
    <row r="46" spans="1:1" ht="15.75" customHeight="1">
      <c r="A46" s="24"/>
    </row>
    <row r="47" spans="1:1" ht="74.099999999999994" customHeight="1">
      <c r="A47" s="873" t="s">
        <v>913</v>
      </c>
    </row>
    <row r="48" spans="1:1" ht="69.95" customHeight="1">
      <c r="A48" s="874" t="s">
        <v>560</v>
      </c>
    </row>
    <row r="49" spans="1:1" ht="69.95" customHeight="1">
      <c r="A49" s="875" t="s">
        <v>914</v>
      </c>
    </row>
    <row r="50" spans="1:1" ht="15.75" customHeight="1">
      <c r="A50" s="24"/>
    </row>
    <row r="51" spans="1:1" ht="69.75" customHeight="1">
      <c r="A51" s="24" t="s">
        <v>561</v>
      </c>
    </row>
    <row r="52" spans="1:1" ht="37.5" customHeight="1">
      <c r="A52" s="24" t="s">
        <v>562</v>
      </c>
    </row>
    <row r="53" spans="1:1" ht="69" customHeight="1">
      <c r="A53" s="24" t="s">
        <v>563</v>
      </c>
    </row>
    <row r="54" spans="1:1" ht="94.5" customHeight="1">
      <c r="A54" s="498" t="s">
        <v>683</v>
      </c>
    </row>
    <row r="55" spans="1:1" ht="101.25" customHeight="1">
      <c r="A55" s="876" t="s">
        <v>949</v>
      </c>
    </row>
    <row r="57" spans="1:1" ht="84.75" customHeight="1">
      <c r="A57" s="24" t="s">
        <v>564</v>
      </c>
    </row>
    <row r="58" spans="1:1" ht="116.25" customHeight="1">
      <c r="A58" s="24" t="s">
        <v>565</v>
      </c>
    </row>
    <row r="59" spans="1:1" ht="38.25" customHeight="1">
      <c r="A59" s="24" t="s">
        <v>566</v>
      </c>
    </row>
    <row r="60" spans="1:1">
      <c r="A60" s="24"/>
    </row>
    <row r="61" spans="1:1" ht="68.25" customHeight="1">
      <c r="A61" s="876" t="s">
        <v>915</v>
      </c>
    </row>
    <row r="62" spans="1:1">
      <c r="A62" s="24"/>
    </row>
    <row r="63" spans="1:1" ht="66.75" customHeight="1">
      <c r="A63" s="24" t="s">
        <v>567</v>
      </c>
    </row>
    <row r="64" spans="1:1" ht="37.5" customHeight="1">
      <c r="A64" s="24" t="s">
        <v>576</v>
      </c>
    </row>
    <row r="65" spans="1:1" ht="91.5" customHeight="1">
      <c r="A65" s="24" t="s">
        <v>577</v>
      </c>
    </row>
    <row r="66" spans="1:1" ht="47.25" customHeight="1">
      <c r="A66" s="341" t="s">
        <v>578</v>
      </c>
    </row>
    <row r="68" spans="1:1" s="24" customFormat="1" ht="66.75" customHeight="1">
      <c r="A68" s="24" t="s">
        <v>568</v>
      </c>
    </row>
    <row r="70" spans="1:1" ht="67.5" customHeight="1">
      <c r="A70" s="24" t="s">
        <v>569</v>
      </c>
    </row>
    <row r="71" spans="1:1" ht="15" customHeight="1">
      <c r="A71" s="24"/>
    </row>
    <row r="72" spans="1:1" ht="161.25" customHeight="1">
      <c r="A72" s="876" t="s">
        <v>916</v>
      </c>
    </row>
    <row r="74" spans="1:1" ht="95.25" customHeight="1">
      <c r="A74" s="24" t="s">
        <v>917</v>
      </c>
    </row>
    <row r="75" spans="1:1" ht="70.5" customHeight="1">
      <c r="A75" s="876" t="s">
        <v>918</v>
      </c>
    </row>
    <row r="76" spans="1:1" ht="103.5" customHeight="1">
      <c r="A76" s="498" t="s">
        <v>919</v>
      </c>
    </row>
    <row r="77" spans="1:1" ht="81" customHeight="1">
      <c r="A77" s="498" t="s">
        <v>920</v>
      </c>
    </row>
    <row r="78" spans="1:1" ht="93" customHeight="1">
      <c r="A78" s="498" t="s">
        <v>921</v>
      </c>
    </row>
    <row r="79" spans="1:1" ht="138.75" customHeight="1">
      <c r="A79" s="24" t="s">
        <v>922</v>
      </c>
    </row>
    <row r="80" spans="1:1" ht="83.25" customHeight="1">
      <c r="A80" s="876" t="s">
        <v>923</v>
      </c>
    </row>
    <row r="81" spans="1:1" ht="123" customHeight="1">
      <c r="A81" s="24" t="s">
        <v>924</v>
      </c>
    </row>
    <row r="82" spans="1:1" ht="135" customHeight="1">
      <c r="A82" s="24" t="s">
        <v>925</v>
      </c>
    </row>
    <row r="83" spans="1:1" ht="65.25" customHeight="1">
      <c r="A83" s="24" t="s">
        <v>926</v>
      </c>
    </row>
    <row r="84" spans="1:1" ht="114" customHeight="1">
      <c r="A84" s="24" t="s">
        <v>927</v>
      </c>
    </row>
    <row r="85" spans="1:1" ht="61.5" customHeight="1">
      <c r="A85" s="24" t="s">
        <v>928</v>
      </c>
    </row>
    <row r="86" spans="1:1" ht="117" customHeight="1">
      <c r="A86" s="24" t="s">
        <v>929</v>
      </c>
    </row>
    <row r="87" spans="1:1" ht="117" customHeight="1">
      <c r="A87" s="499" t="s">
        <v>930</v>
      </c>
    </row>
    <row r="88" spans="1:1" ht="117" customHeight="1">
      <c r="A88" s="500" t="s">
        <v>931</v>
      </c>
    </row>
    <row r="89" spans="1:1" ht="77.25" customHeight="1">
      <c r="A89" s="877" t="s">
        <v>932</v>
      </c>
    </row>
    <row r="90" spans="1:1" ht="94.5" customHeight="1">
      <c r="A90" s="877" t="s">
        <v>947</v>
      </c>
    </row>
    <row r="91" spans="1:1" ht="15" customHeight="1">
      <c r="A91" s="362"/>
    </row>
    <row r="92" spans="1:1" ht="67.5" customHeight="1">
      <c r="A92" s="876" t="s">
        <v>570</v>
      </c>
    </row>
    <row r="93" spans="1:1" ht="29.25" customHeight="1">
      <c r="A93" s="878" t="s">
        <v>571</v>
      </c>
    </row>
    <row r="94" spans="1:1" ht="44.25" customHeight="1">
      <c r="A94" s="498" t="s">
        <v>933</v>
      </c>
    </row>
    <row r="95" spans="1:1" ht="129.75" customHeight="1">
      <c r="A95" s="498" t="s">
        <v>934</v>
      </c>
    </row>
    <row r="96" spans="1:1" ht="155.25" customHeight="1">
      <c r="A96" s="498" t="s">
        <v>935</v>
      </c>
    </row>
    <row r="97" spans="1:1" ht="84.75" customHeight="1">
      <c r="A97" s="879" t="s">
        <v>936</v>
      </c>
    </row>
    <row r="98" spans="1:1" ht="89.25" customHeight="1">
      <c r="A98" s="880" t="s">
        <v>937</v>
      </c>
    </row>
    <row r="99" spans="1:1" ht="15" customHeight="1">
      <c r="A99" s="362"/>
    </row>
    <row r="100" spans="1:1" ht="150" customHeight="1">
      <c r="A100" s="24" t="s">
        <v>938</v>
      </c>
    </row>
    <row r="101" spans="1:1" ht="138" customHeight="1">
      <c r="A101" s="24" t="s">
        <v>939</v>
      </c>
    </row>
    <row r="102" spans="1:1" ht="74.25" customHeight="1">
      <c r="A102" s="24" t="s">
        <v>940</v>
      </c>
    </row>
    <row r="103" spans="1:1" ht="28.5" customHeight="1">
      <c r="A103" s="24" t="s">
        <v>941</v>
      </c>
    </row>
    <row r="104" spans="1:1" ht="15" customHeight="1">
      <c r="A104" s="362"/>
    </row>
    <row r="105" spans="1:1" ht="68.25" customHeight="1">
      <c r="A105" s="876" t="s">
        <v>942</v>
      </c>
    </row>
    <row r="106" spans="1:1" ht="15" customHeight="1">
      <c r="A106" s="881"/>
    </row>
    <row r="107" spans="1:1" ht="67.5" customHeight="1">
      <c r="A107" s="498" t="s">
        <v>943</v>
      </c>
    </row>
    <row r="108" spans="1:1" ht="125.25" customHeight="1">
      <c r="A108" s="498" t="s">
        <v>944</v>
      </c>
    </row>
    <row r="109" spans="1:1" ht="134.25" customHeight="1">
      <c r="A109" s="498" t="s">
        <v>945</v>
      </c>
    </row>
    <row r="110" spans="1:1" ht="59.25" customHeight="1">
      <c r="A110" s="24"/>
    </row>
    <row r="111" spans="1:1" ht="30.75" customHeight="1">
      <c r="A111" s="24"/>
    </row>
    <row r="112" spans="1:1" ht="15" customHeight="1"/>
    <row r="113" spans="1:1" ht="36.75" customHeight="1">
      <c r="A113" s="24"/>
    </row>
    <row r="114" spans="1:1" ht="34.5" customHeight="1">
      <c r="A114" s="363"/>
    </row>
    <row r="115" spans="1:1" ht="99.75" customHeight="1">
      <c r="A115" s="498"/>
    </row>
    <row r="116" spans="1:1" ht="34.5" customHeight="1">
      <c r="A116" s="498"/>
    </row>
    <row r="117" spans="1:1" ht="85.5" customHeight="1">
      <c r="A117" s="498"/>
    </row>
    <row r="118" spans="1:1" ht="91.5" customHeight="1">
      <c r="A118" s="498"/>
    </row>
    <row r="119" spans="1:1" ht="58.5" customHeight="1">
      <c r="A119" s="363"/>
    </row>
    <row r="120" spans="1:1" ht="66" customHeight="1">
      <c r="A120" s="363"/>
    </row>
    <row r="121" spans="1:1" ht="16.5" customHeight="1">
      <c r="A121" s="24"/>
    </row>
    <row r="122" spans="1:1" ht="72.75" customHeight="1">
      <c r="A122" s="24"/>
    </row>
    <row r="124" spans="1:1" ht="69" customHeight="1">
      <c r="A124" s="498"/>
    </row>
    <row r="125" spans="1:1" ht="110.25" customHeight="1">
      <c r="A125" s="498"/>
    </row>
    <row r="126" spans="1:1" ht="132" customHeight="1">
      <c r="A126" s="498"/>
    </row>
  </sheetData>
  <sheetProtection sheet="1"/>
  <phoneticPr fontId="0" type="noConversion"/>
  <pageMargins left="0.5" right="0.5" top="0.5" bottom="0.5" header="0.5" footer="0"/>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3"/>
  <sheetViews>
    <sheetView zoomScale="75" zoomScaleNormal="75" workbookViewId="0">
      <selection activeCell="O11" sqref="O11"/>
    </sheetView>
  </sheetViews>
  <sheetFormatPr defaultRowHeight="15.75"/>
  <cols>
    <col min="1" max="1" width="8.88671875" style="34"/>
    <col min="2" max="2" width="20.77734375" style="34" customWidth="1"/>
    <col min="3" max="3" width="9.33203125" style="34" customWidth="1"/>
    <col min="4" max="4" width="8.6640625" style="34" customWidth="1"/>
    <col min="5" max="5" width="8.77734375" style="34" customWidth="1"/>
    <col min="6" max="6" width="12.77734375" style="34" customWidth="1"/>
    <col min="7" max="7" width="14.33203125" style="34" customWidth="1"/>
    <col min="8" max="13" width="9.77734375" style="34" customWidth="1"/>
    <col min="14" max="16384" width="8.88671875" style="34"/>
  </cols>
  <sheetData>
    <row r="1" spans="2:13">
      <c r="B1" s="188" t="str">
        <f>inputPrYr!$D$2</f>
        <v>City of Osawatomie</v>
      </c>
      <c r="C1" s="36"/>
      <c r="D1" s="36"/>
      <c r="E1" s="36"/>
      <c r="F1" s="36"/>
      <c r="G1" s="36"/>
      <c r="H1" s="36"/>
      <c r="I1" s="36"/>
      <c r="J1" s="36"/>
      <c r="K1" s="36"/>
      <c r="L1" s="36"/>
      <c r="M1" s="209">
        <f>inputPrYr!$C$5</f>
        <v>2013</v>
      </c>
    </row>
    <row r="2" spans="2:13">
      <c r="B2" s="188"/>
      <c r="C2" s="36"/>
      <c r="D2" s="36"/>
      <c r="E2" s="36"/>
      <c r="F2" s="36"/>
      <c r="G2" s="36"/>
      <c r="H2" s="36"/>
      <c r="I2" s="36"/>
      <c r="J2" s="36"/>
      <c r="K2" s="36"/>
      <c r="L2" s="36"/>
      <c r="M2" s="160"/>
    </row>
    <row r="3" spans="2:13">
      <c r="B3" s="210" t="s">
        <v>147</v>
      </c>
      <c r="C3" s="45"/>
      <c r="D3" s="45"/>
      <c r="E3" s="45"/>
      <c r="F3" s="45"/>
      <c r="G3" s="45"/>
      <c r="H3" s="45"/>
      <c r="I3" s="45"/>
      <c r="J3" s="45"/>
      <c r="K3" s="45"/>
      <c r="L3" s="45"/>
      <c r="M3" s="45"/>
    </row>
    <row r="4" spans="2:13" ht="10.5" customHeight="1">
      <c r="B4" s="36"/>
      <c r="C4" s="211"/>
      <c r="D4" s="211"/>
      <c r="E4" s="211"/>
      <c r="F4" s="211"/>
      <c r="G4" s="211"/>
      <c r="H4" s="211"/>
      <c r="I4" s="211"/>
      <c r="J4" s="211"/>
      <c r="K4" s="211"/>
      <c r="L4" s="211"/>
      <c r="M4" s="211"/>
    </row>
    <row r="5" spans="2:13" ht="18" customHeight="1">
      <c r="B5" s="143"/>
      <c r="C5" s="190" t="s">
        <v>115</v>
      </c>
      <c r="D5" s="190" t="s">
        <v>115</v>
      </c>
      <c r="E5" s="190" t="s">
        <v>129</v>
      </c>
      <c r="F5" s="190"/>
      <c r="G5" s="190" t="s">
        <v>252</v>
      </c>
      <c r="H5" s="36"/>
      <c r="I5" s="36"/>
      <c r="J5" s="212" t="s">
        <v>116</v>
      </c>
      <c r="K5" s="213"/>
      <c r="L5" s="212" t="s">
        <v>116</v>
      </c>
      <c r="M5" s="213"/>
    </row>
    <row r="6" spans="2:13">
      <c r="B6" s="214" t="s">
        <v>861</v>
      </c>
      <c r="C6" s="214" t="s">
        <v>117</v>
      </c>
      <c r="D6" s="214" t="s">
        <v>253</v>
      </c>
      <c r="E6" s="214" t="s">
        <v>118</v>
      </c>
      <c r="F6" s="214" t="s">
        <v>71</v>
      </c>
      <c r="G6" s="214" t="s">
        <v>254</v>
      </c>
      <c r="H6" s="948" t="s">
        <v>119</v>
      </c>
      <c r="I6" s="949"/>
      <c r="J6" s="950">
        <f>M1-1</f>
        <v>2012</v>
      </c>
      <c r="K6" s="951"/>
      <c r="L6" s="950">
        <f>M1</f>
        <v>2013</v>
      </c>
      <c r="M6" s="951"/>
    </row>
    <row r="7" spans="2:13">
      <c r="B7" s="192" t="s">
        <v>860</v>
      </c>
      <c r="C7" s="192" t="s">
        <v>120</v>
      </c>
      <c r="D7" s="192" t="s">
        <v>255</v>
      </c>
      <c r="E7" s="192" t="s">
        <v>96</v>
      </c>
      <c r="F7" s="192" t="s">
        <v>121</v>
      </c>
      <c r="G7" s="215" t="str">
        <f>CONCATENATE("Jan 1,",M1-1,"")</f>
        <v>Jan 1,2012</v>
      </c>
      <c r="H7" s="147" t="s">
        <v>129</v>
      </c>
      <c r="I7" s="147" t="s">
        <v>131</v>
      </c>
      <c r="J7" s="147" t="s">
        <v>129</v>
      </c>
      <c r="K7" s="147" t="s">
        <v>131</v>
      </c>
      <c r="L7" s="147" t="s">
        <v>129</v>
      </c>
      <c r="M7" s="147" t="s">
        <v>131</v>
      </c>
    </row>
    <row r="8" spans="2:13">
      <c r="B8" s="216" t="s">
        <v>122</v>
      </c>
      <c r="C8" s="54"/>
      <c r="D8" s="54"/>
      <c r="E8" s="217"/>
      <c r="F8" s="218"/>
      <c r="G8" s="218"/>
      <c r="H8" s="54"/>
      <c r="I8" s="54"/>
      <c r="J8" s="218"/>
      <c r="K8" s="218"/>
      <c r="L8" s="218"/>
      <c r="M8" s="218"/>
    </row>
    <row r="9" spans="2:13">
      <c r="B9" s="894" t="s">
        <v>1170</v>
      </c>
      <c r="C9" s="896">
        <v>37865</v>
      </c>
      <c r="D9" s="896">
        <v>43344</v>
      </c>
      <c r="E9" s="897" t="s">
        <v>998</v>
      </c>
      <c r="F9" s="898">
        <v>475000</v>
      </c>
      <c r="G9" s="899">
        <v>265000</v>
      </c>
      <c r="H9" s="900" t="s">
        <v>996</v>
      </c>
      <c r="I9" s="900">
        <v>39692</v>
      </c>
      <c r="J9" s="899">
        <v>5753</v>
      </c>
      <c r="K9" s="899" t="s">
        <v>1184</v>
      </c>
      <c r="L9" s="899" t="s">
        <v>1184</v>
      </c>
      <c r="M9" s="899" t="s">
        <v>1184</v>
      </c>
    </row>
    <row r="10" spans="2:13">
      <c r="B10" s="894" t="s">
        <v>994</v>
      </c>
      <c r="C10" s="896">
        <v>39753</v>
      </c>
      <c r="D10" s="896">
        <v>17777</v>
      </c>
      <c r="E10" s="897">
        <v>4.5</v>
      </c>
      <c r="F10" s="898">
        <v>3550000</v>
      </c>
      <c r="G10" s="899">
        <v>3450000</v>
      </c>
      <c r="H10" s="900">
        <v>40114</v>
      </c>
      <c r="I10" s="900">
        <v>40114</v>
      </c>
      <c r="J10" s="899">
        <v>155250</v>
      </c>
      <c r="K10" s="899">
        <v>37000</v>
      </c>
      <c r="L10" s="899">
        <v>153585</v>
      </c>
      <c r="M10" s="899">
        <v>39000</v>
      </c>
    </row>
    <row r="11" spans="2:13">
      <c r="B11" s="894" t="s">
        <v>993</v>
      </c>
      <c r="C11" s="896">
        <v>39753</v>
      </c>
      <c r="D11" s="896">
        <v>46997</v>
      </c>
      <c r="E11" s="897" t="s">
        <v>999</v>
      </c>
      <c r="F11" s="898">
        <v>2435000</v>
      </c>
      <c r="G11" s="899">
        <v>2340000</v>
      </c>
      <c r="H11" s="900" t="s">
        <v>996</v>
      </c>
      <c r="I11" s="900">
        <v>39692</v>
      </c>
      <c r="J11" s="899">
        <v>103528</v>
      </c>
      <c r="K11" s="899">
        <v>75000</v>
      </c>
      <c r="L11" s="899">
        <f>49701.25*2</f>
        <v>99402.5</v>
      </c>
      <c r="M11" s="899">
        <v>75000</v>
      </c>
    </row>
    <row r="12" spans="2:13">
      <c r="B12" s="895" t="s">
        <v>1165</v>
      </c>
      <c r="C12" s="367">
        <v>41037</v>
      </c>
      <c r="D12" s="367">
        <v>46631</v>
      </c>
      <c r="E12" s="219" t="s">
        <v>1166</v>
      </c>
      <c r="F12" s="220">
        <v>2810000</v>
      </c>
      <c r="G12" s="221">
        <v>0</v>
      </c>
      <c r="H12" s="900" t="s">
        <v>996</v>
      </c>
      <c r="I12" s="900">
        <v>39692</v>
      </c>
      <c r="J12" s="221">
        <v>19733</v>
      </c>
      <c r="K12" s="221">
        <v>170000</v>
      </c>
      <c r="L12" s="221">
        <f>27900*2</f>
        <v>55800</v>
      </c>
      <c r="M12" s="221">
        <v>330000</v>
      </c>
    </row>
    <row r="13" spans="2:13">
      <c r="B13" s="58"/>
      <c r="C13" s="367"/>
      <c r="D13" s="367"/>
      <c r="E13" s="219"/>
      <c r="F13" s="220"/>
      <c r="G13" s="221"/>
      <c r="H13" s="222"/>
      <c r="I13" s="222"/>
      <c r="J13" s="221"/>
      <c r="K13" s="221"/>
      <c r="L13" s="221"/>
      <c r="M13" s="221"/>
    </row>
    <row r="14" spans="2:13">
      <c r="B14" s="907" t="s">
        <v>1171</v>
      </c>
      <c r="C14" s="896"/>
      <c r="D14" s="896"/>
      <c r="E14" s="897"/>
      <c r="F14" s="898"/>
      <c r="G14" s="899"/>
      <c r="H14" s="900"/>
      <c r="I14" s="900"/>
      <c r="J14" s="899"/>
      <c r="K14" s="899"/>
      <c r="L14" s="899"/>
      <c r="M14" s="899"/>
    </row>
    <row r="15" spans="2:13">
      <c r="B15" s="58"/>
      <c r="C15" s="367"/>
      <c r="D15" s="367"/>
      <c r="E15" s="219"/>
      <c r="F15" s="220"/>
      <c r="G15" s="221"/>
      <c r="H15" s="222"/>
      <c r="I15" s="222"/>
      <c r="J15" s="221"/>
      <c r="K15" s="221"/>
      <c r="L15" s="221"/>
      <c r="M15" s="221"/>
    </row>
    <row r="16" spans="2:13">
      <c r="B16" s="58"/>
      <c r="C16" s="367"/>
      <c r="D16" s="367"/>
      <c r="E16" s="219"/>
      <c r="F16" s="220"/>
      <c r="G16" s="221"/>
      <c r="H16" s="222"/>
      <c r="I16" s="222"/>
      <c r="J16" s="221"/>
      <c r="K16" s="221"/>
      <c r="L16" s="221"/>
      <c r="M16" s="221"/>
    </row>
    <row r="17" spans="2:14">
      <c r="B17" s="58"/>
      <c r="C17" s="367"/>
      <c r="D17" s="367"/>
      <c r="E17" s="219"/>
      <c r="F17" s="220"/>
      <c r="G17" s="221"/>
      <c r="H17" s="222"/>
      <c r="I17" s="222"/>
      <c r="J17" s="221"/>
      <c r="K17" s="221"/>
      <c r="L17" s="221"/>
      <c r="M17" s="221"/>
    </row>
    <row r="18" spans="2:14">
      <c r="B18" s="223" t="s">
        <v>123</v>
      </c>
      <c r="C18" s="224"/>
      <c r="D18" s="224"/>
      <c r="E18" s="225"/>
      <c r="F18" s="226"/>
      <c r="G18" s="227">
        <f>SUM(G9:G17)</f>
        <v>6055000</v>
      </c>
      <c r="H18" s="228"/>
      <c r="I18" s="228"/>
      <c r="J18" s="227">
        <f>SUM(J9:J17)</f>
        <v>284264</v>
      </c>
      <c r="K18" s="227">
        <f>SUM(K9:K17)</f>
        <v>282000</v>
      </c>
      <c r="L18" s="227">
        <f>SUM(L9:L17)</f>
        <v>308787.5</v>
      </c>
      <c r="M18" s="227">
        <f>SUM(M9:M17)</f>
        <v>444000</v>
      </c>
      <c r="N18" s="236"/>
    </row>
    <row r="19" spans="2:14">
      <c r="B19" s="216" t="s">
        <v>124</v>
      </c>
      <c r="C19" s="229"/>
      <c r="D19" s="229"/>
      <c r="E19" s="230"/>
      <c r="F19" s="231"/>
      <c r="G19" s="231"/>
      <c r="H19" s="232"/>
      <c r="I19" s="232"/>
      <c r="J19" s="231"/>
      <c r="K19" s="231"/>
      <c r="L19" s="231"/>
      <c r="M19" s="231"/>
    </row>
    <row r="20" spans="2:14">
      <c r="B20" s="895"/>
      <c r="C20" s="367"/>
      <c r="D20" s="367"/>
      <c r="E20" s="219"/>
      <c r="F20" s="220"/>
      <c r="G20" s="221"/>
      <c r="H20" s="222"/>
      <c r="I20" s="222"/>
      <c r="J20" s="221"/>
      <c r="K20" s="221"/>
      <c r="L20" s="221"/>
      <c r="M20" s="221"/>
    </row>
    <row r="21" spans="2:14">
      <c r="B21" s="58"/>
      <c r="C21" s="367"/>
      <c r="D21" s="367"/>
      <c r="E21" s="219"/>
      <c r="F21" s="220"/>
      <c r="G21" s="221"/>
      <c r="H21" s="222"/>
      <c r="I21" s="222"/>
      <c r="J21" s="221"/>
      <c r="K21" s="221"/>
      <c r="L21" s="221"/>
      <c r="M21" s="221"/>
    </row>
    <row r="22" spans="2:14">
      <c r="B22" s="58"/>
      <c r="C22" s="367"/>
      <c r="D22" s="367"/>
      <c r="E22" s="219"/>
      <c r="F22" s="220"/>
      <c r="G22" s="221"/>
      <c r="H22" s="222"/>
      <c r="I22" s="222"/>
      <c r="J22" s="221"/>
      <c r="K22" s="221"/>
      <c r="L22" s="221"/>
      <c r="M22" s="221"/>
    </row>
    <row r="23" spans="2:14">
      <c r="B23" s="58"/>
      <c r="C23" s="367"/>
      <c r="D23" s="367"/>
      <c r="E23" s="219"/>
      <c r="F23" s="220"/>
      <c r="G23" s="221"/>
      <c r="H23" s="222"/>
      <c r="I23" s="222"/>
      <c r="J23" s="221"/>
      <c r="K23" s="221"/>
      <c r="L23" s="221"/>
      <c r="M23" s="221"/>
    </row>
    <row r="24" spans="2:14">
      <c r="B24" s="58"/>
      <c r="C24" s="367"/>
      <c r="D24" s="367"/>
      <c r="E24" s="219"/>
      <c r="F24" s="220"/>
      <c r="G24" s="221"/>
      <c r="H24" s="222"/>
      <c r="I24" s="222"/>
      <c r="J24" s="221"/>
      <c r="K24" s="221"/>
      <c r="L24" s="221"/>
      <c r="M24" s="221"/>
    </row>
    <row r="25" spans="2:14">
      <c r="B25" s="58"/>
      <c r="C25" s="367"/>
      <c r="D25" s="367"/>
      <c r="E25" s="219"/>
      <c r="F25" s="220"/>
      <c r="G25" s="221"/>
      <c r="H25" s="222"/>
      <c r="I25" s="222"/>
      <c r="J25" s="221"/>
      <c r="K25" s="221"/>
      <c r="L25" s="221"/>
      <c r="M25" s="221"/>
    </row>
    <row r="26" spans="2:14">
      <c r="B26" s="58"/>
      <c r="C26" s="367"/>
      <c r="D26" s="367"/>
      <c r="E26" s="219"/>
      <c r="F26" s="220"/>
      <c r="G26" s="221"/>
      <c r="H26" s="222"/>
      <c r="I26" s="222"/>
      <c r="J26" s="221"/>
      <c r="K26" s="221"/>
      <c r="L26" s="221"/>
      <c r="M26" s="221"/>
    </row>
    <row r="27" spans="2:14">
      <c r="B27" s="223" t="s">
        <v>125</v>
      </c>
      <c r="C27" s="224"/>
      <c r="D27" s="224"/>
      <c r="E27" s="233"/>
      <c r="F27" s="226"/>
      <c r="G27" s="234">
        <f>SUM(G20:G26)</f>
        <v>0</v>
      </c>
      <c r="H27" s="228"/>
      <c r="I27" s="228"/>
      <c r="J27" s="234">
        <f>SUM(J20:J26)</f>
        <v>0</v>
      </c>
      <c r="K27" s="234">
        <f>SUM(K20:K26)</f>
        <v>0</v>
      </c>
      <c r="L27" s="227">
        <f>SUM(L20:L26)</f>
        <v>0</v>
      </c>
      <c r="M27" s="234">
        <f>SUM(M20:M26)</f>
        <v>0</v>
      </c>
    </row>
    <row r="28" spans="2:14">
      <c r="B28" s="216" t="s">
        <v>126</v>
      </c>
      <c r="C28" s="229"/>
      <c r="D28" s="229"/>
      <c r="E28" s="230"/>
      <c r="F28" s="231"/>
      <c r="G28" s="235"/>
      <c r="H28" s="232"/>
      <c r="I28" s="232"/>
      <c r="J28" s="231"/>
      <c r="K28" s="231"/>
      <c r="L28" s="231"/>
      <c r="M28" s="231"/>
    </row>
    <row r="29" spans="2:14">
      <c r="B29" s="894" t="s">
        <v>1167</v>
      </c>
      <c r="C29" s="896" t="s">
        <v>995</v>
      </c>
      <c r="D29" s="896">
        <v>42614</v>
      </c>
      <c r="E29" s="897">
        <v>3.54</v>
      </c>
      <c r="F29" s="898">
        <v>1518929</v>
      </c>
      <c r="G29" s="899">
        <v>455168.6</v>
      </c>
      <c r="H29" s="900" t="s">
        <v>996</v>
      </c>
      <c r="I29" s="900" t="s">
        <v>996</v>
      </c>
      <c r="J29" s="899">
        <v>8056.48</v>
      </c>
      <c r="K29" s="899">
        <v>50064.480000000003</v>
      </c>
      <c r="L29" s="899" t="s">
        <v>1184</v>
      </c>
      <c r="M29" s="899" t="s">
        <v>1184</v>
      </c>
    </row>
    <row r="30" spans="2:14">
      <c r="B30" s="894" t="s">
        <v>1168</v>
      </c>
      <c r="C30" s="896" t="s">
        <v>995</v>
      </c>
      <c r="D30" s="896">
        <v>43709</v>
      </c>
      <c r="E30" s="897">
        <v>3.13</v>
      </c>
      <c r="F30" s="898">
        <v>2413903</v>
      </c>
      <c r="G30" s="899">
        <v>1058419.4099999999</v>
      </c>
      <c r="H30" s="900" t="s">
        <v>996</v>
      </c>
      <c r="I30" s="900" t="s">
        <v>996</v>
      </c>
      <c r="J30" s="899">
        <v>16564.259999999998</v>
      </c>
      <c r="K30" s="899">
        <v>75292.25</v>
      </c>
      <c r="L30" s="899" t="s">
        <v>1184</v>
      </c>
      <c r="M30" s="899" t="s">
        <v>1184</v>
      </c>
    </row>
    <row r="31" spans="2:14">
      <c r="B31" s="894" t="s">
        <v>1169</v>
      </c>
      <c r="C31" s="896">
        <v>37098</v>
      </c>
      <c r="D31" s="896">
        <v>44958</v>
      </c>
      <c r="E31" s="897">
        <v>3.86</v>
      </c>
      <c r="F31" s="898">
        <v>901479</v>
      </c>
      <c r="G31" s="899">
        <v>587583.03</v>
      </c>
      <c r="H31" s="900" t="s">
        <v>997</v>
      </c>
      <c r="I31" s="900" t="s">
        <v>997</v>
      </c>
      <c r="J31" s="899">
        <v>12368.62</v>
      </c>
      <c r="K31" s="899">
        <v>32491.31</v>
      </c>
      <c r="L31" s="899" t="s">
        <v>1184</v>
      </c>
      <c r="M31" s="899" t="s">
        <v>1184</v>
      </c>
    </row>
    <row r="32" spans="2:14">
      <c r="B32" s="58"/>
      <c r="C32" s="367"/>
      <c r="D32" s="367"/>
      <c r="E32" s="219"/>
      <c r="F32" s="220"/>
      <c r="G32" s="221"/>
      <c r="H32" s="222"/>
      <c r="I32" s="222"/>
      <c r="J32" s="221"/>
      <c r="K32" s="221"/>
      <c r="L32" s="221"/>
      <c r="M32" s="221"/>
    </row>
    <row r="33" spans="2:29">
      <c r="B33" s="907" t="s">
        <v>1172</v>
      </c>
      <c r="C33" s="367"/>
      <c r="D33" s="367"/>
      <c r="E33" s="219"/>
      <c r="F33" s="220"/>
      <c r="G33" s="221"/>
      <c r="H33" s="222"/>
      <c r="I33" s="222"/>
      <c r="J33" s="221"/>
      <c r="K33" s="221"/>
      <c r="L33" s="221"/>
      <c r="M33" s="221"/>
    </row>
    <row r="34" spans="2:29">
      <c r="B34" s="58"/>
      <c r="C34" s="367"/>
      <c r="D34" s="367"/>
      <c r="E34" s="219"/>
      <c r="F34" s="220"/>
      <c r="G34" s="221"/>
      <c r="H34" s="222"/>
      <c r="I34" s="222"/>
      <c r="J34" s="221"/>
      <c r="K34" s="221"/>
      <c r="L34" s="221"/>
      <c r="M34" s="221"/>
    </row>
    <row r="35" spans="2:29">
      <c r="B35" s="58"/>
      <c r="C35" s="367"/>
      <c r="D35" s="367"/>
      <c r="E35" s="219"/>
      <c r="F35" s="220"/>
      <c r="G35" s="221"/>
      <c r="H35" s="222"/>
      <c r="I35" s="222"/>
      <c r="J35" s="221"/>
      <c r="K35" s="221"/>
      <c r="L35" s="221"/>
      <c r="M35" s="221"/>
    </row>
    <row r="36" spans="2:29">
      <c r="B36" s="58"/>
      <c r="C36" s="367"/>
      <c r="D36" s="367"/>
      <c r="E36" s="219"/>
      <c r="F36" s="220"/>
      <c r="G36" s="221"/>
      <c r="H36" s="222"/>
      <c r="I36" s="222"/>
      <c r="J36" s="221"/>
      <c r="K36" s="221"/>
      <c r="L36" s="221"/>
      <c r="M36" s="221"/>
      <c r="N36" s="21"/>
      <c r="O36" s="21"/>
      <c r="P36" s="21"/>
      <c r="Q36" s="21"/>
      <c r="R36" s="21"/>
      <c r="S36" s="21"/>
      <c r="T36" s="21"/>
      <c r="U36" s="21"/>
      <c r="V36" s="21"/>
      <c r="W36" s="21"/>
      <c r="X36" s="21"/>
      <c r="Y36" s="21"/>
      <c r="Z36" s="21"/>
      <c r="AA36" s="21"/>
      <c r="AB36" s="21"/>
      <c r="AC36" s="21"/>
    </row>
    <row r="37" spans="2:29">
      <c r="B37" s="223" t="s">
        <v>256</v>
      </c>
      <c r="C37" s="204"/>
      <c r="D37" s="204"/>
      <c r="E37" s="233"/>
      <c r="F37" s="226"/>
      <c r="G37" s="234">
        <f>SUM(G29:G36)</f>
        <v>2101171.04</v>
      </c>
      <c r="H37" s="226"/>
      <c r="I37" s="226"/>
      <c r="J37" s="234">
        <f>SUM(J29:J36)</f>
        <v>36989.360000000001</v>
      </c>
      <c r="K37" s="234">
        <f>SUM(K29:K36)</f>
        <v>157848.04</v>
      </c>
      <c r="L37" s="234">
        <f>SUM(L29:L36)</f>
        <v>0</v>
      </c>
      <c r="M37" s="234">
        <f>SUM(M29:M36)</f>
        <v>0</v>
      </c>
    </row>
    <row r="38" spans="2:29">
      <c r="B38" s="223" t="s">
        <v>127</v>
      </c>
      <c r="C38" s="204"/>
      <c r="D38" s="204"/>
      <c r="E38" s="204"/>
      <c r="F38" s="226"/>
      <c r="G38" s="234">
        <f>SUM(G18+G27+G37)</f>
        <v>8156171.04</v>
      </c>
      <c r="H38" s="226"/>
      <c r="I38" s="226"/>
      <c r="J38" s="234">
        <f>SUM(J18+J27+J37)</f>
        <v>321253.36</v>
      </c>
      <c r="K38" s="234">
        <f>SUM(K18+K27+K37)</f>
        <v>439848.04000000004</v>
      </c>
      <c r="L38" s="234">
        <f>SUM(L18+L27+L37)</f>
        <v>308787.5</v>
      </c>
      <c r="M38" s="234">
        <f>SUM(M18+M27+M37)</f>
        <v>444000</v>
      </c>
    </row>
    <row r="39" spans="2:29">
      <c r="B39" s="21"/>
      <c r="C39" s="21"/>
      <c r="D39" s="21"/>
      <c r="E39" s="21"/>
      <c r="F39" s="21"/>
      <c r="G39" s="21"/>
      <c r="H39" s="21"/>
      <c r="I39" s="21"/>
      <c r="J39" s="21"/>
      <c r="K39" s="21"/>
      <c r="L39" s="21"/>
      <c r="M39" s="21"/>
    </row>
    <row r="40" spans="2:29">
      <c r="F40" s="236"/>
      <c r="G40" s="236"/>
      <c r="J40" s="236"/>
      <c r="K40" s="236"/>
      <c r="L40" s="236"/>
      <c r="M40" s="236"/>
    </row>
    <row r="41" spans="2:29">
      <c r="F41" s="21"/>
      <c r="H41" s="237"/>
      <c r="N41" s="21"/>
    </row>
    <row r="42" spans="2:29">
      <c r="B42" s="21"/>
      <c r="C42" s="21"/>
      <c r="D42" s="21"/>
      <c r="E42" s="21"/>
      <c r="F42" s="21"/>
      <c r="G42" s="21"/>
      <c r="H42" s="21"/>
      <c r="I42" s="21"/>
      <c r="J42" s="21"/>
      <c r="K42" s="21"/>
      <c r="L42" s="21"/>
      <c r="M42" s="21"/>
    </row>
    <row r="43" spans="2:29">
      <c r="B43" s="21"/>
      <c r="C43" s="21"/>
      <c r="D43" s="21"/>
      <c r="E43" s="21"/>
      <c r="F43" s="21"/>
      <c r="G43" s="21"/>
      <c r="H43" s="21"/>
      <c r="I43" s="21"/>
      <c r="J43" s="21"/>
      <c r="K43" s="21"/>
      <c r="L43" s="21"/>
      <c r="M43" s="21"/>
    </row>
  </sheetData>
  <mergeCells count="3">
    <mergeCell ref="H6:I6"/>
    <mergeCell ref="J6:K6"/>
    <mergeCell ref="L6:M6"/>
  </mergeCells>
  <phoneticPr fontId="0" type="noConversion"/>
  <printOptions horizontalCentered="1"/>
  <pageMargins left="0.5" right="0.5" top="0.5" bottom="0.5" header="0.3" footer="0.3"/>
  <pageSetup scale="80" orientation="landscape" blackAndWhite="1" horizontalDpi="120" verticalDpi="144"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M26"/>
  <sheetViews>
    <sheetView zoomScale="75" zoomScaleNormal="75" workbookViewId="0">
      <selection activeCell="O11" sqref="O11"/>
    </sheetView>
  </sheetViews>
  <sheetFormatPr defaultRowHeight="15.75"/>
  <cols>
    <col min="1" max="1" width="8.88671875" style="2"/>
    <col min="2" max="2" width="23.5546875" style="2" customWidth="1"/>
    <col min="3" max="5" width="9.77734375" style="2" customWidth="1"/>
    <col min="6" max="6" width="18.33203125" style="2" customWidth="1"/>
    <col min="7" max="9" width="15.77734375" style="2" customWidth="1"/>
    <col min="10" max="16384" width="8.88671875" style="2"/>
  </cols>
  <sheetData>
    <row r="1" spans="1:13">
      <c r="A1" s="759"/>
      <c r="B1" s="9" t="str">
        <f>inputPrYr!$D$2</f>
        <v>City of Osawatomie</v>
      </c>
      <c r="C1" s="4"/>
      <c r="D1" s="4"/>
      <c r="E1" s="4"/>
      <c r="F1" s="4"/>
      <c r="G1" s="4"/>
      <c r="H1" s="4"/>
      <c r="I1" s="14">
        <f>inputPrYr!C5</f>
        <v>2013</v>
      </c>
      <c r="J1" s="759"/>
    </row>
    <row r="2" spans="1:13">
      <c r="A2" s="759"/>
      <c r="B2" s="9"/>
      <c r="C2" s="4"/>
      <c r="D2" s="4"/>
      <c r="E2" s="4"/>
      <c r="F2" s="4"/>
      <c r="G2" s="4"/>
      <c r="H2" s="4"/>
      <c r="I2" s="6"/>
      <c r="J2" s="759"/>
    </row>
    <row r="3" spans="1:13">
      <c r="A3" s="759"/>
      <c r="B3" s="4"/>
      <c r="C3" s="4"/>
      <c r="D3" s="4"/>
      <c r="E3" s="4"/>
      <c r="F3" s="4"/>
      <c r="G3" s="4"/>
      <c r="H3" s="4"/>
      <c r="I3" s="5"/>
      <c r="J3" s="759"/>
    </row>
    <row r="4" spans="1:13">
      <c r="A4" s="759"/>
      <c r="B4" s="10" t="s">
        <v>141</v>
      </c>
      <c r="C4" s="7"/>
      <c r="D4" s="7"/>
      <c r="E4" s="7"/>
      <c r="F4" s="7"/>
      <c r="G4" s="7"/>
      <c r="H4" s="7"/>
      <c r="I4" s="7"/>
      <c r="J4" s="759"/>
    </row>
    <row r="5" spans="1:13">
      <c r="A5" s="759"/>
      <c r="B5" s="3"/>
      <c r="C5" s="11"/>
      <c r="D5" s="11"/>
      <c r="E5" s="11"/>
      <c r="F5" s="11"/>
      <c r="G5" s="11"/>
      <c r="H5" s="11"/>
      <c r="I5" s="11"/>
      <c r="J5" s="759"/>
    </row>
    <row r="6" spans="1:13">
      <c r="A6" s="759"/>
      <c r="B6" s="8"/>
      <c r="C6" s="190"/>
      <c r="D6" s="190"/>
      <c r="E6" s="190"/>
      <c r="F6" s="190" t="s">
        <v>50</v>
      </c>
      <c r="G6" s="190"/>
      <c r="H6" s="190"/>
      <c r="I6" s="190"/>
      <c r="J6" s="759"/>
    </row>
    <row r="7" spans="1:13">
      <c r="A7" s="759"/>
      <c r="B7" s="736"/>
      <c r="C7" s="214"/>
      <c r="D7" s="214" t="s">
        <v>128</v>
      </c>
      <c r="E7" s="214" t="s">
        <v>129</v>
      </c>
      <c r="F7" s="214" t="s">
        <v>71</v>
      </c>
      <c r="G7" s="214" t="s">
        <v>131</v>
      </c>
      <c r="H7" s="214" t="s">
        <v>132</v>
      </c>
      <c r="I7" s="214" t="s">
        <v>132</v>
      </c>
      <c r="J7" s="759"/>
    </row>
    <row r="8" spans="1:13">
      <c r="A8" s="759"/>
      <c r="B8" s="214" t="s">
        <v>863</v>
      </c>
      <c r="C8" s="214" t="s">
        <v>133</v>
      </c>
      <c r="D8" s="214" t="s">
        <v>134</v>
      </c>
      <c r="E8" s="214" t="s">
        <v>118</v>
      </c>
      <c r="F8" s="214" t="s">
        <v>135</v>
      </c>
      <c r="G8" s="214" t="s">
        <v>180</v>
      </c>
      <c r="H8" s="214" t="s">
        <v>136</v>
      </c>
      <c r="I8" s="214" t="s">
        <v>136</v>
      </c>
      <c r="J8" s="759"/>
    </row>
    <row r="9" spans="1:13">
      <c r="A9" s="759"/>
      <c r="B9" s="192" t="s">
        <v>862</v>
      </c>
      <c r="C9" s="192" t="s">
        <v>115</v>
      </c>
      <c r="D9" s="737" t="s">
        <v>137</v>
      </c>
      <c r="E9" s="192" t="s">
        <v>96</v>
      </c>
      <c r="F9" s="737" t="s">
        <v>205</v>
      </c>
      <c r="G9" s="738" t="str">
        <f>CONCATENATE("Jan 1,",I1-1,"")</f>
        <v>Jan 1,2012</v>
      </c>
      <c r="H9" s="192">
        <f>I1-1</f>
        <v>2012</v>
      </c>
      <c r="I9" s="192">
        <f>I1</f>
        <v>2013</v>
      </c>
      <c r="J9" s="759"/>
    </row>
    <row r="10" spans="1:13">
      <c r="A10" s="759"/>
      <c r="B10" s="894" t="s">
        <v>1000</v>
      </c>
      <c r="C10" s="901">
        <v>39027</v>
      </c>
      <c r="D10" s="902">
        <v>180</v>
      </c>
      <c r="E10" s="897">
        <v>5.75</v>
      </c>
      <c r="F10" s="898">
        <v>194527</v>
      </c>
      <c r="G10" s="898">
        <v>146079</v>
      </c>
      <c r="H10" s="898" t="s">
        <v>1183</v>
      </c>
      <c r="I10" s="898" t="s">
        <v>1183</v>
      </c>
      <c r="J10" s="759"/>
      <c r="M10" s="911"/>
    </row>
    <row r="11" spans="1:13">
      <c r="A11" s="759"/>
      <c r="B11" s="895" t="s">
        <v>1001</v>
      </c>
      <c r="C11" s="901">
        <v>40317</v>
      </c>
      <c r="D11" s="902">
        <v>24</v>
      </c>
      <c r="E11" s="897">
        <v>4.49</v>
      </c>
      <c r="F11" s="898">
        <v>49910</v>
      </c>
      <c r="G11" s="898">
        <v>10770</v>
      </c>
      <c r="H11" s="898">
        <v>10891</v>
      </c>
      <c r="I11" s="898">
        <v>0</v>
      </c>
      <c r="J11" s="759"/>
      <c r="M11" s="911"/>
    </row>
    <row r="12" spans="1:13">
      <c r="A12" s="759"/>
      <c r="B12" s="894" t="s">
        <v>1185</v>
      </c>
      <c r="C12" s="367">
        <v>40991</v>
      </c>
      <c r="D12" s="740">
        <v>122</v>
      </c>
      <c r="E12" s="219">
        <v>3.25</v>
      </c>
      <c r="F12" s="220">
        <v>147514</v>
      </c>
      <c r="G12" s="220">
        <v>0</v>
      </c>
      <c r="H12" s="898">
        <v>17311.8</v>
      </c>
      <c r="I12" s="898">
        <v>17311.8</v>
      </c>
      <c r="J12" s="759"/>
      <c r="M12" s="911"/>
    </row>
    <row r="13" spans="1:13">
      <c r="A13" s="759"/>
      <c r="B13" s="58"/>
      <c r="C13" s="367"/>
      <c r="D13" s="740"/>
      <c r="E13" s="219"/>
      <c r="F13" s="220"/>
      <c r="G13" s="220"/>
      <c r="H13" s="220"/>
      <c r="I13" s="220"/>
      <c r="J13" s="759"/>
    </row>
    <row r="14" spans="1:13">
      <c r="A14" s="759"/>
      <c r="B14" s="58"/>
      <c r="C14" s="367"/>
      <c r="D14" s="740"/>
      <c r="E14" s="219"/>
      <c r="F14" s="220"/>
      <c r="G14" s="220"/>
      <c r="H14" s="220"/>
      <c r="I14" s="220"/>
      <c r="J14" s="759"/>
    </row>
    <row r="15" spans="1:13">
      <c r="A15" s="759"/>
      <c r="B15" s="58"/>
      <c r="C15" s="367"/>
      <c r="D15" s="740"/>
      <c r="E15" s="219"/>
      <c r="F15" s="220"/>
      <c r="G15" s="220"/>
      <c r="H15" s="220"/>
      <c r="I15" s="220"/>
      <c r="J15" s="759"/>
    </row>
    <row r="16" spans="1:13">
      <c r="A16" s="759"/>
      <c r="B16" s="58"/>
      <c r="C16" s="367"/>
      <c r="D16" s="740"/>
      <c r="E16" s="219"/>
      <c r="F16" s="220"/>
      <c r="G16" s="220"/>
      <c r="H16" s="220"/>
      <c r="I16" s="220"/>
      <c r="J16" s="759"/>
    </row>
    <row r="17" spans="1:10">
      <c r="A17" s="759"/>
      <c r="B17" s="58"/>
      <c r="C17" s="367"/>
      <c r="D17" s="740"/>
      <c r="E17" s="219"/>
      <c r="F17" s="220"/>
      <c r="G17" s="220"/>
      <c r="H17" s="220"/>
      <c r="I17" s="220"/>
      <c r="J17" s="759"/>
    </row>
    <row r="18" spans="1:10">
      <c r="A18" s="759"/>
      <c r="B18" s="58"/>
      <c r="C18" s="367"/>
      <c r="D18" s="740"/>
      <c r="E18" s="219"/>
      <c r="F18" s="220"/>
      <c r="G18" s="220"/>
      <c r="H18" s="220"/>
      <c r="I18" s="220"/>
      <c r="J18" s="759"/>
    </row>
    <row r="19" spans="1:10">
      <c r="A19" s="759"/>
      <c r="B19" s="58"/>
      <c r="C19" s="367"/>
      <c r="D19" s="740"/>
      <c r="E19" s="219"/>
      <c r="F19" s="220"/>
      <c r="G19" s="220"/>
      <c r="H19" s="220"/>
      <c r="I19" s="220"/>
      <c r="J19" s="759"/>
    </row>
    <row r="20" spans="1:10">
      <c r="A20" s="759"/>
      <c r="B20" s="58"/>
      <c r="C20" s="367"/>
      <c r="D20" s="740"/>
      <c r="E20" s="219"/>
      <c r="F20" s="220"/>
      <c r="G20" s="220"/>
      <c r="H20" s="220"/>
      <c r="I20" s="220"/>
      <c r="J20" s="759"/>
    </row>
    <row r="21" spans="1:10">
      <c r="A21" s="759"/>
      <c r="B21" s="58"/>
      <c r="C21" s="367"/>
      <c r="D21" s="740"/>
      <c r="E21" s="219"/>
      <c r="F21" s="220"/>
      <c r="G21" s="220"/>
      <c r="H21" s="220"/>
      <c r="I21" s="220"/>
      <c r="J21" s="759"/>
    </row>
    <row r="22" spans="1:10">
      <c r="A22" s="759"/>
      <c r="B22" s="58"/>
      <c r="C22" s="367"/>
      <c r="D22" s="740"/>
      <c r="E22" s="219"/>
      <c r="F22" s="220" t="s">
        <v>1151</v>
      </c>
      <c r="G22" s="220"/>
      <c r="H22" s="220"/>
      <c r="I22" s="220"/>
      <c r="J22" s="759"/>
    </row>
    <row r="23" spans="1:10">
      <c r="A23" s="759"/>
      <c r="B23" s="58"/>
      <c r="C23" s="367"/>
      <c r="D23" s="740"/>
      <c r="E23" s="219"/>
      <c r="F23" s="220"/>
      <c r="G23" s="220"/>
      <c r="H23" s="220"/>
      <c r="I23" s="220"/>
      <c r="J23" s="759"/>
    </row>
    <row r="24" spans="1:10" ht="16.5" thickBot="1">
      <c r="A24" s="759"/>
      <c r="B24" s="12"/>
      <c r="C24" s="13"/>
      <c r="D24" s="13"/>
      <c r="E24" s="13"/>
      <c r="F24" s="573" t="s">
        <v>66</v>
      </c>
      <c r="G24" s="739">
        <f>SUM(G10:G23)</f>
        <v>156849</v>
      </c>
      <c r="H24" s="739">
        <f>SUM(H10:H23)</f>
        <v>28202.799999999999</v>
      </c>
      <c r="I24" s="739">
        <f>SUM(I10:I23)</f>
        <v>17311.8</v>
      </c>
      <c r="J24" s="759"/>
    </row>
    <row r="25" spans="1:10" ht="16.5" thickTop="1">
      <c r="A25" s="759"/>
      <c r="B25" s="4"/>
      <c r="C25" s="4"/>
      <c r="D25" s="4"/>
      <c r="E25" s="4"/>
      <c r="F25" s="4"/>
      <c r="G25" s="4"/>
      <c r="H25" s="9"/>
      <c r="I25" s="9"/>
      <c r="J25" s="759"/>
    </row>
    <row r="26" spans="1:10">
      <c r="A26" s="759"/>
      <c r="B26" s="18" t="s">
        <v>846</v>
      </c>
      <c r="C26" s="19"/>
      <c r="D26" s="19"/>
      <c r="E26" s="19"/>
      <c r="F26" s="19"/>
      <c r="G26" s="19"/>
      <c r="H26" s="9"/>
      <c r="I26" s="9"/>
      <c r="J26" s="759"/>
    </row>
  </sheetData>
  <phoneticPr fontId="0" type="noConversion"/>
  <printOptions horizontalCentered="1"/>
  <pageMargins left="0.5" right="0.5" top="0.5" bottom="0.5" header="0.3" footer="0.3"/>
  <pageSetup scale="90" orientation="landscape" blackAndWhite="1" horizontalDpi="120" verticalDpi="144" r:id="rId1"/>
  <headerFooter alignWithMargins="0"/>
</worksheet>
</file>

<file path=xl/worksheets/sheet12.xml><?xml version="1.0" encoding="utf-8"?>
<worksheet xmlns="http://schemas.openxmlformats.org/spreadsheetml/2006/main" xmlns:r="http://schemas.openxmlformats.org/officeDocument/2006/relationships">
  <sheetPr>
    <tabColor rgb="FFFF0000"/>
    <pageSetUpPr fitToPage="1"/>
  </sheetPr>
  <dimension ref="B1:I108"/>
  <sheetViews>
    <sheetView zoomScaleNormal="100" workbookViewId="0">
      <selection activeCell="O11" sqref="O11"/>
    </sheetView>
  </sheetViews>
  <sheetFormatPr defaultRowHeight="15"/>
  <cols>
    <col min="1" max="1" width="2.5546875" style="713" customWidth="1"/>
    <col min="2" max="4" width="8.88671875" style="713"/>
    <col min="5" max="5" width="9.6640625" style="713" customWidth="1"/>
    <col min="6" max="6" width="8.88671875" style="713"/>
    <col min="7" max="7" width="9.6640625" style="713" customWidth="1"/>
    <col min="8" max="16384" width="8.88671875" style="713"/>
  </cols>
  <sheetData>
    <row r="1" spans="2:9" ht="15.75">
      <c r="B1" s="712"/>
      <c r="C1" s="712"/>
      <c r="D1" s="712"/>
      <c r="E1" s="712"/>
      <c r="F1" s="712"/>
      <c r="G1" s="712"/>
      <c r="H1" s="712"/>
      <c r="I1" s="712"/>
    </row>
    <row r="2" spans="2:9" ht="15.75">
      <c r="B2" s="954" t="s">
        <v>775</v>
      </c>
      <c r="C2" s="954"/>
      <c r="D2" s="954"/>
      <c r="E2" s="954"/>
      <c r="F2" s="954"/>
      <c r="G2" s="954"/>
      <c r="H2" s="954"/>
      <c r="I2" s="954"/>
    </row>
    <row r="3" spans="2:9" ht="15.75">
      <c r="B3" s="954" t="s">
        <v>776</v>
      </c>
      <c r="C3" s="954"/>
      <c r="D3" s="954"/>
      <c r="E3" s="954"/>
      <c r="F3" s="954"/>
      <c r="G3" s="954"/>
      <c r="H3" s="954"/>
      <c r="I3" s="954"/>
    </row>
    <row r="4" spans="2:9" ht="15.75">
      <c r="B4" s="714"/>
      <c r="C4" s="714"/>
      <c r="D4" s="714"/>
      <c r="E4" s="714"/>
      <c r="F4" s="714"/>
      <c r="G4" s="714"/>
      <c r="H4" s="714"/>
      <c r="I4" s="714"/>
    </row>
    <row r="5" spans="2:9" ht="15.75">
      <c r="B5" s="955" t="str">
        <f>CONCATENATE("Budgeted Year: ",inputPrYr!C5,"")</f>
        <v>Budgeted Year: 2013</v>
      </c>
      <c r="C5" s="955"/>
      <c r="D5" s="955"/>
      <c r="E5" s="955"/>
      <c r="F5" s="955"/>
      <c r="G5" s="955"/>
      <c r="H5" s="955"/>
      <c r="I5" s="955"/>
    </row>
    <row r="6" spans="2:9" ht="15.75">
      <c r="B6" s="715"/>
      <c r="C6" s="714"/>
      <c r="D6" s="714"/>
      <c r="E6" s="714"/>
      <c r="F6" s="714"/>
      <c r="G6" s="714"/>
      <c r="H6" s="714"/>
      <c r="I6" s="714"/>
    </row>
    <row r="7" spans="2:9" ht="15.75">
      <c r="B7" s="715" t="str">
        <f>CONCATENATE("Library found in: ",inputPrYr!D2,"")</f>
        <v>Library found in: City of Osawatomie</v>
      </c>
      <c r="C7" s="714"/>
      <c r="D7" s="714"/>
      <c r="E7" s="714"/>
      <c r="F7" s="714"/>
      <c r="G7" s="714"/>
      <c r="H7" s="714"/>
      <c r="I7" s="714"/>
    </row>
    <row r="8" spans="2:9" ht="15.75">
      <c r="B8" s="715" t="str">
        <f>inputPrYr!D3</f>
        <v>Miami County</v>
      </c>
      <c r="C8" s="714"/>
      <c r="D8" s="714"/>
      <c r="E8" s="714"/>
      <c r="F8" s="714"/>
      <c r="G8" s="714"/>
      <c r="H8" s="714"/>
      <c r="I8" s="714"/>
    </row>
    <row r="9" spans="2:9" ht="15.75">
      <c r="B9" s="714"/>
      <c r="C9" s="714"/>
      <c r="D9" s="714"/>
      <c r="E9" s="714"/>
      <c r="F9" s="714"/>
      <c r="G9" s="714"/>
      <c r="H9" s="714"/>
      <c r="I9" s="714"/>
    </row>
    <row r="10" spans="2:9" ht="39" customHeight="1">
      <c r="B10" s="956" t="s">
        <v>777</v>
      </c>
      <c r="C10" s="956"/>
      <c r="D10" s="956"/>
      <c r="E10" s="956"/>
      <c r="F10" s="956"/>
      <c r="G10" s="956"/>
      <c r="H10" s="956"/>
      <c r="I10" s="956"/>
    </row>
    <row r="11" spans="2:9" ht="15.75">
      <c r="B11" s="714"/>
      <c r="C11" s="714"/>
      <c r="D11" s="714"/>
      <c r="E11" s="714"/>
      <c r="F11" s="714"/>
      <c r="G11" s="714"/>
      <c r="H11" s="714"/>
      <c r="I11" s="714"/>
    </row>
    <row r="12" spans="2:9" ht="15.75">
      <c r="B12" s="716" t="s">
        <v>778</v>
      </c>
      <c r="C12" s="714"/>
      <c r="D12" s="714"/>
      <c r="E12" s="714"/>
      <c r="F12" s="714"/>
      <c r="G12" s="714"/>
      <c r="H12" s="714"/>
      <c r="I12" s="714"/>
    </row>
    <row r="13" spans="2:9" ht="15.75">
      <c r="B13" s="714"/>
      <c r="C13" s="714"/>
      <c r="D13" s="714"/>
      <c r="E13" s="717" t="s">
        <v>779</v>
      </c>
      <c r="F13" s="714"/>
      <c r="G13" s="717" t="s">
        <v>780</v>
      </c>
      <c r="H13" s="714"/>
      <c r="I13" s="714"/>
    </row>
    <row r="14" spans="2:9" ht="15.75">
      <c r="B14" s="714"/>
      <c r="C14" s="714"/>
      <c r="D14" s="714"/>
      <c r="E14" s="718">
        <f>inputPrYr!C5-1</f>
        <v>2012</v>
      </c>
      <c r="F14" s="714"/>
      <c r="G14" s="718">
        <f>inputPrYr!C5</f>
        <v>2013</v>
      </c>
      <c r="H14" s="714"/>
      <c r="I14" s="714"/>
    </row>
    <row r="15" spans="2:9" ht="15.75">
      <c r="B15" s="715" t="str">
        <f>'Library-Rec'!B8</f>
        <v>Ad Valorem Tax</v>
      </c>
      <c r="C15" s="714"/>
      <c r="D15" s="714"/>
      <c r="E15" s="719">
        <f>'Library-Rec'!D8</f>
        <v>0</v>
      </c>
      <c r="F15" s="714"/>
      <c r="G15" s="719">
        <f>'Library-Rec'!E36</f>
        <v>0</v>
      </c>
      <c r="H15" s="714"/>
      <c r="I15" s="714"/>
    </row>
    <row r="16" spans="2:9" ht="15.75">
      <c r="B16" s="715" t="str">
        <f>'Library-Rec'!B9</f>
        <v>Delinquent Tax</v>
      </c>
      <c r="C16" s="714"/>
      <c r="D16" s="714"/>
      <c r="E16" s="719">
        <f>'Library-Rec'!D9</f>
        <v>500</v>
      </c>
      <c r="F16" s="714"/>
      <c r="G16" s="719">
        <f>'Library-Rec'!E9</f>
        <v>0</v>
      </c>
      <c r="H16" s="714"/>
      <c r="I16" s="714"/>
    </row>
    <row r="17" spans="2:9" ht="15.75">
      <c r="B17" s="715" t="str">
        <f>'Library-Rec'!B10</f>
        <v>Motor Vehicle Tax</v>
      </c>
      <c r="C17" s="714"/>
      <c r="D17" s="714"/>
      <c r="E17" s="719">
        <f>'Library-Rec'!D10</f>
        <v>0</v>
      </c>
      <c r="F17" s="714"/>
      <c r="G17" s="719" t="str">
        <f>'Library-Rec'!E10</f>
        <v xml:space="preserve">  </v>
      </c>
      <c r="H17" s="714"/>
      <c r="I17" s="714"/>
    </row>
    <row r="18" spans="2:9" ht="15.75">
      <c r="B18" s="715" t="str">
        <f>'Library-Rec'!B11</f>
        <v>Recreational Vehicle Tax</v>
      </c>
      <c r="C18" s="714"/>
      <c r="D18" s="714"/>
      <c r="E18" s="719">
        <f>'Library-Rec'!D11</f>
        <v>0</v>
      </c>
      <c r="F18" s="714"/>
      <c r="G18" s="719" t="str">
        <f>'Library-Rec'!E11</f>
        <v xml:space="preserve"> </v>
      </c>
      <c r="H18" s="714"/>
      <c r="I18" s="714"/>
    </row>
    <row r="19" spans="2:9" ht="15.75">
      <c r="B19" s="715" t="str">
        <f>'Library-Rec'!B12</f>
        <v>16/20M Vehicle Tax</v>
      </c>
      <c r="C19" s="714"/>
      <c r="D19" s="714"/>
      <c r="E19" s="719">
        <f>'Library-Rec'!D12</f>
        <v>0</v>
      </c>
      <c r="F19" s="714"/>
      <c r="G19" s="719" t="str">
        <f>'Library-Rec'!E12</f>
        <v xml:space="preserve"> </v>
      </c>
      <c r="H19" s="714"/>
      <c r="I19" s="714"/>
    </row>
    <row r="20" spans="2:9" ht="15.75">
      <c r="B20" s="714" t="s">
        <v>238</v>
      </c>
      <c r="C20" s="714"/>
      <c r="D20" s="714"/>
      <c r="E20" s="719">
        <v>0</v>
      </c>
      <c r="F20" s="714"/>
      <c r="G20" s="719">
        <v>0</v>
      </c>
      <c r="H20" s="714"/>
      <c r="I20" s="714"/>
    </row>
    <row r="21" spans="2:9" ht="15.75">
      <c r="B21" s="714"/>
      <c r="C21" s="714"/>
      <c r="D21" s="714"/>
      <c r="E21" s="719">
        <v>0</v>
      </c>
      <c r="F21" s="714"/>
      <c r="G21" s="719">
        <v>0</v>
      </c>
      <c r="H21" s="714"/>
      <c r="I21" s="714"/>
    </row>
    <row r="22" spans="2:9" ht="15.75">
      <c r="B22" s="714" t="s">
        <v>781</v>
      </c>
      <c r="C22" s="714"/>
      <c r="D22" s="714"/>
      <c r="E22" s="720">
        <f>SUM(E15:E21)</f>
        <v>500</v>
      </c>
      <c r="F22" s="714"/>
      <c r="G22" s="720">
        <f>SUM(G15:G21)</f>
        <v>0</v>
      </c>
      <c r="H22" s="714"/>
      <c r="I22" s="714"/>
    </row>
    <row r="23" spans="2:9" ht="15.75">
      <c r="B23" s="714" t="s">
        <v>782</v>
      </c>
      <c r="C23" s="714"/>
      <c r="D23" s="714"/>
      <c r="E23" s="721">
        <f>G22-E22</f>
        <v>-500</v>
      </c>
      <c r="F23" s="714"/>
      <c r="G23" s="722"/>
      <c r="H23" s="714"/>
      <c r="I23" s="714"/>
    </row>
    <row r="24" spans="2:9" ht="15.75">
      <c r="B24" s="714" t="s">
        <v>783</v>
      </c>
      <c r="C24" s="714"/>
      <c r="D24" s="723" t="str">
        <f>IF((G22-E22)&gt;0,"Qualify","Not Qualify")</f>
        <v>Not Qualify</v>
      </c>
      <c r="E24" s="714"/>
      <c r="F24" s="714"/>
      <c r="G24" s="714"/>
      <c r="H24" s="714"/>
      <c r="I24" s="714"/>
    </row>
    <row r="25" spans="2:9" ht="15.75">
      <c r="B25" s="714"/>
      <c r="C25" s="714"/>
      <c r="D25" s="714"/>
      <c r="E25" s="714"/>
      <c r="F25" s="714"/>
      <c r="G25" s="714"/>
      <c r="H25" s="714"/>
      <c r="I25" s="714"/>
    </row>
    <row r="26" spans="2:9" ht="15.75">
      <c r="B26" s="716" t="s">
        <v>784</v>
      </c>
      <c r="C26" s="714"/>
      <c r="D26" s="714"/>
      <c r="E26" s="714"/>
      <c r="F26" s="714"/>
      <c r="G26" s="714"/>
      <c r="H26" s="714"/>
      <c r="I26" s="714"/>
    </row>
    <row r="27" spans="2:9" ht="15.75">
      <c r="B27" s="714" t="s">
        <v>785</v>
      </c>
      <c r="C27" s="714"/>
      <c r="D27" s="714"/>
      <c r="E27" s="719">
        <f>summ!D59</f>
        <v>23005714</v>
      </c>
      <c r="F27" s="714"/>
      <c r="G27" s="719">
        <f>summ!F59</f>
        <v>22729900</v>
      </c>
      <c r="H27" s="714"/>
      <c r="I27" s="714"/>
    </row>
    <row r="28" spans="2:9" ht="15.75">
      <c r="B28" s="714" t="s">
        <v>786</v>
      </c>
      <c r="C28" s="714"/>
      <c r="D28" s="714"/>
      <c r="E28" s="724" t="str">
        <f>IF(G27-E27&gt;=0,"No","Yes")</f>
        <v>Yes</v>
      </c>
      <c r="F28" s="714"/>
      <c r="G28" s="714"/>
      <c r="H28" s="714"/>
      <c r="I28" s="714"/>
    </row>
    <row r="29" spans="2:9" ht="15.75">
      <c r="B29" s="714" t="s">
        <v>787</v>
      </c>
      <c r="C29" s="714"/>
      <c r="D29" s="714"/>
      <c r="E29" s="717" t="str">
        <f>summ!E17</f>
        <v xml:space="preserve">  </v>
      </c>
      <c r="F29" s="714"/>
      <c r="G29" s="725" t="str">
        <f>summ!H17</f>
        <v/>
      </c>
      <c r="H29" s="714"/>
      <c r="I29" s="714"/>
    </row>
    <row r="30" spans="2:9" ht="15.75">
      <c r="B30" s="714" t="s">
        <v>788</v>
      </c>
      <c r="C30" s="714"/>
      <c r="D30" s="714"/>
      <c r="E30" s="726" t="e">
        <f>G29-E29</f>
        <v>#VALUE!</v>
      </c>
      <c r="F30" s="714"/>
      <c r="G30" s="714"/>
      <c r="H30" s="714"/>
      <c r="I30" s="714"/>
    </row>
    <row r="31" spans="2:9" ht="15.75">
      <c r="B31" s="714" t="s">
        <v>783</v>
      </c>
      <c r="C31" s="714"/>
      <c r="D31" s="727" t="e">
        <f>IF(E30&gt;=0,"Qualify","Not Qualify")</f>
        <v>#VALUE!</v>
      </c>
      <c r="E31" s="714"/>
      <c r="F31" s="714"/>
      <c r="G31" s="714"/>
      <c r="H31" s="714"/>
      <c r="I31" s="714"/>
    </row>
    <row r="32" spans="2:9" ht="15.75">
      <c r="B32" s="714"/>
      <c r="C32" s="714"/>
      <c r="D32" s="714"/>
      <c r="E32" s="714"/>
      <c r="F32" s="714"/>
      <c r="G32" s="714"/>
      <c r="H32" s="714"/>
      <c r="I32" s="714"/>
    </row>
    <row r="33" spans="2:9" ht="15.75">
      <c r="B33" s="714" t="s">
        <v>789</v>
      </c>
      <c r="C33" s="714"/>
      <c r="D33" s="714"/>
      <c r="E33" s="714"/>
      <c r="F33" s="728" t="e">
        <f>IF(D24="Not Qualify",IF(D31="Not Qualify",IF(D31="Not Qualify","Not Qualify","Qualify"),"Qualify"),"Qualify")</f>
        <v>#VALUE!</v>
      </c>
      <c r="G33" s="714"/>
      <c r="H33" s="714"/>
      <c r="I33" s="714"/>
    </row>
    <row r="34" spans="2:9" ht="15.75">
      <c r="B34" s="714"/>
      <c r="C34" s="714"/>
      <c r="D34" s="714"/>
      <c r="E34" s="714"/>
      <c r="F34" s="714"/>
      <c r="G34" s="714"/>
      <c r="H34" s="714"/>
      <c r="I34" s="714"/>
    </row>
    <row r="35" spans="2:9" ht="15.75">
      <c r="B35" s="714"/>
      <c r="C35" s="714"/>
      <c r="D35" s="714"/>
      <c r="E35" s="714"/>
      <c r="F35" s="714"/>
      <c r="G35" s="714"/>
      <c r="H35" s="714"/>
      <c r="I35" s="714"/>
    </row>
    <row r="36" spans="2:9" ht="37.5" customHeight="1">
      <c r="B36" s="956" t="s">
        <v>790</v>
      </c>
      <c r="C36" s="956"/>
      <c r="D36" s="956"/>
      <c r="E36" s="956"/>
      <c r="F36" s="956"/>
      <c r="G36" s="956"/>
      <c r="H36" s="956"/>
      <c r="I36" s="956"/>
    </row>
    <row r="37" spans="2:9" ht="15.75">
      <c r="B37" s="714"/>
      <c r="C37" s="714"/>
      <c r="D37" s="714"/>
      <c r="E37" s="714"/>
      <c r="F37" s="714"/>
      <c r="G37" s="714"/>
      <c r="H37" s="714"/>
      <c r="I37" s="714"/>
    </row>
    <row r="38" spans="2:9" ht="15.75">
      <c r="B38" s="714"/>
      <c r="C38" s="714"/>
      <c r="D38" s="714"/>
      <c r="E38" s="714"/>
      <c r="F38" s="714"/>
      <c r="G38" s="714"/>
      <c r="H38" s="714"/>
      <c r="I38" s="714"/>
    </row>
    <row r="39" spans="2:9" ht="15.75">
      <c r="B39" s="714"/>
      <c r="C39" s="714"/>
      <c r="D39" s="714"/>
      <c r="E39" s="714"/>
      <c r="F39" s="714"/>
      <c r="G39" s="714"/>
      <c r="H39" s="714"/>
      <c r="I39" s="714"/>
    </row>
    <row r="40" spans="2:9" ht="15.75">
      <c r="B40" s="714"/>
      <c r="C40" s="714"/>
      <c r="D40" s="714"/>
      <c r="E40" s="729" t="s">
        <v>89</v>
      </c>
      <c r="F40" s="730">
        <v>7</v>
      </c>
      <c r="G40" s="714"/>
      <c r="H40" s="714"/>
      <c r="I40" s="714"/>
    </row>
    <row r="41" spans="2:9" ht="15.75">
      <c r="B41" s="714"/>
      <c r="C41" s="714"/>
      <c r="D41" s="714"/>
      <c r="E41" s="714"/>
      <c r="F41" s="714"/>
      <c r="G41" s="714"/>
      <c r="H41" s="714"/>
      <c r="I41" s="714"/>
    </row>
    <row r="42" spans="2:9" ht="15.75">
      <c r="B42" s="714"/>
      <c r="C42" s="714"/>
      <c r="D42" s="714"/>
      <c r="E42" s="714"/>
      <c r="F42" s="714"/>
      <c r="G42" s="714"/>
      <c r="H42" s="714"/>
      <c r="I42" s="714"/>
    </row>
    <row r="43" spans="2:9" ht="15.75">
      <c r="B43" s="952" t="s">
        <v>791</v>
      </c>
      <c r="C43" s="953"/>
      <c r="D43" s="953"/>
      <c r="E43" s="953"/>
      <c r="F43" s="953"/>
      <c r="G43" s="953"/>
      <c r="H43" s="953"/>
      <c r="I43" s="953"/>
    </row>
    <row r="44" spans="2:9" ht="15.75">
      <c r="B44" s="714"/>
      <c r="C44" s="714"/>
      <c r="D44" s="714"/>
      <c r="E44" s="714"/>
      <c r="F44" s="714"/>
      <c r="G44" s="714"/>
      <c r="H44" s="714"/>
      <c r="I44" s="714"/>
    </row>
    <row r="45" spans="2:9" ht="15.75">
      <c r="B45" s="731" t="s">
        <v>792</v>
      </c>
      <c r="C45" s="714"/>
      <c r="D45" s="714"/>
      <c r="E45" s="714"/>
      <c r="F45" s="714"/>
      <c r="G45" s="714"/>
      <c r="H45" s="714"/>
      <c r="I45" s="714"/>
    </row>
    <row r="46" spans="2:9" ht="15.75">
      <c r="B46" s="731" t="str">
        <f>CONCATENATE("sources in your ",G14," library fund is not equal to or greater than the amount from the same")</f>
        <v>sources in your 2013 library fund is not equal to or greater than the amount from the same</v>
      </c>
      <c r="C46" s="714"/>
      <c r="D46" s="714"/>
      <c r="E46" s="714"/>
      <c r="F46" s="714"/>
      <c r="G46" s="714"/>
      <c r="H46" s="714"/>
      <c r="I46" s="714"/>
    </row>
    <row r="47" spans="2:9" ht="15.75">
      <c r="B47" s="731" t="str">
        <f>CONCATENATE("sources in ",E14,".")</f>
        <v>sources in 2012.</v>
      </c>
      <c r="C47" s="712"/>
      <c r="D47" s="712"/>
      <c r="E47" s="712"/>
      <c r="F47" s="712"/>
      <c r="G47" s="712"/>
      <c r="H47" s="712"/>
      <c r="I47" s="712"/>
    </row>
    <row r="48" spans="2:9" ht="15.75">
      <c r="B48" s="712"/>
      <c r="C48" s="712"/>
      <c r="D48" s="712"/>
      <c r="E48" s="712"/>
      <c r="F48" s="712"/>
      <c r="G48" s="712"/>
      <c r="H48" s="712"/>
      <c r="I48" s="712"/>
    </row>
    <row r="49" spans="2:9" ht="15.75">
      <c r="B49" s="731" t="s">
        <v>793</v>
      </c>
      <c r="C49" s="731"/>
      <c r="D49" s="732"/>
      <c r="E49" s="732"/>
      <c r="F49" s="732"/>
      <c r="G49" s="732"/>
      <c r="H49" s="732"/>
      <c r="I49" s="732"/>
    </row>
    <row r="50" spans="2:9" ht="15.75">
      <c r="B50" s="731" t="s">
        <v>794</v>
      </c>
      <c r="C50" s="731"/>
      <c r="D50" s="732"/>
      <c r="E50" s="732"/>
      <c r="F50" s="732"/>
      <c r="G50" s="732"/>
      <c r="H50" s="732"/>
      <c r="I50" s="732"/>
    </row>
    <row r="51" spans="2:9" ht="15.75">
      <c r="B51" s="731" t="s">
        <v>795</v>
      </c>
      <c r="C51" s="731"/>
      <c r="D51" s="732"/>
      <c r="E51" s="732"/>
      <c r="F51" s="732"/>
      <c r="G51" s="732"/>
      <c r="H51" s="732"/>
      <c r="I51" s="732"/>
    </row>
    <row r="52" spans="2:9">
      <c r="B52" s="732"/>
      <c r="C52" s="732"/>
      <c r="D52" s="732"/>
      <c r="E52" s="732"/>
      <c r="F52" s="732"/>
      <c r="G52" s="732"/>
      <c r="H52" s="732"/>
      <c r="I52" s="732"/>
    </row>
    <row r="53" spans="2:9" ht="15.75">
      <c r="B53" s="733" t="s">
        <v>796</v>
      </c>
      <c r="C53" s="732"/>
      <c r="D53" s="732"/>
      <c r="E53" s="732"/>
      <c r="F53" s="732"/>
      <c r="G53" s="732"/>
      <c r="H53" s="732"/>
      <c r="I53" s="732"/>
    </row>
    <row r="54" spans="2:9">
      <c r="B54" s="732"/>
      <c r="C54" s="732"/>
      <c r="D54" s="732"/>
      <c r="E54" s="732"/>
      <c r="F54" s="732"/>
      <c r="G54" s="732"/>
      <c r="H54" s="732"/>
      <c r="I54" s="732"/>
    </row>
    <row r="55" spans="2:9" ht="15.75">
      <c r="B55" s="731" t="s">
        <v>797</v>
      </c>
      <c r="C55" s="732"/>
      <c r="D55" s="732"/>
      <c r="E55" s="732"/>
      <c r="F55" s="732"/>
      <c r="G55" s="732"/>
      <c r="H55" s="732"/>
      <c r="I55" s="732"/>
    </row>
    <row r="56" spans="2:9" ht="15.75">
      <c r="B56" s="731" t="s">
        <v>798</v>
      </c>
      <c r="C56" s="732"/>
      <c r="D56" s="732"/>
      <c r="E56" s="732"/>
      <c r="F56" s="732"/>
      <c r="G56" s="732"/>
      <c r="H56" s="732"/>
      <c r="I56" s="732"/>
    </row>
    <row r="57" spans="2:9">
      <c r="B57" s="732"/>
      <c r="C57" s="732"/>
      <c r="D57" s="732"/>
      <c r="E57" s="732"/>
      <c r="F57" s="732"/>
      <c r="G57" s="732"/>
      <c r="H57" s="732"/>
      <c r="I57" s="732"/>
    </row>
    <row r="58" spans="2:9" ht="15.75">
      <c r="B58" s="733" t="s">
        <v>799</v>
      </c>
      <c r="C58" s="731"/>
      <c r="D58" s="731"/>
      <c r="E58" s="731"/>
      <c r="F58" s="731"/>
      <c r="G58" s="732"/>
      <c r="H58" s="732"/>
      <c r="I58" s="732"/>
    </row>
    <row r="59" spans="2:9" ht="15.75">
      <c r="B59" s="731"/>
      <c r="C59" s="731"/>
      <c r="D59" s="731"/>
      <c r="E59" s="731"/>
      <c r="F59" s="731"/>
      <c r="G59" s="732"/>
      <c r="H59" s="732"/>
      <c r="I59" s="732"/>
    </row>
    <row r="60" spans="2:9" ht="15.75">
      <c r="B60" s="731" t="s">
        <v>800</v>
      </c>
      <c r="C60" s="731"/>
      <c r="D60" s="731"/>
      <c r="E60" s="731"/>
      <c r="F60" s="731"/>
      <c r="G60" s="732"/>
      <c r="H60" s="732"/>
      <c r="I60" s="732"/>
    </row>
    <row r="61" spans="2:9" ht="15.75">
      <c r="B61" s="731" t="s">
        <v>801</v>
      </c>
      <c r="C61" s="731"/>
      <c r="D61" s="731"/>
      <c r="E61" s="731"/>
      <c r="F61" s="731"/>
      <c r="G61" s="732"/>
      <c r="H61" s="732"/>
      <c r="I61" s="732"/>
    </row>
    <row r="62" spans="2:9" ht="15.75">
      <c r="B62" s="731" t="s">
        <v>802</v>
      </c>
      <c r="C62" s="731"/>
      <c r="D62" s="731"/>
      <c r="E62" s="731"/>
      <c r="F62" s="731"/>
      <c r="G62" s="732"/>
      <c r="H62" s="732"/>
      <c r="I62" s="732"/>
    </row>
    <row r="63" spans="2:9" ht="15.75">
      <c r="B63" s="731" t="s">
        <v>803</v>
      </c>
      <c r="C63" s="731"/>
      <c r="D63" s="731"/>
      <c r="E63" s="731"/>
      <c r="F63" s="731"/>
      <c r="G63" s="732"/>
      <c r="H63" s="732"/>
      <c r="I63" s="732"/>
    </row>
    <row r="64" spans="2:9">
      <c r="B64" s="734"/>
      <c r="C64" s="734"/>
      <c r="D64" s="734"/>
      <c r="E64" s="734"/>
      <c r="F64" s="734"/>
      <c r="G64" s="732"/>
      <c r="H64" s="732"/>
      <c r="I64" s="732"/>
    </row>
    <row r="65" spans="2:9" ht="15.75">
      <c r="B65" s="731" t="s">
        <v>804</v>
      </c>
      <c r="C65" s="734"/>
      <c r="D65" s="734"/>
      <c r="E65" s="734"/>
      <c r="F65" s="734"/>
      <c r="G65" s="732"/>
      <c r="H65" s="732"/>
      <c r="I65" s="732"/>
    </row>
    <row r="66" spans="2:9" ht="15.75">
      <c r="B66" s="731" t="s">
        <v>805</v>
      </c>
      <c r="C66" s="734"/>
      <c r="D66" s="734"/>
      <c r="E66" s="734"/>
      <c r="F66" s="734"/>
      <c r="G66" s="732"/>
      <c r="H66" s="732"/>
      <c r="I66" s="732"/>
    </row>
    <row r="67" spans="2:9">
      <c r="B67" s="734"/>
      <c r="C67" s="734"/>
      <c r="D67" s="734"/>
      <c r="E67" s="734"/>
      <c r="F67" s="734"/>
      <c r="G67" s="732"/>
      <c r="H67" s="732"/>
      <c r="I67" s="732"/>
    </row>
    <row r="68" spans="2:9" ht="15.75">
      <c r="B68" s="731" t="s">
        <v>806</v>
      </c>
      <c r="C68" s="734"/>
      <c r="D68" s="734"/>
      <c r="E68" s="734"/>
      <c r="F68" s="734"/>
      <c r="G68" s="732"/>
      <c r="H68" s="732"/>
      <c r="I68" s="732"/>
    </row>
    <row r="69" spans="2:9" ht="15.75">
      <c r="B69" s="731" t="s">
        <v>807</v>
      </c>
      <c r="C69" s="734"/>
      <c r="D69" s="734"/>
      <c r="E69" s="734"/>
      <c r="F69" s="734"/>
      <c r="G69" s="732"/>
      <c r="H69" s="732"/>
      <c r="I69" s="732"/>
    </row>
    <row r="70" spans="2:9">
      <c r="B70" s="734"/>
      <c r="C70" s="734"/>
      <c r="D70" s="734"/>
      <c r="E70" s="734"/>
      <c r="F70" s="734"/>
      <c r="G70" s="732"/>
      <c r="H70" s="732"/>
      <c r="I70" s="732"/>
    </row>
    <row r="71" spans="2:9" ht="15.75">
      <c r="B71" s="733" t="s">
        <v>808</v>
      </c>
      <c r="C71" s="734"/>
      <c r="D71" s="734"/>
      <c r="E71" s="734"/>
      <c r="F71" s="734"/>
      <c r="G71" s="732"/>
      <c r="H71" s="732"/>
      <c r="I71" s="732"/>
    </row>
    <row r="72" spans="2:9">
      <c r="B72" s="734"/>
      <c r="C72" s="734"/>
      <c r="D72" s="734"/>
      <c r="E72" s="734"/>
      <c r="F72" s="734"/>
      <c r="G72" s="732"/>
      <c r="H72" s="732"/>
      <c r="I72" s="732"/>
    </row>
    <row r="73" spans="2:9" ht="15.75">
      <c r="B73" s="731" t="s">
        <v>809</v>
      </c>
      <c r="C73" s="734"/>
      <c r="D73" s="734"/>
      <c r="E73" s="734"/>
      <c r="F73" s="734"/>
      <c r="G73" s="732"/>
      <c r="H73" s="732"/>
      <c r="I73" s="732"/>
    </row>
    <row r="74" spans="2:9" ht="15.75">
      <c r="B74" s="731" t="s">
        <v>810</v>
      </c>
      <c r="C74" s="734"/>
      <c r="D74" s="734"/>
      <c r="E74" s="734"/>
      <c r="F74" s="734"/>
      <c r="G74" s="732"/>
      <c r="H74" s="732"/>
      <c r="I74" s="732"/>
    </row>
    <row r="75" spans="2:9">
      <c r="B75" s="734"/>
      <c r="C75" s="734"/>
      <c r="D75" s="734"/>
      <c r="E75" s="734"/>
      <c r="F75" s="734"/>
      <c r="G75" s="732"/>
      <c r="H75" s="732"/>
      <c r="I75" s="732"/>
    </row>
    <row r="76" spans="2:9" ht="15.75">
      <c r="B76" s="733" t="s">
        <v>811</v>
      </c>
      <c r="C76" s="734"/>
      <c r="D76" s="734"/>
      <c r="E76" s="734"/>
      <c r="F76" s="734"/>
      <c r="G76" s="732"/>
      <c r="H76" s="732"/>
      <c r="I76" s="732"/>
    </row>
    <row r="77" spans="2:9">
      <c r="B77" s="734"/>
      <c r="C77" s="734"/>
      <c r="D77" s="734"/>
      <c r="E77" s="734"/>
      <c r="F77" s="734"/>
      <c r="G77" s="732"/>
      <c r="H77" s="732"/>
      <c r="I77" s="732"/>
    </row>
    <row r="78" spans="2:9" ht="15.75">
      <c r="B78" s="731" t="str">
        <f>CONCATENATE("If the ",G14," municipal budget has not been published and has not been submitted to the County")</f>
        <v>If the 2013 municipal budget has not been published and has not been submitted to the County</v>
      </c>
      <c r="C78" s="734"/>
      <c r="D78" s="734"/>
      <c r="E78" s="734"/>
      <c r="F78" s="734"/>
      <c r="G78" s="732"/>
      <c r="H78" s="732"/>
      <c r="I78" s="732"/>
    </row>
    <row r="79" spans="2:9" ht="15.75">
      <c r="B79" s="731" t="s">
        <v>812</v>
      </c>
      <c r="C79" s="734"/>
      <c r="D79" s="734"/>
      <c r="E79" s="734"/>
      <c r="F79" s="734"/>
      <c r="G79" s="732"/>
      <c r="H79" s="732"/>
      <c r="I79" s="732"/>
    </row>
    <row r="80" spans="2:9">
      <c r="B80" s="734"/>
      <c r="C80" s="734"/>
      <c r="D80" s="734"/>
      <c r="E80" s="734"/>
      <c r="F80" s="734"/>
      <c r="G80" s="732"/>
      <c r="H80" s="732"/>
      <c r="I80" s="732"/>
    </row>
    <row r="81" spans="2:9" ht="15.75">
      <c r="B81" s="733" t="s">
        <v>412</v>
      </c>
      <c r="C81" s="734"/>
      <c r="D81" s="734"/>
      <c r="E81" s="734"/>
      <c r="F81" s="734"/>
      <c r="G81" s="732"/>
      <c r="H81" s="732"/>
      <c r="I81" s="732"/>
    </row>
    <row r="82" spans="2:9">
      <c r="B82" s="734"/>
      <c r="C82" s="734"/>
      <c r="D82" s="734"/>
      <c r="E82" s="734"/>
      <c r="F82" s="734"/>
      <c r="G82" s="732"/>
      <c r="H82" s="732"/>
      <c r="I82" s="732"/>
    </row>
    <row r="83" spans="2:9" ht="15.75">
      <c r="B83" s="731" t="s">
        <v>813</v>
      </c>
      <c r="C83" s="734"/>
      <c r="D83" s="734"/>
      <c r="E83" s="734"/>
      <c r="F83" s="734"/>
      <c r="G83" s="732"/>
      <c r="H83" s="732"/>
      <c r="I83" s="732"/>
    </row>
    <row r="84" spans="2:9" ht="15.75">
      <c r="B84" s="731" t="str">
        <f>CONCATENATE("Budget Year ",G14," is equal to or greater than that for Current Year Estimate ",E14,".")</f>
        <v>Budget Year 2013 is equal to or greater than that for Current Year Estimate 2012.</v>
      </c>
      <c r="C84" s="734"/>
      <c r="D84" s="734"/>
      <c r="E84" s="734"/>
      <c r="F84" s="734"/>
      <c r="G84" s="732"/>
      <c r="H84" s="732"/>
      <c r="I84" s="732"/>
    </row>
    <row r="85" spans="2:9">
      <c r="B85" s="734"/>
      <c r="C85" s="734"/>
      <c r="D85" s="734"/>
      <c r="E85" s="734"/>
      <c r="F85" s="734"/>
      <c r="G85" s="732"/>
      <c r="H85" s="732"/>
      <c r="I85" s="732"/>
    </row>
    <row r="86" spans="2:9" ht="15.75">
      <c r="B86" s="731" t="s">
        <v>814</v>
      </c>
      <c r="C86" s="734"/>
      <c r="D86" s="734"/>
      <c r="E86" s="734"/>
      <c r="F86" s="734"/>
      <c r="G86" s="732"/>
      <c r="H86" s="732"/>
      <c r="I86" s="732"/>
    </row>
    <row r="87" spans="2:9" ht="15.75">
      <c r="B87" s="731" t="s">
        <v>815</v>
      </c>
      <c r="C87" s="734"/>
      <c r="D87" s="734"/>
      <c r="E87" s="734"/>
      <c r="F87" s="734"/>
      <c r="G87" s="732"/>
      <c r="H87" s="732"/>
      <c r="I87" s="732"/>
    </row>
    <row r="88" spans="2:9" ht="15.75">
      <c r="B88" s="731" t="s">
        <v>816</v>
      </c>
      <c r="C88" s="734"/>
      <c r="D88" s="734"/>
      <c r="E88" s="734"/>
      <c r="F88" s="734"/>
      <c r="G88" s="732"/>
      <c r="H88" s="732"/>
      <c r="I88" s="732"/>
    </row>
    <row r="89" spans="2:9" ht="15.75">
      <c r="B89" s="731" t="str">
        <f>CONCATENATE("purpose for the previous (",E14,") year.")</f>
        <v>purpose for the previous (2012) year.</v>
      </c>
      <c r="C89" s="734"/>
      <c r="D89" s="734"/>
      <c r="E89" s="734"/>
      <c r="F89" s="734"/>
      <c r="G89" s="732"/>
      <c r="H89" s="732"/>
      <c r="I89" s="732"/>
    </row>
    <row r="90" spans="2:9">
      <c r="B90" s="734"/>
      <c r="C90" s="734"/>
      <c r="D90" s="734"/>
      <c r="E90" s="734"/>
      <c r="F90" s="734"/>
      <c r="G90" s="732"/>
      <c r="H90" s="732"/>
      <c r="I90" s="732"/>
    </row>
    <row r="91" spans="2:9" ht="15.75">
      <c r="B91" s="731" t="str">
        <f>CONCATENATE("Next, look to see if delinquent tax for ",G14," is budgeted. Often this line is budgeted at $0 or left")</f>
        <v>Next, look to see if delinquent tax for 2013 is budgeted. Often this line is budgeted at $0 or left</v>
      </c>
      <c r="C91" s="734"/>
      <c r="D91" s="734"/>
      <c r="E91" s="734"/>
      <c r="F91" s="734"/>
      <c r="G91" s="732"/>
      <c r="H91" s="732"/>
      <c r="I91" s="732"/>
    </row>
    <row r="92" spans="2:9" ht="15.75">
      <c r="B92" s="731" t="s">
        <v>817</v>
      </c>
      <c r="C92" s="734"/>
      <c r="D92" s="734"/>
      <c r="E92" s="734"/>
      <c r="F92" s="734"/>
      <c r="G92" s="732"/>
      <c r="H92" s="732"/>
      <c r="I92" s="732"/>
    </row>
    <row r="93" spans="2:9" ht="15.75">
      <c r="B93" s="731" t="s">
        <v>818</v>
      </c>
      <c r="C93" s="734"/>
      <c r="D93" s="734"/>
      <c r="E93" s="734"/>
      <c r="F93" s="734"/>
      <c r="G93" s="732"/>
      <c r="H93" s="732"/>
      <c r="I93" s="732"/>
    </row>
    <row r="94" spans="2:9" ht="15.75">
      <c r="B94" s="731" t="s">
        <v>819</v>
      </c>
      <c r="C94" s="734"/>
      <c r="D94" s="734"/>
      <c r="E94" s="734"/>
      <c r="F94" s="734"/>
      <c r="G94" s="732"/>
      <c r="H94" s="732"/>
      <c r="I94" s="732"/>
    </row>
    <row r="95" spans="2:9">
      <c r="B95" s="734"/>
      <c r="C95" s="734"/>
      <c r="D95" s="734"/>
      <c r="E95" s="734"/>
      <c r="F95" s="734"/>
      <c r="G95" s="732"/>
      <c r="H95" s="732"/>
      <c r="I95" s="732"/>
    </row>
    <row r="96" spans="2:9" ht="15.75">
      <c r="B96" s="733" t="s">
        <v>820</v>
      </c>
      <c r="C96" s="734"/>
      <c r="D96" s="734"/>
      <c r="E96" s="734"/>
      <c r="F96" s="734"/>
      <c r="G96" s="732"/>
      <c r="H96" s="732"/>
      <c r="I96" s="732"/>
    </row>
    <row r="97" spans="2:9">
      <c r="B97" s="734"/>
      <c r="C97" s="734"/>
      <c r="D97" s="734"/>
      <c r="E97" s="734"/>
      <c r="F97" s="734"/>
      <c r="G97" s="732"/>
      <c r="H97" s="732"/>
      <c r="I97" s="732"/>
    </row>
    <row r="98" spans="2:9" ht="15.75">
      <c r="B98" s="731" t="s">
        <v>821</v>
      </c>
      <c r="C98" s="734"/>
      <c r="D98" s="734"/>
      <c r="E98" s="734"/>
      <c r="F98" s="734"/>
      <c r="G98" s="732"/>
      <c r="H98" s="732"/>
      <c r="I98" s="732"/>
    </row>
    <row r="99" spans="2:9" ht="15.75">
      <c r="B99" s="731" t="s">
        <v>822</v>
      </c>
      <c r="C99" s="734"/>
      <c r="D99" s="734"/>
      <c r="E99" s="734"/>
      <c r="F99" s="734"/>
      <c r="G99" s="732"/>
      <c r="H99" s="732"/>
      <c r="I99" s="732"/>
    </row>
    <row r="100" spans="2:9">
      <c r="B100" s="734"/>
      <c r="C100" s="734"/>
      <c r="D100" s="734"/>
      <c r="E100" s="734"/>
      <c r="F100" s="734"/>
      <c r="G100" s="732"/>
      <c r="H100" s="732"/>
      <c r="I100" s="732"/>
    </row>
    <row r="101" spans="2:9" ht="15.75">
      <c r="B101" s="731" t="s">
        <v>823</v>
      </c>
      <c r="C101" s="734"/>
      <c r="D101" s="734"/>
      <c r="E101" s="734"/>
      <c r="F101" s="734"/>
      <c r="G101" s="732"/>
      <c r="H101" s="732"/>
      <c r="I101" s="732"/>
    </row>
    <row r="102" spans="2:9" ht="15.75">
      <c r="B102" s="731" t="s">
        <v>824</v>
      </c>
      <c r="C102" s="734"/>
      <c r="D102" s="734"/>
      <c r="E102" s="734"/>
      <c r="F102" s="734"/>
      <c r="G102" s="732"/>
      <c r="H102" s="732"/>
      <c r="I102" s="732"/>
    </row>
    <row r="103" spans="2:9" ht="15.75">
      <c r="B103" s="731" t="s">
        <v>851</v>
      </c>
      <c r="C103" s="734"/>
      <c r="D103" s="734"/>
      <c r="E103" s="734"/>
      <c r="F103" s="734"/>
      <c r="G103" s="732"/>
      <c r="H103" s="732"/>
      <c r="I103" s="732"/>
    </row>
    <row r="104" spans="2:9" ht="15.75">
      <c r="B104" s="731" t="s">
        <v>852</v>
      </c>
      <c r="C104" s="734"/>
      <c r="D104" s="734"/>
      <c r="E104" s="734"/>
      <c r="F104" s="734"/>
      <c r="G104" s="732"/>
      <c r="H104" s="732"/>
      <c r="I104" s="732"/>
    </row>
    <row r="105" spans="2:9" ht="15.75">
      <c r="B105" s="886" t="s">
        <v>952</v>
      </c>
      <c r="C105" s="887"/>
      <c r="D105" s="887"/>
      <c r="E105" s="887"/>
      <c r="F105" s="887"/>
      <c r="G105" s="732"/>
      <c r="H105" s="732"/>
      <c r="I105" s="732"/>
    </row>
    <row r="108" spans="2:9">
      <c r="G108" s="735"/>
    </row>
  </sheetData>
  <sheetProtection sheet="1"/>
  <mergeCells count="6">
    <mergeCell ref="B43:I43"/>
    <mergeCell ref="B2:I2"/>
    <mergeCell ref="B3:I3"/>
    <mergeCell ref="B5:I5"/>
    <mergeCell ref="B10:I10"/>
    <mergeCell ref="B36:I36"/>
  </mergeCells>
  <phoneticPr fontId="0" type="noConversion"/>
  <hyperlinks>
    <hyperlink ref="B105" r:id="rId1" display="mailto:peter.haxton@library.ks.gov"/>
  </hyperlinks>
  <printOptions horizontalCentered="1"/>
  <pageMargins left="0.5" right="0.5" top="0.5" bottom="0.5" header="0.3" footer="0.3"/>
  <pageSetup scale="95" orientation="portrait" blackAndWhite="1" r:id="rId2"/>
  <headerFooter alignWithMargins="0"/>
  <rowBreaks count="1" manualBreakCount="1">
    <brk id="40" max="16383" man="1"/>
  </rowBreaks>
</worksheet>
</file>

<file path=xl/worksheets/sheet13.xml><?xml version="1.0" encoding="utf-8"?>
<worksheet xmlns="http://schemas.openxmlformats.org/spreadsheetml/2006/main" xmlns:r="http://schemas.openxmlformats.org/officeDocument/2006/relationships">
  <dimension ref="B1:K118"/>
  <sheetViews>
    <sheetView topLeftCell="A21" zoomScaleNormal="100" zoomScaleSheetLayoutView="85" workbookViewId="0">
      <selection activeCell="G40" sqref="G40"/>
    </sheetView>
  </sheetViews>
  <sheetFormatPr defaultRowHeight="15.75"/>
  <cols>
    <col min="1" max="1" width="2.44140625" style="34" customWidth="1"/>
    <col min="2" max="2" width="31.109375" style="34" customWidth="1"/>
    <col min="3" max="4" width="15.77734375" style="34" customWidth="1"/>
    <col min="5" max="5" width="16.3320312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c r="B1" s="188" t="str">
        <f>inputPrYr!D2</f>
        <v>City of Osawatomie</v>
      </c>
      <c r="C1" s="36"/>
      <c r="D1" s="36"/>
      <c r="E1" s="238">
        <f>inputPrYr!C5</f>
        <v>2013</v>
      </c>
    </row>
    <row r="2" spans="2:5">
      <c r="B2" s="36"/>
      <c r="C2" s="36"/>
      <c r="D2" s="36"/>
      <c r="E2" s="160"/>
    </row>
    <row r="3" spans="2:5">
      <c r="B3" s="239"/>
      <c r="C3" s="36"/>
      <c r="D3" s="36"/>
      <c r="E3" s="127"/>
    </row>
    <row r="4" spans="2:5">
      <c r="B4" s="385" t="s">
        <v>145</v>
      </c>
      <c r="C4" s="240"/>
      <c r="D4" s="240"/>
      <c r="E4" s="240"/>
    </row>
    <row r="5" spans="2:5">
      <c r="B5" s="162" t="s">
        <v>78</v>
      </c>
      <c r="C5" s="241" t="s">
        <v>770</v>
      </c>
      <c r="D5" s="242" t="s">
        <v>771</v>
      </c>
      <c r="E5" s="135" t="s">
        <v>772</v>
      </c>
    </row>
    <row r="6" spans="2:5">
      <c r="B6" s="542" t="str">
        <f>inputPrYr!B17</f>
        <v>General</v>
      </c>
      <c r="C6" s="369" t="str">
        <f>CONCATENATE("Actual for ",E1-2,"")</f>
        <v>Actual for 2011</v>
      </c>
      <c r="D6" s="369" t="str">
        <f>CONCATENATE("Estimate for ",E1-1,"")</f>
        <v>Estimate for 2012</v>
      </c>
      <c r="E6" s="243" t="str">
        <f>CONCATENATE("Year for ",E1,"")</f>
        <v>Year for 2013</v>
      </c>
    </row>
    <row r="7" spans="2:5">
      <c r="B7" s="244" t="s">
        <v>199</v>
      </c>
      <c r="C7" s="245">
        <v>25728</v>
      </c>
      <c r="D7" s="247">
        <f>C97</f>
        <v>30824.589000000618</v>
      </c>
      <c r="E7" s="218">
        <f>D97</f>
        <v>37971.806000000332</v>
      </c>
    </row>
    <row r="8" spans="2:5">
      <c r="B8" s="248" t="s">
        <v>201</v>
      </c>
      <c r="C8" s="150"/>
      <c r="D8" s="150"/>
      <c r="E8" s="76"/>
    </row>
    <row r="9" spans="2:5">
      <c r="B9" s="244" t="s">
        <v>79</v>
      </c>
      <c r="C9" s="249">
        <v>432233</v>
      </c>
      <c r="D9" s="247">
        <f>IF(inputPrYr!H16&gt;0,inputPrYr!G17,inputPrYr!E17)</f>
        <v>483643</v>
      </c>
      <c r="E9" s="251" t="s">
        <v>67</v>
      </c>
    </row>
    <row r="10" spans="2:5">
      <c r="B10" s="244" t="s">
        <v>80</v>
      </c>
      <c r="C10" s="249">
        <f>17886-1</f>
        <v>17885</v>
      </c>
      <c r="D10" s="249">
        <v>18000</v>
      </c>
      <c r="E10" s="252">
        <v>16000</v>
      </c>
    </row>
    <row r="11" spans="2:5">
      <c r="B11" s="244" t="s">
        <v>81</v>
      </c>
      <c r="C11" s="249">
        <v>50360</v>
      </c>
      <c r="D11" s="249">
        <v>47500</v>
      </c>
      <c r="E11" s="218">
        <f>mvalloc!D7</f>
        <v>49081.11</v>
      </c>
    </row>
    <row r="12" spans="2:5">
      <c r="B12" s="244" t="s">
        <v>82</v>
      </c>
      <c r="C12" s="249">
        <v>731</v>
      </c>
      <c r="D12" s="249">
        <v>708</v>
      </c>
      <c r="E12" s="218">
        <f>mvalloc!E7</f>
        <v>691.72</v>
      </c>
    </row>
    <row r="13" spans="2:5">
      <c r="B13" s="244" t="s">
        <v>177</v>
      </c>
      <c r="C13" s="249"/>
      <c r="D13" s="249"/>
      <c r="E13" s="218">
        <f>mvalloc!F7</f>
        <v>248.82000000000005</v>
      </c>
    </row>
    <row r="14" spans="2:5" hidden="1">
      <c r="B14" s="244" t="s">
        <v>178</v>
      </c>
      <c r="C14" s="249"/>
      <c r="D14" s="249"/>
      <c r="E14" s="218">
        <f>inputOth!E18</f>
        <v>0</v>
      </c>
    </row>
    <row r="15" spans="2:5" hidden="1">
      <c r="B15" s="244" t="s">
        <v>238</v>
      </c>
      <c r="C15" s="249"/>
      <c r="D15" s="249"/>
      <c r="E15" s="218">
        <f>inputOth!E45</f>
        <v>0</v>
      </c>
    </row>
    <row r="16" spans="2:5" hidden="1">
      <c r="B16" s="244" t="s">
        <v>239</v>
      </c>
      <c r="C16" s="249"/>
      <c r="D16" s="249"/>
      <c r="E16" s="218">
        <f>inputOth!E46</f>
        <v>0</v>
      </c>
    </row>
    <row r="17" spans="2:5" hidden="1">
      <c r="B17" s="245" t="s">
        <v>85</v>
      </c>
      <c r="C17" s="249"/>
      <c r="D17" s="249"/>
      <c r="E17" s="252"/>
    </row>
    <row r="18" spans="2:5">
      <c r="B18" s="245" t="s">
        <v>83</v>
      </c>
      <c r="C18" s="249">
        <v>3630</v>
      </c>
      <c r="D18" s="249">
        <v>4500</v>
      </c>
      <c r="E18" s="252">
        <v>3543.7550000000001</v>
      </c>
    </row>
    <row r="19" spans="2:5">
      <c r="B19" s="544" t="s">
        <v>1003</v>
      </c>
      <c r="C19" s="249">
        <v>241692</v>
      </c>
      <c r="D19" s="249">
        <v>241000</v>
      </c>
      <c r="E19" s="252">
        <v>243892</v>
      </c>
    </row>
    <row r="20" spans="2:5">
      <c r="B20" s="544" t="s">
        <v>1004</v>
      </c>
      <c r="C20" s="249">
        <v>307604</v>
      </c>
      <c r="D20" s="249">
        <v>307000</v>
      </c>
      <c r="E20" s="252">
        <v>310684</v>
      </c>
    </row>
    <row r="21" spans="2:5">
      <c r="B21" s="544" t="s">
        <v>731</v>
      </c>
      <c r="C21" s="249">
        <v>75716</v>
      </c>
      <c r="D21" s="249">
        <v>82700</v>
      </c>
      <c r="E21" s="252">
        <v>84354</v>
      </c>
    </row>
    <row r="22" spans="2:5">
      <c r="B22" s="543" t="s">
        <v>732</v>
      </c>
      <c r="C22" s="249">
        <v>156721</v>
      </c>
      <c r="D22" s="249">
        <v>118800</v>
      </c>
      <c r="E22" s="252">
        <v>122450</v>
      </c>
    </row>
    <row r="23" spans="2:5">
      <c r="B23" s="543" t="s">
        <v>733</v>
      </c>
      <c r="C23" s="249">
        <v>36554</v>
      </c>
      <c r="D23" s="249">
        <v>33500</v>
      </c>
      <c r="E23" s="252">
        <v>34580</v>
      </c>
    </row>
    <row r="24" spans="2:5">
      <c r="B24" s="245" t="s">
        <v>1005</v>
      </c>
      <c r="C24" s="249">
        <v>55826</v>
      </c>
      <c r="D24" s="249">
        <v>48500</v>
      </c>
      <c r="E24" s="252">
        <v>39900</v>
      </c>
    </row>
    <row r="25" spans="2:5">
      <c r="B25" s="245" t="s">
        <v>1006</v>
      </c>
      <c r="C25" s="249">
        <v>101608</v>
      </c>
      <c r="D25" s="249">
        <v>122000</v>
      </c>
      <c r="E25" s="252">
        <v>122000</v>
      </c>
    </row>
    <row r="26" spans="2:5">
      <c r="B26" s="245" t="s">
        <v>1008</v>
      </c>
      <c r="C26" s="249">
        <v>743800</v>
      </c>
      <c r="D26" s="249">
        <v>186000</v>
      </c>
      <c r="E26" s="252">
        <v>113000</v>
      </c>
    </row>
    <row r="27" spans="2:5">
      <c r="B27" s="245" t="s">
        <v>1009</v>
      </c>
      <c r="C27" s="249">
        <v>77900</v>
      </c>
      <c r="D27" s="249">
        <v>39000</v>
      </c>
      <c r="E27" s="252">
        <v>39000</v>
      </c>
    </row>
    <row r="28" spans="2:5" hidden="1">
      <c r="B28" s="245" t="s">
        <v>1010</v>
      </c>
      <c r="C28" s="249"/>
      <c r="D28" s="249"/>
      <c r="E28" s="252"/>
    </row>
    <row r="29" spans="2:5">
      <c r="B29" s="245" t="s">
        <v>1011</v>
      </c>
      <c r="C29" s="249"/>
      <c r="D29" s="249">
        <v>38000</v>
      </c>
      <c r="E29" s="252">
        <v>39000</v>
      </c>
    </row>
    <row r="30" spans="2:5">
      <c r="B30" s="245" t="s">
        <v>1012</v>
      </c>
      <c r="C30" s="249">
        <v>2810.7200000000003</v>
      </c>
      <c r="D30" s="249"/>
      <c r="E30" s="252"/>
    </row>
    <row r="31" spans="2:5">
      <c r="B31" s="245" t="s">
        <v>1016</v>
      </c>
      <c r="C31" s="249"/>
      <c r="D31" s="249">
        <f>312000+45000</f>
        <v>357000</v>
      </c>
      <c r="E31" s="252">
        <f>311000+45000</f>
        <v>356000</v>
      </c>
    </row>
    <row r="32" spans="2:5">
      <c r="B32" s="245" t="s">
        <v>1013</v>
      </c>
      <c r="C32" s="249">
        <v>1750</v>
      </c>
      <c r="D32" s="249">
        <v>1000</v>
      </c>
      <c r="E32" s="252">
        <v>1000</v>
      </c>
    </row>
    <row r="33" spans="2:7">
      <c r="B33" s="245" t="s">
        <v>1002</v>
      </c>
      <c r="C33" s="249">
        <f>10495+897</f>
        <v>11392</v>
      </c>
      <c r="D33" s="249">
        <f>10000+1000</f>
        <v>11000</v>
      </c>
      <c r="E33" s="252">
        <f>16000+1000</f>
        <v>17000</v>
      </c>
    </row>
    <row r="34" spans="2:7" hidden="1">
      <c r="B34" s="245" t="s">
        <v>1014</v>
      </c>
      <c r="C34" s="249"/>
      <c r="D34" s="249"/>
      <c r="E34" s="252"/>
    </row>
    <row r="35" spans="2:7" hidden="1">
      <c r="B35" s="245" t="s">
        <v>1015</v>
      </c>
      <c r="C35" s="249"/>
      <c r="D35" s="249"/>
      <c r="E35" s="252"/>
    </row>
    <row r="36" spans="2:7">
      <c r="B36" s="245" t="s">
        <v>1007</v>
      </c>
      <c r="C36" s="249">
        <v>46394</v>
      </c>
      <c r="D36" s="249">
        <v>14000</v>
      </c>
      <c r="E36" s="252">
        <v>18000</v>
      </c>
    </row>
    <row r="37" spans="2:7" hidden="1">
      <c r="B37" s="245" t="s">
        <v>84</v>
      </c>
      <c r="C37" s="249"/>
      <c r="D37" s="249"/>
      <c r="E37" s="252"/>
    </row>
    <row r="38" spans="2:7">
      <c r="B38" s="253" t="s">
        <v>86</v>
      </c>
      <c r="C38" s="249">
        <v>22095.48</v>
      </c>
      <c r="D38" s="249">
        <v>18000</v>
      </c>
      <c r="E38" s="252">
        <v>20000</v>
      </c>
    </row>
    <row r="39" spans="2:7">
      <c r="B39" s="150" t="s">
        <v>838</v>
      </c>
      <c r="C39" s="249">
        <v>7221</v>
      </c>
      <c r="D39" s="249">
        <v>11750</v>
      </c>
      <c r="E39" s="252">
        <v>10250</v>
      </c>
    </row>
    <row r="40" spans="2:7">
      <c r="B40" s="244" t="s">
        <v>746</v>
      </c>
      <c r="C40" s="254" t="str">
        <f>IF(C41*0.1&lt;C39,"Exceed 10% Rule","")</f>
        <v/>
      </c>
      <c r="D40" s="254" t="str">
        <f>IF(D41*0.1&lt;D39,"Exceed 10% Rule","")</f>
        <v/>
      </c>
      <c r="E40" s="291" t="str">
        <f>IF(E41*0.1+E103&lt;E39,"Exceed 10% Rule","")</f>
        <v/>
      </c>
      <c r="G40" s="905">
        <f>+E41+E101</f>
        <v>2184576.7326499997</v>
      </c>
    </row>
    <row r="41" spans="2:7">
      <c r="B41" s="256" t="s">
        <v>87</v>
      </c>
      <c r="C41" s="258">
        <f>SUM(C9:C39)</f>
        <v>2393923.2000000002</v>
      </c>
      <c r="D41" s="258">
        <f>SUM(D9:D39)</f>
        <v>2183601</v>
      </c>
      <c r="E41" s="259">
        <f>SUM(E10:E39)</f>
        <v>1640675.405</v>
      </c>
      <c r="G41" s="905">
        <f>+G40-E41</f>
        <v>543901.32764999964</v>
      </c>
    </row>
    <row r="42" spans="2:7">
      <c r="B42" s="256" t="s">
        <v>88</v>
      </c>
      <c r="C42" s="258">
        <f>C7+C41</f>
        <v>2419651.2000000002</v>
      </c>
      <c r="D42" s="258">
        <f>D7+D41</f>
        <v>2214425.5890000006</v>
      </c>
      <c r="E42" s="259">
        <f>E7+E41</f>
        <v>1678647.2110000004</v>
      </c>
    </row>
    <row r="43" spans="2:7">
      <c r="B43" s="36"/>
      <c r="C43" s="36"/>
      <c r="D43" s="36"/>
      <c r="E43" s="36"/>
    </row>
    <row r="44" spans="2:7">
      <c r="B44" s="127" t="s">
        <v>97</v>
      </c>
      <c r="C44" s="162">
        <v>7</v>
      </c>
      <c r="D44" s="163"/>
      <c r="E44" s="163"/>
    </row>
    <row r="45" spans="2:7">
      <c r="B45" s="163"/>
      <c r="C45" s="163"/>
      <c r="D45" s="163"/>
      <c r="E45" s="163"/>
    </row>
    <row r="46" spans="2:7">
      <c r="B46" s="188" t="str">
        <f>inputPrYr!D2</f>
        <v>City of Osawatomie</v>
      </c>
      <c r="C46" s="36"/>
      <c r="D46" s="36"/>
      <c r="E46" s="160"/>
    </row>
    <row r="47" spans="2:7">
      <c r="B47" s="36"/>
      <c r="C47" s="36"/>
      <c r="D47" s="36"/>
      <c r="E47" s="127"/>
    </row>
    <row r="48" spans="2:7">
      <c r="B48" s="260" t="s">
        <v>144</v>
      </c>
      <c r="C48" s="211"/>
      <c r="D48" s="211"/>
      <c r="E48" s="211"/>
    </row>
    <row r="49" spans="2:6">
      <c r="B49" s="36" t="s">
        <v>78</v>
      </c>
      <c r="C49" s="241" t="s">
        <v>770</v>
      </c>
      <c r="D49" s="242" t="s">
        <v>779</v>
      </c>
      <c r="E49" s="135" t="s">
        <v>772</v>
      </c>
    </row>
    <row r="50" spans="2:6">
      <c r="B50" s="66" t="str">
        <f>inputPrYr!B17</f>
        <v>General</v>
      </c>
      <c r="C50" s="369" t="str">
        <f>C6</f>
        <v>Actual for 2011</v>
      </c>
      <c r="D50" s="369" t="str">
        <f>D6</f>
        <v>Estimate for 2012</v>
      </c>
      <c r="E50" s="243" t="str">
        <f>E6</f>
        <v>Year for 2013</v>
      </c>
    </row>
    <row r="51" spans="2:6">
      <c r="B51" s="261" t="s">
        <v>88</v>
      </c>
      <c r="C51" s="247">
        <f>C42</f>
        <v>2419651.2000000002</v>
      </c>
      <c r="D51" s="247">
        <f>D42</f>
        <v>2214425.5890000006</v>
      </c>
      <c r="E51" s="218">
        <f>E42</f>
        <v>1678647.2110000004</v>
      </c>
    </row>
    <row r="52" spans="2:6">
      <c r="B52" s="248" t="s">
        <v>90</v>
      </c>
      <c r="C52" s="150"/>
      <c r="D52" s="150"/>
      <c r="E52" s="76"/>
    </row>
    <row r="53" spans="2:6">
      <c r="B53" s="244" t="str">
        <f>GenDetail!A6</f>
        <v>Administration</v>
      </c>
      <c r="C53" s="262">
        <f>GenDetail!B12</f>
        <v>528083.80999999994</v>
      </c>
      <c r="D53" s="262">
        <f>GenDetail!C12</f>
        <v>577621.17000000016</v>
      </c>
      <c r="E53" s="71">
        <f>GenDetail!D12</f>
        <v>574627.12000000011</v>
      </c>
      <c r="F53" s="263"/>
    </row>
    <row r="54" spans="2:6">
      <c r="B54" s="244" t="str">
        <f>GenDetail!A13</f>
        <v>Sports Complex</v>
      </c>
      <c r="C54" s="262">
        <f>GenDetail!B18</f>
        <v>81789.09</v>
      </c>
      <c r="D54" s="262">
        <f>GenDetail!C18</f>
        <v>0</v>
      </c>
      <c r="E54" s="71">
        <f>GenDetail!D18</f>
        <v>0</v>
      </c>
      <c r="F54" s="263"/>
    </row>
    <row r="55" spans="2:6">
      <c r="B55" s="244" t="str">
        <f>GenDetail!A19</f>
        <v>Police &amp; Fire</v>
      </c>
      <c r="C55" s="262">
        <f>GenDetail!B24</f>
        <v>934374.39099999995</v>
      </c>
      <c r="D55" s="262">
        <f>GenDetail!C24</f>
        <v>866881.55999999994</v>
      </c>
      <c r="E55" s="71">
        <f>GenDetail!D24</f>
        <v>906282.48249999993</v>
      </c>
    </row>
    <row r="56" spans="2:6">
      <c r="B56" s="244" t="str">
        <f>GenDetail!A25</f>
        <v>John Brown Cabin</v>
      </c>
      <c r="C56" s="262">
        <f>GenDetail!B30</f>
        <v>41506.570000000007</v>
      </c>
      <c r="D56" s="262">
        <f>GenDetail!C30</f>
        <v>43777.760000000002</v>
      </c>
      <c r="E56" s="71">
        <f>GenDetail!D30</f>
        <v>45666.038399999998</v>
      </c>
    </row>
    <row r="57" spans="2:6">
      <c r="B57" s="244" t="str">
        <f>GenDetail!A31</f>
        <v>Streets &amp; Alleys</v>
      </c>
      <c r="C57" s="262">
        <f>GenDetail!B36</f>
        <v>284437.02</v>
      </c>
      <c r="D57" s="262">
        <f>GenDetail!C36</f>
        <v>252073.80000000002</v>
      </c>
      <c r="E57" s="71">
        <f>GenDetail!D36</f>
        <v>237059.20000000001</v>
      </c>
    </row>
    <row r="58" spans="2:6">
      <c r="B58" s="244" t="str">
        <f>GenDetail!A37</f>
        <v>Swimming Pool</v>
      </c>
      <c r="C58" s="262">
        <f>GenDetail!B42</f>
        <v>38953.83</v>
      </c>
      <c r="D58" s="262">
        <f>GenDetail!C42</f>
        <v>31676.12</v>
      </c>
      <c r="E58" s="71">
        <f>GenDetail!D42</f>
        <v>18145.964800000002</v>
      </c>
    </row>
    <row r="59" spans="2:6" hidden="1">
      <c r="B59" s="244">
        <f>GenDetail!A43</f>
        <v>0</v>
      </c>
      <c r="C59" s="262">
        <f>GenDetail!B49</f>
        <v>0</v>
      </c>
      <c r="D59" s="262">
        <f>GenDetail!C49</f>
        <v>0</v>
      </c>
      <c r="E59" s="71">
        <f>GenDetail!D49</f>
        <v>0</v>
      </c>
    </row>
    <row r="60" spans="2:6" hidden="1">
      <c r="B60" s="244">
        <f>GenDetail!A50</f>
        <v>0</v>
      </c>
      <c r="C60" s="262">
        <f>GenDetail!B56</f>
        <v>0</v>
      </c>
      <c r="D60" s="262">
        <f>GenDetail!C56</f>
        <v>0</v>
      </c>
      <c r="E60" s="71">
        <f>GenDetail!D56</f>
        <v>0</v>
      </c>
    </row>
    <row r="61" spans="2:6">
      <c r="B61" s="244" t="str">
        <f>GenDetail!A66</f>
        <v>Cemeteries</v>
      </c>
      <c r="C61" s="262">
        <f>GenDetail!B71</f>
        <v>117328.48999999999</v>
      </c>
      <c r="D61" s="262">
        <f>GenDetail!C71</f>
        <v>133690.321</v>
      </c>
      <c r="E61" s="71">
        <f>GenDetail!D71</f>
        <v>103327.07715000001</v>
      </c>
    </row>
    <row r="62" spans="2:6">
      <c r="B62" s="244" t="str">
        <f>GenDetail!A72</f>
        <v>Lakes &amp; Parks</v>
      </c>
      <c r="C62" s="262">
        <f>GenDetail!B77</f>
        <v>8109.95</v>
      </c>
      <c r="D62" s="262">
        <f>GenDetail!C77</f>
        <v>0</v>
      </c>
      <c r="E62" s="71">
        <f>GenDetail!D77</f>
        <v>0</v>
      </c>
    </row>
    <row r="63" spans="2:6" hidden="1">
      <c r="B63" s="244">
        <f>GenDetail!A78</f>
        <v>0</v>
      </c>
      <c r="C63" s="262">
        <f>GenDetail!B84</f>
        <v>0</v>
      </c>
      <c r="D63" s="262">
        <f>GenDetail!C84</f>
        <v>0</v>
      </c>
      <c r="E63" s="71">
        <f>GenDetail!D84</f>
        <v>0</v>
      </c>
    </row>
    <row r="64" spans="2:6" hidden="1">
      <c r="B64" s="244">
        <f>GenDetail!A85</f>
        <v>0</v>
      </c>
      <c r="C64" s="262">
        <f>GenDetail!B90</f>
        <v>0</v>
      </c>
      <c r="D64" s="262">
        <f>GenDetail!C90</f>
        <v>0</v>
      </c>
      <c r="E64" s="71">
        <f>GenDetail!D90</f>
        <v>0</v>
      </c>
    </row>
    <row r="65" spans="2:5" hidden="1">
      <c r="B65" s="244">
        <f>GenDetail!A91</f>
        <v>0</v>
      </c>
      <c r="C65" s="262">
        <f>GenDetail!B97</f>
        <v>0</v>
      </c>
      <c r="D65" s="262">
        <f>GenDetail!C97</f>
        <v>0</v>
      </c>
      <c r="E65" s="71">
        <f>GenDetail!D97</f>
        <v>0</v>
      </c>
    </row>
    <row r="66" spans="2:5">
      <c r="B66" s="244" t="str">
        <f>GenDetail!A98</f>
        <v>Municipal Court</v>
      </c>
      <c r="C66" s="262">
        <f>GenDetail!B103</f>
        <v>120656.12000000002</v>
      </c>
      <c r="D66" s="262">
        <f>GenDetail!C103</f>
        <v>106720.656</v>
      </c>
      <c r="E66" s="71">
        <f>GenDetail!D103</f>
        <v>108417.0558</v>
      </c>
    </row>
    <row r="67" spans="2:5">
      <c r="B67" s="244" t="str">
        <f>GenDetail!A104</f>
        <v>Levees &amp; Stormwater</v>
      </c>
      <c r="C67" s="262">
        <f>GenDetail!B109</f>
        <v>121174.84</v>
      </c>
      <c r="D67" s="262">
        <f>GenDetail!C109</f>
        <v>36000</v>
      </c>
      <c r="E67" s="71">
        <f>GenDetail!D109</f>
        <v>7000</v>
      </c>
    </row>
    <row r="68" spans="2:5">
      <c r="B68" s="244" t="str">
        <f>GenDetail!A110</f>
        <v>Library</v>
      </c>
      <c r="C68" s="262">
        <f>GenDetail!B115</f>
        <v>112412.5</v>
      </c>
      <c r="D68" s="262">
        <f>GenDetail!C115</f>
        <v>128012.39600000001</v>
      </c>
      <c r="E68" s="71">
        <f>GenDetail!D115</f>
        <v>140135.6</v>
      </c>
    </row>
    <row r="69" spans="2:5" hidden="1">
      <c r="B69" s="264" t="s">
        <v>593</v>
      </c>
      <c r="C69" s="370">
        <f>SUM(C53:C68)</f>
        <v>2388826.6109999996</v>
      </c>
      <c r="D69" s="370">
        <f>SUM(D53:D68)</f>
        <v>2176453.7830000003</v>
      </c>
      <c r="E69" s="278">
        <f>SUM(E53:E68)</f>
        <v>2140660.53865</v>
      </c>
    </row>
    <row r="70" spans="2:5" hidden="1">
      <c r="B70" s="253"/>
      <c r="C70" s="249"/>
      <c r="D70" s="249"/>
      <c r="E70" s="252"/>
    </row>
    <row r="71" spans="2:5" hidden="1">
      <c r="B71" s="253"/>
      <c r="C71" s="249"/>
      <c r="D71" s="249"/>
      <c r="E71" s="252"/>
    </row>
    <row r="72" spans="2:5" hidden="1">
      <c r="B72" s="253"/>
      <c r="C72" s="249"/>
      <c r="D72" s="249"/>
      <c r="E72" s="252"/>
    </row>
    <row r="73" spans="2:5" hidden="1">
      <c r="B73" s="253"/>
      <c r="C73" s="249"/>
      <c r="D73" s="249"/>
      <c r="E73" s="252"/>
    </row>
    <row r="74" spans="2:5" hidden="1">
      <c r="B74" s="253"/>
      <c r="C74" s="249"/>
      <c r="D74" s="249"/>
      <c r="E74" s="252"/>
    </row>
    <row r="75" spans="2:5" hidden="1">
      <c r="B75" s="253"/>
      <c r="C75" s="249"/>
      <c r="D75" s="249"/>
      <c r="E75" s="252"/>
    </row>
    <row r="76" spans="2:5" hidden="1">
      <c r="B76" s="265"/>
      <c r="C76" s="249"/>
      <c r="D76" s="249"/>
      <c r="E76" s="252"/>
    </row>
    <row r="77" spans="2:5" hidden="1">
      <c r="B77" s="265"/>
      <c r="C77" s="249"/>
      <c r="D77" s="249"/>
      <c r="E77" s="252"/>
    </row>
    <row r="78" spans="2:5" hidden="1">
      <c r="B78" s="265"/>
      <c r="C78" s="249"/>
      <c r="D78" s="249"/>
      <c r="E78" s="252"/>
    </row>
    <row r="79" spans="2:5" hidden="1">
      <c r="B79" s="265"/>
      <c r="C79" s="249"/>
      <c r="D79" s="249"/>
      <c r="E79" s="252"/>
    </row>
    <row r="80" spans="2:5" hidden="1">
      <c r="B80" s="265"/>
      <c r="C80" s="249"/>
      <c r="D80" s="249"/>
      <c r="E80" s="252"/>
    </row>
    <row r="81" spans="2:10" hidden="1">
      <c r="B81" s="265"/>
      <c r="C81" s="249"/>
      <c r="D81" s="249"/>
      <c r="E81" s="252"/>
    </row>
    <row r="82" spans="2:10" hidden="1">
      <c r="B82" s="265"/>
      <c r="C82" s="249"/>
      <c r="D82" s="249"/>
      <c r="E82" s="252"/>
    </row>
    <row r="83" spans="2:10" hidden="1">
      <c r="B83" s="265"/>
      <c r="C83" s="249"/>
      <c r="D83" s="249"/>
      <c r="E83" s="252"/>
    </row>
    <row r="84" spans="2:10" hidden="1">
      <c r="B84" s="265"/>
      <c r="C84" s="249"/>
      <c r="D84" s="249"/>
      <c r="E84" s="252"/>
    </row>
    <row r="85" spans="2:10" hidden="1">
      <c r="B85" s="265"/>
      <c r="C85" s="249"/>
      <c r="D85" s="249"/>
      <c r="E85" s="252"/>
    </row>
    <row r="86" spans="2:10" hidden="1">
      <c r="B86" s="265"/>
      <c r="C86" s="249"/>
      <c r="D86" s="249"/>
      <c r="E86" s="252"/>
    </row>
    <row r="87" spans="2:10" hidden="1">
      <c r="B87" s="265"/>
      <c r="C87" s="249"/>
      <c r="D87" s="249"/>
      <c r="E87" s="252"/>
      <c r="G87" s="957" t="str">
        <f>CONCATENATE("Desired Carryover Into ",E1+1,"")</f>
        <v>Desired Carryover Into 2014</v>
      </c>
      <c r="H87" s="958"/>
      <c r="I87" s="958"/>
      <c r="J87" s="959"/>
    </row>
    <row r="88" spans="2:10" hidden="1">
      <c r="B88" s="265"/>
      <c r="C88" s="249"/>
      <c r="D88" s="249"/>
      <c r="E88" s="252"/>
      <c r="G88" s="762"/>
      <c r="H88" s="763"/>
      <c r="I88" s="763"/>
      <c r="J88" s="764"/>
    </row>
    <row r="89" spans="2:10" hidden="1">
      <c r="B89" s="265"/>
      <c r="C89" s="249"/>
      <c r="D89" s="249"/>
      <c r="E89" s="252"/>
      <c r="G89" s="765" t="s">
        <v>734</v>
      </c>
      <c r="H89" s="766"/>
      <c r="I89" s="766"/>
      <c r="J89" s="767"/>
    </row>
    <row r="90" spans="2:10" hidden="1">
      <c r="B90" s="265"/>
      <c r="C90" s="249"/>
      <c r="D90" s="249"/>
      <c r="E90" s="252"/>
      <c r="G90" s="768" t="s">
        <v>735</v>
      </c>
      <c r="H90" s="769"/>
      <c r="I90" s="770"/>
      <c r="J90" s="771" t="str">
        <f>IF(J89=0,"",ROUND((J89+E103-G102)/inputOth!E9*1000,3)-general!G107)</f>
        <v/>
      </c>
    </row>
    <row r="91" spans="2:10" hidden="1">
      <c r="B91" s="265"/>
      <c r="C91" s="249"/>
      <c r="D91" s="249"/>
      <c r="E91" s="252"/>
      <c r="G91" s="772" t="str">
        <f>CONCATENATE("",E1," Total Expenditures Must Be:")</f>
        <v>2013 Total Expenditures Must Be:</v>
      </c>
      <c r="H91" s="773"/>
      <c r="I91" s="774"/>
      <c r="J91" s="775">
        <f>IF(J89&gt;0,IF(E100&lt;E42,IF(J89=G102,E100,((J89-G102)*(1-D102))+E42),E100+(J89-G102)),0)</f>
        <v>0</v>
      </c>
    </row>
    <row r="92" spans="2:10" hidden="1">
      <c r="B92" s="265"/>
      <c r="C92" s="249"/>
      <c r="D92" s="249"/>
      <c r="E92" s="252"/>
      <c r="G92" s="776" t="s">
        <v>870</v>
      </c>
      <c r="H92" s="777"/>
      <c r="I92" s="778"/>
      <c r="J92" s="779">
        <f>IF(J89&gt;0,J91-E100,0)</f>
        <v>0</v>
      </c>
    </row>
    <row r="93" spans="2:10" hidden="1">
      <c r="B93" s="266" t="s">
        <v>837</v>
      </c>
      <c r="C93" s="249"/>
      <c r="D93" s="249"/>
      <c r="E93" s="267" t="str">
        <f>nhood!E6</f>
        <v/>
      </c>
    </row>
    <row r="94" spans="2:10">
      <c r="B94" s="266" t="s">
        <v>838</v>
      </c>
      <c r="C94" s="249"/>
      <c r="D94" s="249"/>
      <c r="E94" s="252"/>
      <c r="G94" s="957" t="str">
        <f>CONCATENATE("Projected Carryover Into ",E1+1,"")</f>
        <v>Projected Carryover Into 2014</v>
      </c>
      <c r="H94" s="960"/>
      <c r="I94" s="960"/>
      <c r="J94" s="961"/>
    </row>
    <row r="95" spans="2:10">
      <c r="B95" s="266" t="s">
        <v>747</v>
      </c>
      <c r="C95" s="254" t="str">
        <f>IF(C96*0.1&lt;C94,"Exceed 10% Rule","")</f>
        <v/>
      </c>
      <c r="D95" s="254" t="str">
        <f>IF(D96*0.1&lt;D94,"Exceed 10% Rule","")</f>
        <v/>
      </c>
      <c r="E95" s="291" t="str">
        <f>IF(E96*0.1&lt;E94,"Exceed 10% Rule","")</f>
        <v/>
      </c>
      <c r="G95" s="762"/>
      <c r="H95" s="763"/>
      <c r="I95" s="763"/>
      <c r="J95" s="764"/>
    </row>
    <row r="96" spans="2:10">
      <c r="B96" s="256" t="s">
        <v>94</v>
      </c>
      <c r="C96" s="258">
        <f>SUM(C69:C94)</f>
        <v>2388826.6109999996</v>
      </c>
      <c r="D96" s="258">
        <f>SUM(D69:D94)</f>
        <v>2176453.7830000003</v>
      </c>
      <c r="E96" s="259">
        <f>SUM(E69:E94)</f>
        <v>2140660.53865</v>
      </c>
      <c r="G96" s="780">
        <f>D97</f>
        <v>37971.806000000332</v>
      </c>
      <c r="H96" s="781" t="str">
        <f>CONCATENATE("",E1-1," Ending Cash Balance (est.)")</f>
        <v>2012 Ending Cash Balance (est.)</v>
      </c>
      <c r="I96" s="782"/>
      <c r="J96" s="764"/>
    </row>
    <row r="97" spans="2:11">
      <c r="B97" s="141" t="s">
        <v>200</v>
      </c>
      <c r="C97" s="262">
        <f>C42-C96</f>
        <v>30824.589000000618</v>
      </c>
      <c r="D97" s="262">
        <f>D42-D96</f>
        <v>37971.806000000332</v>
      </c>
      <c r="E97" s="251" t="s">
        <v>67</v>
      </c>
      <c r="G97" s="780">
        <f>E41</f>
        <v>1640675.405</v>
      </c>
      <c r="H97" s="766" t="str">
        <f>CONCATENATE("",E1," Non-AV Receipts (est.)")</f>
        <v>2013 Non-AV Receipts (est.)</v>
      </c>
      <c r="I97" s="782"/>
      <c r="J97" s="764"/>
    </row>
    <row r="98" spans="2:11">
      <c r="B98" s="127" t="str">
        <f>CONCATENATE("",E1-2,"/",E1-1," Budget Authority Amount:")</f>
        <v>2011/2012 Budget Authority Amount:</v>
      </c>
      <c r="C98" s="231">
        <f>inputOth!B63</f>
        <v>2391220.7629999993</v>
      </c>
      <c r="D98" s="231">
        <f>inputPrYr!D17</f>
        <v>2291543</v>
      </c>
      <c r="E98" s="251" t="s">
        <v>67</v>
      </c>
      <c r="F98" s="268"/>
      <c r="G98" s="783">
        <f>IF(E102&gt;0,E101,E103)</f>
        <v>543901.32764999964</v>
      </c>
      <c r="H98" s="766" t="str">
        <f>CONCATENATE("",E1," Ad Valorem Tax (est.)")</f>
        <v>2013 Ad Valorem Tax (est.)</v>
      </c>
      <c r="I98" s="782"/>
      <c r="J98" s="764"/>
      <c r="K98" s="784" t="str">
        <f>IF(G98=E103,"","Note: Does not include Delinquent Taxes")</f>
        <v>Note: Does not include Delinquent Taxes</v>
      </c>
    </row>
    <row r="99" spans="2:11">
      <c r="B99" s="127"/>
      <c r="C99" s="965" t="s">
        <v>591</v>
      </c>
      <c r="D99" s="966"/>
      <c r="E99" s="252">
        <v>81888</v>
      </c>
      <c r="F99" s="441"/>
      <c r="G99" s="780">
        <f>SUM(G96:G98)</f>
        <v>2222548.53865</v>
      </c>
      <c r="H99" s="766" t="str">
        <f>CONCATENATE("Total ",E1," Resources Available")</f>
        <v>Total 2013 Resources Available</v>
      </c>
      <c r="I99" s="782"/>
      <c r="J99" s="764"/>
    </row>
    <row r="100" spans="2:11">
      <c r="B100" s="538" t="str">
        <f>CONCATENATE(C117,"     ",D117)</f>
        <v xml:space="preserve">     </v>
      </c>
      <c r="C100" s="967" t="s">
        <v>592</v>
      </c>
      <c r="D100" s="968"/>
      <c r="E100" s="218">
        <f>E96+E99</f>
        <v>2222548.53865</v>
      </c>
      <c r="G100" s="785"/>
      <c r="H100" s="766"/>
      <c r="I100" s="766"/>
      <c r="J100" s="764"/>
    </row>
    <row r="101" spans="2:11">
      <c r="B101" s="538" t="str">
        <f>CONCATENATE(C118,"     ",D118)</f>
        <v xml:space="preserve">     </v>
      </c>
      <c r="C101" s="269"/>
      <c r="D101" s="160" t="s">
        <v>95</v>
      </c>
      <c r="E101" s="71">
        <f>IF(E100-E42&gt;0,E100-E42,0)</f>
        <v>543901.32764999964</v>
      </c>
      <c r="G101" s="783">
        <f>C96*0.05+C96</f>
        <v>2508267.9415499996</v>
      </c>
      <c r="H101" s="766" t="str">
        <f>CONCATENATE("Less ",E1-2," Expenditures + 5%")</f>
        <v>Less 2011 Expenditures + 5%</v>
      </c>
      <c r="I101" s="782"/>
      <c r="J101" s="764"/>
    </row>
    <row r="102" spans="2:11">
      <c r="B102" s="160"/>
      <c r="C102" s="379" t="s">
        <v>590</v>
      </c>
      <c r="D102" s="747">
        <f>inputOth!$E$50</f>
        <v>0.06</v>
      </c>
      <c r="E102" s="218">
        <f>ROUND(IF(D102&gt;0,(E101*D102),0),0)</f>
        <v>32634</v>
      </c>
      <c r="G102" s="786">
        <f>G99-G101</f>
        <v>-285719.40289999964</v>
      </c>
      <c r="H102" s="787" t="str">
        <f>CONCATENATE("Projected ",E1+1," Carryover (est.)")</f>
        <v>Projected 2014 Carryover (est.)</v>
      </c>
      <c r="I102" s="788"/>
      <c r="J102" s="789"/>
    </row>
    <row r="103" spans="2:11" ht="16.5" thickBot="1">
      <c r="B103" s="36"/>
      <c r="C103" s="969" t="str">
        <f>CONCATENATE("Amount of  ",$E$1-1," Ad Valorem Tax")</f>
        <v>Amount of  2012 Ad Valorem Tax</v>
      </c>
      <c r="D103" s="970"/>
      <c r="E103" s="748">
        <f>E101+E102</f>
        <v>576535.32764999964</v>
      </c>
    </row>
    <row r="104" spans="2:11" ht="16.5" thickTop="1">
      <c r="B104" s="36"/>
      <c r="C104" s="36"/>
      <c r="D104" s="36"/>
      <c r="E104" s="36"/>
      <c r="G104" s="962" t="s">
        <v>774</v>
      </c>
      <c r="H104" s="963"/>
      <c r="I104" s="963"/>
      <c r="J104" s="964"/>
    </row>
    <row r="105" spans="2:11">
      <c r="B105" s="127" t="s">
        <v>89</v>
      </c>
      <c r="C105" s="162" t="str">
        <f>CONCATENATE("",C44,"b")</f>
        <v>7b</v>
      </c>
      <c r="D105" s="163"/>
      <c r="E105" s="163"/>
      <c r="G105" s="790"/>
      <c r="H105" s="791"/>
      <c r="I105" s="792"/>
      <c r="J105" s="793"/>
    </row>
    <row r="106" spans="2:11">
      <c r="G106" s="794">
        <f>summ!H15</f>
        <v>25.364999999999998</v>
      </c>
      <c r="H106" s="791" t="str">
        <f>CONCATENATE("",E1," Fund Mill Rate")</f>
        <v>2013 Fund Mill Rate</v>
      </c>
      <c r="I106" s="792"/>
      <c r="J106" s="793"/>
    </row>
    <row r="107" spans="2:11">
      <c r="B107" s="95"/>
      <c r="E107" s="34">
        <f>+E101/G106</f>
        <v>21442.985517445286</v>
      </c>
      <c r="G107" s="795">
        <f>summ!E15</f>
        <v>22.364999999999998</v>
      </c>
      <c r="H107" s="791" t="str">
        <f>CONCATENATE("",E1-1," Fund Mill Rate")</f>
        <v>2012 Fund Mill Rate</v>
      </c>
      <c r="I107" s="792"/>
      <c r="J107" s="793"/>
    </row>
    <row r="108" spans="2:11">
      <c r="G108" s="796">
        <f>summ!H52</f>
        <v>58.234000000000002</v>
      </c>
      <c r="H108" s="791" t="str">
        <f>CONCATENATE("Total ",E1," Mill Rate")</f>
        <v>Total 2013 Mill Rate</v>
      </c>
      <c r="I108" s="792"/>
      <c r="J108" s="793"/>
    </row>
    <row r="109" spans="2:11">
      <c r="G109" s="795">
        <f>summ!E52</f>
        <v>53.734000000000002</v>
      </c>
      <c r="H109" s="797" t="str">
        <f>CONCATENATE("Total ",E1-1," Mill Rate")</f>
        <v>Total 2012 Mill Rate</v>
      </c>
      <c r="I109" s="798"/>
      <c r="J109" s="799"/>
    </row>
    <row r="110" spans="2:11">
      <c r="B110" s="21"/>
      <c r="C110" s="21"/>
      <c r="G110" s="741"/>
      <c r="H110" s="742"/>
      <c r="I110" s="743"/>
      <c r="J110" s="744"/>
    </row>
    <row r="111" spans="2:11">
      <c r="G111" s="745"/>
      <c r="H111" s="742"/>
      <c r="I111" s="743"/>
      <c r="J111" s="746"/>
    </row>
    <row r="117" spans="3:4" hidden="1">
      <c r="C117" s="537" t="str">
        <f>IF(C96&gt;C98,"See Tab A","")</f>
        <v/>
      </c>
      <c r="D117" s="537" t="str">
        <f>IF(D96&gt;D98,"See Tab C","")</f>
        <v/>
      </c>
    </row>
    <row r="118" spans="3:4" hidden="1">
      <c r="C118" s="537" t="str">
        <f>IF(C97&lt;0,"See Tab B","")</f>
        <v/>
      </c>
      <c r="D118" s="537" t="str">
        <f>IF(D97&lt;0,"See Tab D","")</f>
        <v/>
      </c>
    </row>
  </sheetData>
  <mergeCells count="6">
    <mergeCell ref="G87:J87"/>
    <mergeCell ref="G94:J94"/>
    <mergeCell ref="G104:J104"/>
    <mergeCell ref="C99:D99"/>
    <mergeCell ref="C100:D100"/>
    <mergeCell ref="C103:D103"/>
  </mergeCells>
  <phoneticPr fontId="0" type="noConversion"/>
  <conditionalFormatting sqref="E94">
    <cfRule type="cellIs" dxfId="325" priority="2" stopIfTrue="1" operator="greaterThan">
      <formula>$E$96*0.1</formula>
    </cfRule>
  </conditionalFormatting>
  <conditionalFormatting sqref="E99">
    <cfRule type="cellIs" dxfId="324" priority="3" stopIfTrue="1" operator="greaterThan">
      <formula>$E$96/0.95-$E$96</formula>
    </cfRule>
  </conditionalFormatting>
  <conditionalFormatting sqref="D96">
    <cfRule type="cellIs" dxfId="323" priority="4" stopIfTrue="1" operator="greaterThan">
      <formula>$D$98</formula>
    </cfRule>
  </conditionalFormatting>
  <conditionalFormatting sqref="C96">
    <cfRule type="cellIs" dxfId="322" priority="5" stopIfTrue="1" operator="greaterThan">
      <formula>$C$98</formula>
    </cfRule>
  </conditionalFormatting>
  <conditionalFormatting sqref="C97">
    <cfRule type="cellIs" dxfId="321" priority="6" stopIfTrue="1" operator="lessThan">
      <formula>0</formula>
    </cfRule>
  </conditionalFormatting>
  <conditionalFormatting sqref="C94">
    <cfRule type="cellIs" dxfId="320" priority="7" stopIfTrue="1" operator="greaterThan">
      <formula>$C$96*0.1</formula>
    </cfRule>
  </conditionalFormatting>
  <conditionalFormatting sqref="D94">
    <cfRule type="cellIs" dxfId="319" priority="8" stopIfTrue="1" operator="greaterThan">
      <formula>$D$96*0.1</formula>
    </cfRule>
  </conditionalFormatting>
  <conditionalFormatting sqref="D39">
    <cfRule type="cellIs" dxfId="318" priority="9" stopIfTrue="1" operator="greaterThan">
      <formula>$D$41*0.1</formula>
    </cfRule>
  </conditionalFormatting>
  <conditionalFormatting sqref="C39">
    <cfRule type="cellIs" dxfId="317" priority="10" stopIfTrue="1" operator="greaterThan">
      <formula>$C$41*0.1</formula>
    </cfRule>
  </conditionalFormatting>
  <conditionalFormatting sqref="E39">
    <cfRule type="cellIs" dxfId="316" priority="11" stopIfTrue="1" operator="greaterThan">
      <formula>$E$41*0.1+E103</formula>
    </cfRule>
  </conditionalFormatting>
  <conditionalFormatting sqref="D97">
    <cfRule type="cellIs" dxfId="315" priority="1" stopIfTrue="1" operator="lessThan">
      <formula>0</formula>
    </cfRule>
  </conditionalFormatting>
  <printOptions horizontalCentered="1"/>
  <pageMargins left="0.5" right="0.5" top="0.5" bottom="0.5" header="0.3" footer="0.3"/>
  <pageSetup fitToHeight="2" orientation="portrait" blackAndWhite="1" horizontalDpi="120" verticalDpi="144" r:id="rId1"/>
  <headerFooter alignWithMargins="0"/>
  <rowBreaks count="1" manualBreakCount="1">
    <brk id="44" min="1" max="4" man="1"/>
  </rowBreaks>
</worksheet>
</file>

<file path=xl/worksheets/sheet14.xml><?xml version="1.0" encoding="utf-8"?>
<worksheet xmlns="http://schemas.openxmlformats.org/spreadsheetml/2006/main" xmlns:r="http://schemas.openxmlformats.org/officeDocument/2006/relationships">
  <sheetPr>
    <pageSetUpPr fitToPage="1"/>
  </sheetPr>
  <dimension ref="A1:D121"/>
  <sheetViews>
    <sheetView zoomScale="115" zoomScaleNormal="115" workbookViewId="0">
      <selection activeCell="F15" sqref="F15"/>
    </sheetView>
  </sheetViews>
  <sheetFormatPr defaultRowHeight="15.75"/>
  <cols>
    <col min="1" max="1" width="28.33203125" style="21" customWidth="1"/>
    <col min="2" max="3" width="15.77734375" style="21" customWidth="1"/>
    <col min="4" max="4" width="16.109375" style="21" customWidth="1"/>
    <col min="5" max="16384" width="8.88671875" style="21"/>
  </cols>
  <sheetData>
    <row r="1" spans="1:4">
      <c r="A1" s="188" t="str">
        <f>inputPrYr!D2</f>
        <v>City of Osawatomie</v>
      </c>
      <c r="B1" s="36"/>
      <c r="C1" s="162"/>
      <c r="D1" s="36">
        <f>inputPrYr!C5</f>
        <v>2013</v>
      </c>
    </row>
    <row r="2" spans="1:4">
      <c r="A2" s="239"/>
      <c r="B2" s="270"/>
      <c r="C2" s="270"/>
      <c r="D2" s="270"/>
    </row>
    <row r="3" spans="1:4">
      <c r="A3" s="216" t="s">
        <v>78</v>
      </c>
      <c r="B3" s="271" t="s">
        <v>770</v>
      </c>
      <c r="C3" s="135" t="s">
        <v>771</v>
      </c>
      <c r="D3" s="135" t="s">
        <v>772</v>
      </c>
    </row>
    <row r="4" spans="1:4">
      <c r="A4" s="60" t="s">
        <v>376</v>
      </c>
      <c r="B4" s="243" t="str">
        <f>CONCATENATE("Actual for ",D1-2,"")</f>
        <v>Actual for 2011</v>
      </c>
      <c r="C4" s="243" t="str">
        <f>CONCATENATE("Estimate for ",D1-1,"")</f>
        <v>Estimate for 2012</v>
      </c>
      <c r="D4" s="243" t="str">
        <f>CONCATENATE("Year for ",D1,"")</f>
        <v>Year for 2013</v>
      </c>
    </row>
    <row r="5" spans="1:4">
      <c r="A5" s="216" t="s">
        <v>90</v>
      </c>
      <c r="B5" s="76"/>
      <c r="C5" s="76"/>
      <c r="D5" s="76"/>
    </row>
    <row r="6" spans="1:4">
      <c r="A6" s="904" t="s">
        <v>1017</v>
      </c>
      <c r="B6" s="76"/>
      <c r="C6" s="76"/>
      <c r="D6" s="76"/>
    </row>
    <row r="7" spans="1:4">
      <c r="A7" s="272" t="s">
        <v>98</v>
      </c>
      <c r="B7" s="252">
        <v>400496.66</v>
      </c>
      <c r="C7" s="252">
        <v>429721.1700000001</v>
      </c>
      <c r="D7" s="252">
        <v>425017.12000000005</v>
      </c>
    </row>
    <row r="8" spans="1:4">
      <c r="A8" s="272" t="s">
        <v>91</v>
      </c>
      <c r="B8" s="252">
        <v>88456.930000000008</v>
      </c>
      <c r="C8" s="252">
        <v>107600</v>
      </c>
      <c r="D8" s="252">
        <v>108810</v>
      </c>
    </row>
    <row r="9" spans="1:4">
      <c r="A9" s="272" t="s">
        <v>92</v>
      </c>
      <c r="B9" s="252">
        <v>14781.8</v>
      </c>
      <c r="C9" s="252">
        <v>11500</v>
      </c>
      <c r="D9" s="252">
        <v>11700</v>
      </c>
    </row>
    <row r="10" spans="1:4">
      <c r="A10" s="272" t="s">
        <v>93</v>
      </c>
      <c r="B10" s="252">
        <v>4070.42</v>
      </c>
      <c r="C10" s="252">
        <v>8000</v>
      </c>
      <c r="D10" s="252">
        <v>8800</v>
      </c>
    </row>
    <row r="11" spans="1:4">
      <c r="A11" s="272" t="s">
        <v>1027</v>
      </c>
      <c r="B11" s="252">
        <v>20278</v>
      </c>
      <c r="C11" s="252">
        <v>20800</v>
      </c>
      <c r="D11" s="252">
        <v>20300</v>
      </c>
    </row>
    <row r="12" spans="1:4">
      <c r="A12" s="216" t="s">
        <v>50</v>
      </c>
      <c r="B12" s="257">
        <f>SUM(B7:B11)</f>
        <v>528083.80999999994</v>
      </c>
      <c r="C12" s="257">
        <f>SUM(C7:C11)</f>
        <v>577621.17000000016</v>
      </c>
      <c r="D12" s="257">
        <f>SUM(D7:D11)</f>
        <v>574627.12000000011</v>
      </c>
    </row>
    <row r="13" spans="1:4">
      <c r="A13" s="903" t="s">
        <v>1018</v>
      </c>
      <c r="B13" s="188"/>
      <c r="C13" s="188"/>
      <c r="D13" s="188"/>
    </row>
    <row r="14" spans="1:4">
      <c r="A14" s="272" t="s">
        <v>98</v>
      </c>
      <c r="B14" s="252">
        <v>40377.910000000003</v>
      </c>
      <c r="C14" s="252">
        <v>0</v>
      </c>
      <c r="D14" s="252">
        <v>0</v>
      </c>
    </row>
    <row r="15" spans="1:4">
      <c r="A15" s="272" t="s">
        <v>91</v>
      </c>
      <c r="B15" s="252">
        <v>20378.79</v>
      </c>
      <c r="C15" s="252">
        <v>0</v>
      </c>
      <c r="D15" s="252">
        <v>0</v>
      </c>
    </row>
    <row r="16" spans="1:4">
      <c r="A16" s="272" t="s">
        <v>92</v>
      </c>
      <c r="B16" s="252">
        <v>18202.39</v>
      </c>
      <c r="C16" s="252">
        <v>0</v>
      </c>
      <c r="D16" s="252">
        <v>0</v>
      </c>
    </row>
    <row r="17" spans="1:4">
      <c r="A17" s="272" t="s">
        <v>93</v>
      </c>
      <c r="B17" s="252">
        <v>2830</v>
      </c>
      <c r="C17" s="252">
        <v>0</v>
      </c>
      <c r="D17" s="252">
        <v>0</v>
      </c>
    </row>
    <row r="18" spans="1:4">
      <c r="A18" s="216" t="s">
        <v>50</v>
      </c>
      <c r="B18" s="257">
        <f>SUM(B14:B17)</f>
        <v>81789.09</v>
      </c>
      <c r="C18" s="257">
        <f>SUM(C14:C17)</f>
        <v>0</v>
      </c>
      <c r="D18" s="257">
        <f>SUM(D14:D17)</f>
        <v>0</v>
      </c>
    </row>
    <row r="19" spans="1:4">
      <c r="A19" s="903" t="s">
        <v>1019</v>
      </c>
      <c r="B19" s="188"/>
      <c r="C19" s="188"/>
      <c r="D19" s="188"/>
    </row>
    <row r="20" spans="1:4">
      <c r="A20" s="272" t="s">
        <v>98</v>
      </c>
      <c r="B20" s="252">
        <v>784082.62100000004</v>
      </c>
      <c r="C20" s="252">
        <v>716675.71</v>
      </c>
      <c r="D20" s="252">
        <v>749148.84</v>
      </c>
    </row>
    <row r="21" spans="1:4">
      <c r="A21" s="272" t="s">
        <v>91</v>
      </c>
      <c r="B21" s="252">
        <v>78974.179999999993</v>
      </c>
      <c r="C21" s="252">
        <v>75705.850000000006</v>
      </c>
      <c r="D21" s="252">
        <v>78733.642500000002</v>
      </c>
    </row>
    <row r="22" spans="1:4">
      <c r="A22" s="272" t="s">
        <v>92</v>
      </c>
      <c r="B22" s="252">
        <v>64280.89</v>
      </c>
      <c r="C22" s="252">
        <v>66500</v>
      </c>
      <c r="D22" s="252">
        <v>70400</v>
      </c>
    </row>
    <row r="23" spans="1:4">
      <c r="A23" s="272" t="s">
        <v>93</v>
      </c>
      <c r="B23" s="252">
        <v>7036.7</v>
      </c>
      <c r="C23" s="252">
        <v>8000</v>
      </c>
      <c r="D23" s="252">
        <v>8000</v>
      </c>
    </row>
    <row r="24" spans="1:4">
      <c r="A24" s="216" t="s">
        <v>50</v>
      </c>
      <c r="B24" s="257">
        <f>SUM(B20:B23)</f>
        <v>934374.39099999995</v>
      </c>
      <c r="C24" s="257">
        <f>SUM(C20:C23)</f>
        <v>866881.55999999994</v>
      </c>
      <c r="D24" s="257">
        <f>SUM(D20:D23)</f>
        <v>906282.48249999993</v>
      </c>
    </row>
    <row r="25" spans="1:4">
      <c r="A25" s="903" t="s">
        <v>1020</v>
      </c>
      <c r="B25" s="188"/>
      <c r="C25" s="188"/>
      <c r="D25" s="188"/>
    </row>
    <row r="26" spans="1:4">
      <c r="A26" s="272" t="s">
        <v>98</v>
      </c>
      <c r="B26" s="252">
        <v>25953.850000000002</v>
      </c>
      <c r="C26" s="252">
        <v>26020.800000000003</v>
      </c>
      <c r="D26" s="252">
        <v>27040.799999999999</v>
      </c>
    </row>
    <row r="27" spans="1:4">
      <c r="A27" s="272" t="s">
        <v>91</v>
      </c>
      <c r="B27" s="252">
        <v>14624</v>
      </c>
      <c r="C27" s="252">
        <v>15306.96</v>
      </c>
      <c r="D27" s="252">
        <v>16175.2384</v>
      </c>
    </row>
    <row r="28" spans="1:4">
      <c r="A28" s="272" t="s">
        <v>92</v>
      </c>
      <c r="B28" s="252">
        <v>928.72</v>
      </c>
      <c r="C28" s="252">
        <v>1450</v>
      </c>
      <c r="D28" s="252">
        <v>1450</v>
      </c>
    </row>
    <row r="29" spans="1:4">
      <c r="A29" s="272" t="s">
        <v>93</v>
      </c>
      <c r="B29" s="252">
        <v>0</v>
      </c>
      <c r="C29" s="252">
        <v>1000</v>
      </c>
      <c r="D29" s="252">
        <v>1000</v>
      </c>
    </row>
    <row r="30" spans="1:4">
      <c r="A30" s="216" t="s">
        <v>50</v>
      </c>
      <c r="B30" s="257">
        <f>SUM(B26:B29)</f>
        <v>41506.570000000007</v>
      </c>
      <c r="C30" s="257">
        <f>SUM(C26:C29)</f>
        <v>43777.760000000002</v>
      </c>
      <c r="D30" s="257">
        <f>SUM(D26:D29)</f>
        <v>45666.038399999998</v>
      </c>
    </row>
    <row r="31" spans="1:4">
      <c r="A31" s="903" t="s">
        <v>1021</v>
      </c>
      <c r="B31" s="188"/>
      <c r="C31" s="188"/>
      <c r="D31" s="188"/>
    </row>
    <row r="32" spans="1:4">
      <c r="A32" s="272" t="s">
        <v>98</v>
      </c>
      <c r="B32" s="252">
        <v>246754.69000000003</v>
      </c>
      <c r="C32" s="252">
        <v>201073.80000000002</v>
      </c>
      <c r="D32" s="252">
        <v>184815.2</v>
      </c>
    </row>
    <row r="33" spans="1:4">
      <c r="A33" s="272" t="s">
        <v>91</v>
      </c>
      <c r="B33" s="252">
        <v>19849.27</v>
      </c>
      <c r="C33" s="252">
        <v>40800</v>
      </c>
      <c r="D33" s="252">
        <v>42044</v>
      </c>
    </row>
    <row r="34" spans="1:4">
      <c r="A34" s="272" t="s">
        <v>92</v>
      </c>
      <c r="B34" s="252">
        <v>17833.060000000001</v>
      </c>
      <c r="C34" s="252">
        <v>10200</v>
      </c>
      <c r="D34" s="252">
        <v>10200</v>
      </c>
    </row>
    <row r="35" spans="1:4">
      <c r="A35" s="272" t="s">
        <v>93</v>
      </c>
      <c r="B35" s="252"/>
      <c r="C35" s="252"/>
      <c r="D35" s="252"/>
    </row>
    <row r="36" spans="1:4">
      <c r="A36" s="216" t="s">
        <v>50</v>
      </c>
      <c r="B36" s="257">
        <f>SUM(B32:B35)</f>
        <v>284437.02</v>
      </c>
      <c r="C36" s="257">
        <f>SUM(C32:C35)</f>
        <v>252073.80000000002</v>
      </c>
      <c r="D36" s="257">
        <f>SUM(D32:D35)</f>
        <v>237059.20000000001</v>
      </c>
    </row>
    <row r="37" spans="1:4">
      <c r="A37" s="903" t="s">
        <v>1022</v>
      </c>
      <c r="B37" s="188"/>
      <c r="C37" s="188"/>
      <c r="D37" s="188"/>
    </row>
    <row r="38" spans="1:4">
      <c r="A38" s="272" t="s">
        <v>98</v>
      </c>
      <c r="B38" s="252">
        <v>23431.489999999998</v>
      </c>
      <c r="C38" s="252">
        <v>0</v>
      </c>
      <c r="D38" s="252">
        <v>0</v>
      </c>
    </row>
    <row r="39" spans="1:4">
      <c r="A39" s="272" t="s">
        <v>91</v>
      </c>
      <c r="B39" s="252">
        <v>9599.57</v>
      </c>
      <c r="C39" s="252">
        <v>17446.12</v>
      </c>
      <c r="D39" s="252">
        <v>17145.964800000002</v>
      </c>
    </row>
    <row r="40" spans="1:4">
      <c r="A40" s="272" t="s">
        <v>92</v>
      </c>
      <c r="B40" s="252">
        <v>5922.77</v>
      </c>
      <c r="C40" s="252">
        <v>2000</v>
      </c>
      <c r="D40" s="252">
        <v>1000</v>
      </c>
    </row>
    <row r="41" spans="1:4">
      <c r="A41" s="272" t="s">
        <v>93</v>
      </c>
      <c r="B41" s="252">
        <v>0</v>
      </c>
      <c r="C41" s="252">
        <v>12230</v>
      </c>
      <c r="D41" s="252">
        <v>0</v>
      </c>
    </row>
    <row r="42" spans="1:4">
      <c r="A42" s="216" t="s">
        <v>50</v>
      </c>
      <c r="B42" s="257">
        <f>SUM(B38:B41)</f>
        <v>38953.83</v>
      </c>
      <c r="C42" s="257">
        <f>SUM(C38:C41)</f>
        <v>31676.12</v>
      </c>
      <c r="D42" s="257">
        <f>SUM(D38:D41)</f>
        <v>18145.964800000002</v>
      </c>
    </row>
    <row r="43" spans="1:4" hidden="1">
      <c r="A43" s="903"/>
      <c r="B43" s="188"/>
      <c r="C43" s="188"/>
      <c r="D43" s="188"/>
    </row>
    <row r="44" spans="1:4" hidden="1">
      <c r="A44" s="272" t="s">
        <v>98</v>
      </c>
      <c r="B44" s="252"/>
      <c r="C44" s="252"/>
      <c r="D44" s="252"/>
    </row>
    <row r="45" spans="1:4" hidden="1">
      <c r="A45" s="272" t="s">
        <v>91</v>
      </c>
      <c r="B45" s="252"/>
      <c r="C45" s="252"/>
      <c r="D45" s="252"/>
    </row>
    <row r="46" spans="1:4" hidden="1">
      <c r="A46" s="272" t="s">
        <v>92</v>
      </c>
      <c r="B46" s="252"/>
      <c r="C46" s="252"/>
      <c r="D46" s="252"/>
    </row>
    <row r="47" spans="1:4" hidden="1">
      <c r="A47" s="272" t="s">
        <v>93</v>
      </c>
      <c r="B47" s="252"/>
      <c r="C47" s="252"/>
      <c r="D47" s="252"/>
    </row>
    <row r="48" spans="1:4" hidden="1">
      <c r="A48" s="272"/>
      <c r="B48" s="252"/>
      <c r="C48" s="252"/>
      <c r="D48" s="252"/>
    </row>
    <row r="49" spans="1:4" hidden="1">
      <c r="A49" s="216" t="s">
        <v>50</v>
      </c>
      <c r="B49" s="257">
        <f>SUM(B44:B48)</f>
        <v>0</v>
      </c>
      <c r="C49" s="257">
        <f>SUM(C44:C48)</f>
        <v>0</v>
      </c>
      <c r="D49" s="257">
        <f>SUM(D44:D48)</f>
        <v>0</v>
      </c>
    </row>
    <row r="50" spans="1:4" hidden="1">
      <c r="A50" s="903"/>
      <c r="B50" s="188"/>
      <c r="C50" s="188"/>
      <c r="D50" s="188"/>
    </row>
    <row r="51" spans="1:4" hidden="1">
      <c r="A51" s="272" t="s">
        <v>98</v>
      </c>
      <c r="B51" s="252"/>
      <c r="C51" s="252"/>
      <c r="D51" s="252"/>
    </row>
    <row r="52" spans="1:4" hidden="1">
      <c r="A52" s="272" t="s">
        <v>91</v>
      </c>
      <c r="B52" s="252"/>
      <c r="C52" s="252"/>
      <c r="D52" s="252"/>
    </row>
    <row r="53" spans="1:4" hidden="1">
      <c r="A53" s="272" t="s">
        <v>92</v>
      </c>
      <c r="B53" s="252"/>
      <c r="C53" s="252"/>
      <c r="D53" s="252"/>
    </row>
    <row r="54" spans="1:4" hidden="1">
      <c r="A54" s="272" t="s">
        <v>93</v>
      </c>
      <c r="B54" s="252"/>
      <c r="C54" s="252"/>
      <c r="D54" s="252"/>
    </row>
    <row r="55" spans="1:4" hidden="1">
      <c r="A55" s="272"/>
      <c r="B55" s="252"/>
      <c r="C55" s="252"/>
      <c r="D55" s="252"/>
    </row>
    <row r="56" spans="1:4" hidden="1">
      <c r="A56" s="216" t="s">
        <v>50</v>
      </c>
      <c r="B56" s="257">
        <f>SUM(B51:B55)</f>
        <v>0</v>
      </c>
      <c r="C56" s="257">
        <f>SUM(C51:C55)</f>
        <v>0</v>
      </c>
      <c r="D56" s="257">
        <f>SUM(D51:D55)</f>
        <v>0</v>
      </c>
    </row>
    <row r="57" spans="1:4">
      <c r="A57" s="36"/>
      <c r="B57" s="188"/>
      <c r="C57" s="188"/>
      <c r="D57" s="188"/>
    </row>
    <row r="58" spans="1:4" ht="16.5" thickBot="1">
      <c r="A58" s="216" t="s">
        <v>372</v>
      </c>
      <c r="B58" s="274">
        <f>B12+B18+B24+B30+B36+B42+B49+B56</f>
        <v>1909144.7109999999</v>
      </c>
      <c r="C58" s="274">
        <f>C12+C18+C24+C30+C36+C42+C49+C56</f>
        <v>1772030.4100000001</v>
      </c>
      <c r="D58" s="274">
        <f>D12+D18+D24+D30+D36+D42+D49+D56</f>
        <v>1781780.8056999999</v>
      </c>
    </row>
    <row r="59" spans="1:4" ht="16.5" thickTop="1">
      <c r="A59" s="275"/>
      <c r="B59" s="188"/>
      <c r="C59" s="188"/>
      <c r="D59" s="188"/>
    </row>
    <row r="60" spans="1:4">
      <c r="A60" s="127" t="s">
        <v>97</v>
      </c>
      <c r="B60" s="188" t="str">
        <f>CONCATENATE("",general!C44,"c")</f>
        <v>7c</v>
      </c>
      <c r="C60" s="188"/>
      <c r="D60" s="188"/>
    </row>
    <row r="61" spans="1:4">
      <c r="A61" s="188" t="str">
        <f>A1</f>
        <v>City of Osawatomie</v>
      </c>
      <c r="B61" s="36"/>
      <c r="C61" s="162"/>
      <c r="D61" s="36">
        <f>D1</f>
        <v>2013</v>
      </c>
    </row>
    <row r="62" spans="1:4">
      <c r="A62" s="239"/>
      <c r="B62" s="270"/>
      <c r="C62" s="270"/>
      <c r="D62" s="270"/>
    </row>
    <row r="63" spans="1:4">
      <c r="A63" s="216" t="s">
        <v>78</v>
      </c>
      <c r="B63" s="271" t="s">
        <v>770</v>
      </c>
      <c r="C63" s="135" t="s">
        <v>771</v>
      </c>
      <c r="D63" s="135" t="s">
        <v>772</v>
      </c>
    </row>
    <row r="64" spans="1:4">
      <c r="A64" s="60" t="s">
        <v>377</v>
      </c>
      <c r="B64" s="243" t="str">
        <f>CONCATENATE("Actual for ",D61-2,"")</f>
        <v>Actual for 2011</v>
      </c>
      <c r="C64" s="243" t="str">
        <f>CONCATENATE("Estimate for ",D61-1,"")</f>
        <v>Estimate for 2012</v>
      </c>
      <c r="D64" s="243" t="str">
        <f>CONCATENATE("Year for ",D61,"")</f>
        <v>Year for 2013</v>
      </c>
    </row>
    <row r="65" spans="1:4">
      <c r="A65" s="216" t="s">
        <v>90</v>
      </c>
      <c r="B65" s="76"/>
      <c r="C65" s="76"/>
      <c r="D65" s="76"/>
    </row>
    <row r="66" spans="1:4">
      <c r="A66" s="903" t="s">
        <v>1023</v>
      </c>
      <c r="B66" s="188"/>
      <c r="C66" s="188"/>
      <c r="D66" s="188"/>
    </row>
    <row r="67" spans="1:4">
      <c r="A67" s="272" t="s">
        <v>98</v>
      </c>
      <c r="B67" s="252">
        <v>77441.59</v>
      </c>
      <c r="C67" s="252">
        <v>92585.59</v>
      </c>
      <c r="D67" s="252">
        <v>60990.000000000007</v>
      </c>
    </row>
    <row r="68" spans="1:4">
      <c r="A68" s="272" t="s">
        <v>91</v>
      </c>
      <c r="B68" s="252">
        <v>28758.400000000001</v>
      </c>
      <c r="C68" s="252">
        <v>32054.731</v>
      </c>
      <c r="D68" s="252">
        <v>32287.077150000001</v>
      </c>
    </row>
    <row r="69" spans="1:4">
      <c r="A69" s="272" t="s">
        <v>92</v>
      </c>
      <c r="B69" s="252">
        <v>11128.5</v>
      </c>
      <c r="C69" s="252">
        <v>9050</v>
      </c>
      <c r="D69" s="252">
        <v>10050</v>
      </c>
    </row>
    <row r="70" spans="1:4">
      <c r="A70" s="272" t="s">
        <v>93</v>
      </c>
      <c r="B70" s="252"/>
      <c r="C70" s="252"/>
      <c r="D70" s="252"/>
    </row>
    <row r="71" spans="1:4">
      <c r="A71" s="216" t="s">
        <v>50</v>
      </c>
      <c r="B71" s="257">
        <f>SUM(B67:B70)</f>
        <v>117328.48999999999</v>
      </c>
      <c r="C71" s="257">
        <f>SUM(C67:C70)</f>
        <v>133690.321</v>
      </c>
      <c r="D71" s="257">
        <f>SUM(D67:D70)</f>
        <v>103327.07715000001</v>
      </c>
    </row>
    <row r="72" spans="1:4">
      <c r="A72" s="903" t="s">
        <v>1024</v>
      </c>
      <c r="B72" s="188"/>
      <c r="C72" s="188"/>
      <c r="D72" s="188"/>
    </row>
    <row r="73" spans="1:4">
      <c r="A73" s="272" t="s">
        <v>98</v>
      </c>
      <c r="B73" s="252">
        <v>0</v>
      </c>
      <c r="C73" s="252">
        <v>0</v>
      </c>
      <c r="D73" s="252">
        <v>0</v>
      </c>
    </row>
    <row r="74" spans="1:4">
      <c r="A74" s="272" t="s">
        <v>91</v>
      </c>
      <c r="B74" s="252">
        <v>2219.79</v>
      </c>
      <c r="C74" s="252">
        <v>0</v>
      </c>
      <c r="D74" s="252">
        <v>0</v>
      </c>
    </row>
    <row r="75" spans="1:4">
      <c r="A75" s="272" t="s">
        <v>92</v>
      </c>
      <c r="B75" s="252">
        <v>5890.16</v>
      </c>
      <c r="C75" s="252">
        <v>0</v>
      </c>
      <c r="D75" s="252">
        <v>0</v>
      </c>
    </row>
    <row r="76" spans="1:4">
      <c r="A76" s="272" t="s">
        <v>93</v>
      </c>
      <c r="B76" s="252"/>
      <c r="C76" s="252"/>
      <c r="D76" s="252"/>
    </row>
    <row r="77" spans="1:4">
      <c r="A77" s="216" t="s">
        <v>50</v>
      </c>
      <c r="B77" s="257">
        <f>SUM(B73:B76)</f>
        <v>8109.95</v>
      </c>
      <c r="C77" s="257">
        <f>SUM(C73:C76)</f>
        <v>0</v>
      </c>
      <c r="D77" s="257">
        <f>SUM(D73:D76)</f>
        <v>0</v>
      </c>
    </row>
    <row r="78" spans="1:4" hidden="1">
      <c r="A78" s="903"/>
      <c r="B78" s="188"/>
      <c r="C78" s="188"/>
      <c r="D78" s="188"/>
    </row>
    <row r="79" spans="1:4" hidden="1">
      <c r="A79" s="272" t="s">
        <v>98</v>
      </c>
      <c r="B79" s="252"/>
      <c r="C79" s="252"/>
      <c r="D79" s="252"/>
    </row>
    <row r="80" spans="1:4" hidden="1">
      <c r="A80" s="272" t="s">
        <v>91</v>
      </c>
      <c r="B80" s="252"/>
      <c r="C80" s="252"/>
      <c r="D80" s="252"/>
    </row>
    <row r="81" spans="1:4" hidden="1">
      <c r="A81" s="272" t="s">
        <v>92</v>
      </c>
      <c r="B81" s="252"/>
      <c r="C81" s="252"/>
      <c r="D81" s="252"/>
    </row>
    <row r="82" spans="1:4" hidden="1">
      <c r="A82" s="272" t="s">
        <v>93</v>
      </c>
      <c r="B82" s="252"/>
      <c r="C82" s="252"/>
      <c r="D82" s="252"/>
    </row>
    <row r="83" spans="1:4" hidden="1">
      <c r="A83" s="272"/>
      <c r="B83" s="252"/>
      <c r="C83" s="252"/>
      <c r="D83" s="252"/>
    </row>
    <row r="84" spans="1:4" hidden="1">
      <c r="A84" s="216" t="s">
        <v>50</v>
      </c>
      <c r="B84" s="257">
        <f>SUM(B79:B83)</f>
        <v>0</v>
      </c>
      <c r="C84" s="257">
        <f>SUM(C79:C83)</f>
        <v>0</v>
      </c>
      <c r="D84" s="257">
        <f>SUM(D79:D83)</f>
        <v>0</v>
      </c>
    </row>
    <row r="85" spans="1:4" hidden="1">
      <c r="A85" s="273"/>
      <c r="B85" s="188"/>
      <c r="C85" s="188"/>
      <c r="D85" s="188"/>
    </row>
    <row r="86" spans="1:4" hidden="1">
      <c r="A86" s="272" t="s">
        <v>98</v>
      </c>
      <c r="B86" s="252"/>
      <c r="C86" s="252"/>
      <c r="D86" s="252"/>
    </row>
    <row r="87" spans="1:4" hidden="1">
      <c r="A87" s="272" t="s">
        <v>91</v>
      </c>
      <c r="B87" s="252"/>
      <c r="C87" s="252"/>
      <c r="D87" s="252"/>
    </row>
    <row r="88" spans="1:4" hidden="1">
      <c r="A88" s="272" t="s">
        <v>92</v>
      </c>
      <c r="B88" s="252"/>
      <c r="C88" s="252"/>
      <c r="D88" s="252"/>
    </row>
    <row r="89" spans="1:4" hidden="1">
      <c r="A89" s="272" t="s">
        <v>93</v>
      </c>
      <c r="B89" s="252"/>
      <c r="C89" s="252"/>
      <c r="D89" s="252"/>
    </row>
    <row r="90" spans="1:4" hidden="1">
      <c r="A90" s="216" t="s">
        <v>50</v>
      </c>
      <c r="B90" s="257">
        <f>SUM(B86:B89)</f>
        <v>0</v>
      </c>
      <c r="C90" s="257">
        <f>SUM(C86:C89)</f>
        <v>0</v>
      </c>
      <c r="D90" s="257">
        <f>SUM(D86:D89)</f>
        <v>0</v>
      </c>
    </row>
    <row r="91" spans="1:4" hidden="1">
      <c r="A91" s="273"/>
      <c r="B91" s="188"/>
      <c r="C91" s="188"/>
      <c r="D91" s="188"/>
    </row>
    <row r="92" spans="1:4" hidden="1">
      <c r="A92" s="272" t="s">
        <v>98</v>
      </c>
      <c r="B92" s="252"/>
      <c r="C92" s="252"/>
      <c r="D92" s="252"/>
    </row>
    <row r="93" spans="1:4" hidden="1">
      <c r="A93" s="272" t="s">
        <v>91</v>
      </c>
      <c r="B93" s="252"/>
      <c r="C93" s="252"/>
      <c r="D93" s="252"/>
    </row>
    <row r="94" spans="1:4" hidden="1">
      <c r="A94" s="272" t="s">
        <v>92</v>
      </c>
      <c r="B94" s="252"/>
      <c r="C94" s="252"/>
      <c r="D94" s="252"/>
    </row>
    <row r="95" spans="1:4" hidden="1">
      <c r="A95" s="272" t="s">
        <v>93</v>
      </c>
      <c r="B95" s="252"/>
      <c r="C95" s="252"/>
      <c r="D95" s="252"/>
    </row>
    <row r="96" spans="1:4" hidden="1">
      <c r="A96" s="272"/>
      <c r="B96" s="252"/>
      <c r="C96" s="252"/>
      <c r="D96" s="252"/>
    </row>
    <row r="97" spans="1:4" hidden="1">
      <c r="A97" s="216" t="s">
        <v>50</v>
      </c>
      <c r="B97" s="257">
        <f>SUM(B92:B96)</f>
        <v>0</v>
      </c>
      <c r="C97" s="257">
        <f>SUM(C92:C96)</f>
        <v>0</v>
      </c>
      <c r="D97" s="257">
        <f>SUM(D92:D96)</f>
        <v>0</v>
      </c>
    </row>
    <row r="98" spans="1:4">
      <c r="A98" s="904" t="s">
        <v>1025</v>
      </c>
      <c r="B98" s="76"/>
      <c r="C98" s="76"/>
      <c r="D98" s="76"/>
    </row>
    <row r="99" spans="1:4">
      <c r="A99" s="272" t="s">
        <v>98</v>
      </c>
      <c r="B99" s="252">
        <v>19209.71</v>
      </c>
      <c r="C99" s="252">
        <v>19536.66</v>
      </c>
      <c r="D99" s="252">
        <v>21186.36</v>
      </c>
    </row>
    <row r="100" spans="1:4">
      <c r="A100" s="272" t="s">
        <v>91</v>
      </c>
      <c r="B100" s="252">
        <v>101246.09000000001</v>
      </c>
      <c r="C100" s="252">
        <v>86883.995999999999</v>
      </c>
      <c r="D100" s="252">
        <v>86930.695800000001</v>
      </c>
    </row>
    <row r="101" spans="1:4">
      <c r="A101" s="272" t="s">
        <v>92</v>
      </c>
      <c r="B101" s="252">
        <v>200.32</v>
      </c>
      <c r="C101" s="252">
        <v>300</v>
      </c>
      <c r="D101" s="252">
        <v>300</v>
      </c>
    </row>
    <row r="102" spans="1:4">
      <c r="A102" s="272" t="s">
        <v>93</v>
      </c>
      <c r="B102" s="252"/>
      <c r="C102" s="252"/>
      <c r="D102" s="252"/>
    </row>
    <row r="103" spans="1:4">
      <c r="A103" s="216" t="s">
        <v>50</v>
      </c>
      <c r="B103" s="257">
        <f>SUM(B99:B102)</f>
        <v>120656.12000000002</v>
      </c>
      <c r="C103" s="257">
        <f>SUM(C99:C102)</f>
        <v>106720.656</v>
      </c>
      <c r="D103" s="257">
        <f>SUM(D99:D102)</f>
        <v>108417.0558</v>
      </c>
    </row>
    <row r="104" spans="1:4">
      <c r="A104" s="903" t="s">
        <v>1026</v>
      </c>
      <c r="B104" s="188"/>
      <c r="C104" s="188"/>
      <c r="D104" s="188"/>
    </row>
    <row r="105" spans="1:4">
      <c r="A105" s="272" t="s">
        <v>98</v>
      </c>
      <c r="B105" s="252">
        <v>0</v>
      </c>
      <c r="C105" s="252">
        <v>0</v>
      </c>
      <c r="D105" s="252">
        <v>0</v>
      </c>
    </row>
    <row r="106" spans="1:4">
      <c r="A106" s="272" t="s">
        <v>91</v>
      </c>
      <c r="B106" s="252">
        <v>119982.56</v>
      </c>
      <c r="C106" s="252">
        <v>34250</v>
      </c>
      <c r="D106" s="252">
        <v>250</v>
      </c>
    </row>
    <row r="107" spans="1:4">
      <c r="A107" s="272" t="s">
        <v>92</v>
      </c>
      <c r="B107" s="252">
        <v>1192.28</v>
      </c>
      <c r="C107" s="252">
        <v>1750</v>
      </c>
      <c r="D107" s="252">
        <v>1750</v>
      </c>
    </row>
    <row r="108" spans="1:4">
      <c r="A108" s="272" t="s">
        <v>93</v>
      </c>
      <c r="B108" s="252">
        <v>0</v>
      </c>
      <c r="C108" s="252">
        <v>0</v>
      </c>
      <c r="D108" s="252">
        <v>5000</v>
      </c>
    </row>
    <row r="109" spans="1:4">
      <c r="A109" s="216" t="s">
        <v>50</v>
      </c>
      <c r="B109" s="257">
        <f>SUM(B105:B108)</f>
        <v>121174.84</v>
      </c>
      <c r="C109" s="257">
        <f>SUM(C105:C108)</f>
        <v>36000</v>
      </c>
      <c r="D109" s="257">
        <f>SUM(D105:D108)</f>
        <v>7000</v>
      </c>
    </row>
    <row r="110" spans="1:4">
      <c r="A110" s="903" t="s">
        <v>754</v>
      </c>
      <c r="B110" s="188"/>
      <c r="C110" s="188"/>
      <c r="D110" s="188"/>
    </row>
    <row r="111" spans="1:4">
      <c r="A111" s="272" t="s">
        <v>98</v>
      </c>
      <c r="B111" s="252">
        <v>76133.7</v>
      </c>
      <c r="C111" s="252">
        <v>82512.396000000008</v>
      </c>
      <c r="D111" s="252">
        <v>87635.6</v>
      </c>
    </row>
    <row r="112" spans="1:4">
      <c r="A112" s="272" t="s">
        <v>91</v>
      </c>
      <c r="B112" s="252">
        <v>9807.51</v>
      </c>
      <c r="C112" s="252">
        <v>12450</v>
      </c>
      <c r="D112" s="252">
        <v>14950</v>
      </c>
    </row>
    <row r="113" spans="1:4">
      <c r="A113" s="272" t="s">
        <v>92</v>
      </c>
      <c r="B113" s="252">
        <v>25484.42</v>
      </c>
      <c r="C113" s="252">
        <v>32550</v>
      </c>
      <c r="D113" s="252">
        <v>37050</v>
      </c>
    </row>
    <row r="114" spans="1:4">
      <c r="A114" s="272" t="s">
        <v>93</v>
      </c>
      <c r="B114" s="252">
        <v>986.87000000000262</v>
      </c>
      <c r="C114" s="252">
        <v>500</v>
      </c>
      <c r="D114" s="252">
        <v>500</v>
      </c>
    </row>
    <row r="115" spans="1:4">
      <c r="A115" s="216" t="s">
        <v>50</v>
      </c>
      <c r="B115" s="257">
        <f>SUM(B111:B114)</f>
        <v>112412.5</v>
      </c>
      <c r="C115" s="257">
        <f>SUM(C111:C114)</f>
        <v>128012.39600000001</v>
      </c>
      <c r="D115" s="257">
        <f>SUM(D111:D114)</f>
        <v>140135.6</v>
      </c>
    </row>
    <row r="116" spans="1:4">
      <c r="A116" s="216"/>
      <c r="B116" s="188"/>
      <c r="C116" s="188"/>
      <c r="D116" s="188"/>
    </row>
    <row r="117" spans="1:4">
      <c r="A117" s="54" t="s">
        <v>374</v>
      </c>
      <c r="B117" s="267">
        <f>B71+B77+B84+B90+B97+B103+B109+B115</f>
        <v>479681.9</v>
      </c>
      <c r="C117" s="267">
        <f>C71+C77+C84+C90+C97+C103+C109+C115</f>
        <v>404423.37300000002</v>
      </c>
      <c r="D117" s="267">
        <f>D71+D77+D84+D90+D97+D103+D109+D115</f>
        <v>358879.73294999998</v>
      </c>
    </row>
    <row r="118" spans="1:4">
      <c r="A118" s="216" t="s">
        <v>373</v>
      </c>
      <c r="B118" s="257">
        <f>B58</f>
        <v>1909144.7109999999</v>
      </c>
      <c r="C118" s="257">
        <f>C58</f>
        <v>1772030.4100000001</v>
      </c>
      <c r="D118" s="257">
        <f>D58</f>
        <v>1781780.8056999999</v>
      </c>
    </row>
    <row r="119" spans="1:4" ht="16.5" thickBot="1">
      <c r="A119" s="216" t="s">
        <v>375</v>
      </c>
      <c r="B119" s="274">
        <f>SUM(B117:B118)</f>
        <v>2388826.611</v>
      </c>
      <c r="C119" s="274">
        <f>SUM(C117:C118)</f>
        <v>2176453.7830000003</v>
      </c>
      <c r="D119" s="274">
        <f>SUM(D117:D118)</f>
        <v>2140660.53865</v>
      </c>
    </row>
    <row r="120" spans="1:4" ht="16.5" thickTop="1">
      <c r="A120" s="275" t="s">
        <v>20</v>
      </c>
      <c r="B120" s="188"/>
      <c r="C120" s="188"/>
      <c r="D120" s="188"/>
    </row>
    <row r="121" spans="1:4">
      <c r="A121" s="127" t="s">
        <v>97</v>
      </c>
      <c r="B121" s="188" t="str">
        <f>CONCATENATE("",general!C44,"d")</f>
        <v>7d</v>
      </c>
      <c r="C121" s="188"/>
      <c r="D121" s="188"/>
    </row>
  </sheetData>
  <phoneticPr fontId="0" type="noConversion"/>
  <printOptions horizontalCentered="1"/>
  <pageMargins left="0.5" right="0.5" top="0.5" bottom="0.5" header="0.3" footer="0.3"/>
  <pageSetup fitToHeight="2" orientation="portrait" blackAndWhite="1" horizontalDpi="300" verticalDpi="300" r:id="rId1"/>
  <headerFooter alignWithMargins="0"/>
  <rowBreaks count="1" manualBreakCount="1">
    <brk id="121" max="16383" man="1"/>
  </rowBreaks>
  <colBreaks count="2" manualBreakCount="2">
    <brk id="2" max="1048575" man="1"/>
    <brk id="3"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B1:P62"/>
  <sheetViews>
    <sheetView zoomScale="130" zoomScaleNormal="130" workbookViewId="0">
      <selection activeCell="G20" sqref="G20"/>
    </sheetView>
  </sheetViews>
  <sheetFormatPr defaultRowHeight="15.75"/>
  <cols>
    <col min="1" max="1" width="2.44140625" style="599" customWidth="1"/>
    <col min="2" max="2" width="31.109375" style="599" customWidth="1"/>
    <col min="3" max="4" width="15.77734375" style="599" customWidth="1"/>
    <col min="5" max="5" width="16.21875" style="599" customWidth="1"/>
    <col min="6" max="6" width="8.109375" style="599" customWidth="1"/>
    <col min="7" max="7" width="10.21875" style="599" customWidth="1"/>
    <col min="8" max="8" width="8.88671875" style="599"/>
    <col min="9" max="9" width="5" style="599" customWidth="1"/>
    <col min="10" max="10" width="10" style="599" customWidth="1"/>
    <col min="11" max="16384" width="8.88671875" style="599"/>
  </cols>
  <sheetData>
    <row r="1" spans="2:5">
      <c r="B1" s="596" t="str">
        <f>(inputPrYr!D2)</f>
        <v>City of Osawatomie</v>
      </c>
      <c r="C1" s="597"/>
      <c r="D1" s="597"/>
      <c r="E1" s="598">
        <f>inputPrYr!$C$5</f>
        <v>2013</v>
      </c>
    </row>
    <row r="2" spans="2:5">
      <c r="B2" s="597"/>
      <c r="C2" s="597"/>
      <c r="D2" s="597"/>
      <c r="E2" s="600"/>
    </row>
    <row r="3" spans="2:5">
      <c r="B3" s="601" t="s">
        <v>145</v>
      </c>
      <c r="C3" s="602"/>
      <c r="D3" s="602"/>
      <c r="E3" s="602"/>
    </row>
    <row r="4" spans="2:5">
      <c r="B4" s="603" t="s">
        <v>78</v>
      </c>
      <c r="C4" s="604" t="s">
        <v>770</v>
      </c>
      <c r="D4" s="605" t="s">
        <v>771</v>
      </c>
      <c r="E4" s="606" t="s">
        <v>772</v>
      </c>
    </row>
    <row r="5" spans="2:5">
      <c r="B5" s="607" t="str">
        <f>+(inputPrYr!B18)</f>
        <v>Bond &amp; Interest</v>
      </c>
      <c r="C5" s="608" t="str">
        <f>CONCATENATE("Actual for ",E1-2,"")</f>
        <v>Actual for 2011</v>
      </c>
      <c r="D5" s="608" t="str">
        <f>CONCATENATE("Estimate for ",E1-1,"")</f>
        <v>Estimate for 2012</v>
      </c>
      <c r="E5" s="609" t="str">
        <f>CONCATENATE("Year for ",E1,"")</f>
        <v>Year for 2013</v>
      </c>
    </row>
    <row r="6" spans="2:5">
      <c r="B6" s="610" t="s">
        <v>199</v>
      </c>
      <c r="C6" s="611">
        <v>64375.37</v>
      </c>
      <c r="D6" s="612">
        <f>C46</f>
        <v>61001.679999999935</v>
      </c>
      <c r="E6" s="613">
        <f>D46</f>
        <v>98901.849999999977</v>
      </c>
    </row>
    <row r="7" spans="2:5">
      <c r="B7" s="614" t="s">
        <v>201</v>
      </c>
      <c r="C7" s="615"/>
      <c r="D7" s="612"/>
      <c r="E7" s="616"/>
    </row>
    <row r="8" spans="2:5">
      <c r="B8" s="610" t="s">
        <v>79</v>
      </c>
      <c r="C8" s="611">
        <v>190697.73999999996</v>
      </c>
      <c r="D8" s="612">
        <f>IF(inputPrYr!H16&gt;0,inputPrYr!G18,inputPrYr!E18)</f>
        <v>236684</v>
      </c>
      <c r="E8" s="617" t="s">
        <v>67</v>
      </c>
    </row>
    <row r="9" spans="2:5">
      <c r="B9" s="610" t="s">
        <v>80</v>
      </c>
      <c r="C9" s="611">
        <v>5109.75</v>
      </c>
      <c r="D9" s="618">
        <v>5500</v>
      </c>
      <c r="E9" s="619">
        <v>5500</v>
      </c>
    </row>
    <row r="10" spans="2:5">
      <c r="B10" s="610" t="s">
        <v>81</v>
      </c>
      <c r="C10" s="611">
        <v>13506.64</v>
      </c>
      <c r="D10" s="618">
        <v>18549</v>
      </c>
      <c r="E10" s="620">
        <f>mvalloc!D8</f>
        <v>24019</v>
      </c>
    </row>
    <row r="11" spans="2:5">
      <c r="B11" s="610" t="s">
        <v>82</v>
      </c>
      <c r="C11" s="611"/>
      <c r="D11" s="618">
        <v>313</v>
      </c>
      <c r="E11" s="620">
        <f>mvalloc!E8</f>
        <v>339</v>
      </c>
    </row>
    <row r="12" spans="2:5">
      <c r="B12" s="621" t="s">
        <v>177</v>
      </c>
      <c r="C12" s="611"/>
      <c r="D12" s="618">
        <v>130</v>
      </c>
      <c r="E12" s="620">
        <f>mvalloc!F8</f>
        <v>121</v>
      </c>
    </row>
    <row r="13" spans="2:5">
      <c r="B13" s="544" t="s">
        <v>1039</v>
      </c>
      <c r="C13" s="611">
        <v>189.68</v>
      </c>
      <c r="D13" s="618"/>
      <c r="E13" s="619"/>
    </row>
    <row r="14" spans="2:5">
      <c r="B14" s="543" t="s">
        <v>1040</v>
      </c>
      <c r="C14" s="611">
        <v>200000</v>
      </c>
      <c r="D14" s="618">
        <v>310000</v>
      </c>
      <c r="E14" s="619">
        <v>434000</v>
      </c>
    </row>
    <row r="15" spans="2:5">
      <c r="B15" s="543" t="s">
        <v>1011</v>
      </c>
      <c r="C15" s="611"/>
      <c r="D15" s="618">
        <v>27235</v>
      </c>
      <c r="E15" s="622">
        <v>59827</v>
      </c>
    </row>
    <row r="16" spans="2:5">
      <c r="B16" s="624" t="s">
        <v>86</v>
      </c>
      <c r="C16" s="611"/>
      <c r="D16" s="618"/>
      <c r="E16" s="619"/>
    </row>
    <row r="17" spans="2:10">
      <c r="B17" s="625" t="s">
        <v>838</v>
      </c>
      <c r="C17" s="623"/>
      <c r="D17" s="618"/>
      <c r="E17" s="626"/>
    </row>
    <row r="18" spans="2:10">
      <c r="B18" s="625" t="s">
        <v>746</v>
      </c>
      <c r="C18" s="627" t="str">
        <f>IF(C19*0.1&lt;C17,"Exceed 10% Rule","")</f>
        <v/>
      </c>
      <c r="D18" s="628" t="str">
        <f>IF(D19*0.1&lt;D17,"Exceed 10% Rule","")</f>
        <v/>
      </c>
      <c r="E18" s="629" t="str">
        <f>IF(E19*0.1+E52&lt;E17,"Exceed 10% Rule","")</f>
        <v/>
      </c>
    </row>
    <row r="19" spans="2:10">
      <c r="B19" s="630" t="s">
        <v>87</v>
      </c>
      <c r="C19" s="631">
        <f>SUM(C8:C17)</f>
        <v>409503.80999999994</v>
      </c>
      <c r="D19" s="632">
        <f>SUM(D8:D17)</f>
        <v>598411</v>
      </c>
      <c r="E19" s="633">
        <f>SUM(E8:E17)</f>
        <v>523806</v>
      </c>
    </row>
    <row r="20" spans="2:10">
      <c r="B20" s="630" t="s">
        <v>88</v>
      </c>
      <c r="C20" s="631">
        <f>C6+C19</f>
        <v>473879.17999999993</v>
      </c>
      <c r="D20" s="632">
        <f>D6+D19</f>
        <v>659412.67999999993</v>
      </c>
      <c r="E20" s="634">
        <f>E6+E19</f>
        <v>622707.85</v>
      </c>
      <c r="G20" s="912"/>
    </row>
    <row r="21" spans="2:10">
      <c r="B21" s="614" t="s">
        <v>90</v>
      </c>
      <c r="C21" s="635"/>
      <c r="D21" s="636"/>
      <c r="E21" s="620"/>
    </row>
    <row r="22" spans="2:10">
      <c r="B22" s="637" t="s">
        <v>1041</v>
      </c>
      <c r="C22" s="623">
        <v>136000</v>
      </c>
      <c r="D22" s="618">
        <v>282000</v>
      </c>
      <c r="E22" s="638">
        <v>444000</v>
      </c>
    </row>
    <row r="23" spans="2:10">
      <c r="B23" s="637" t="s">
        <v>1042</v>
      </c>
      <c r="C23" s="623">
        <v>276877.5</v>
      </c>
      <c r="D23" s="618">
        <v>278510.82999999996</v>
      </c>
      <c r="E23" s="638">
        <v>308787.5</v>
      </c>
    </row>
    <row r="24" spans="2:10" hidden="1">
      <c r="B24" s="639"/>
      <c r="C24" s="623"/>
      <c r="D24" s="618"/>
      <c r="E24" s="638"/>
    </row>
    <row r="25" spans="2:10" hidden="1">
      <c r="B25" s="639"/>
      <c r="C25" s="623"/>
      <c r="D25" s="618"/>
      <c r="E25" s="638"/>
    </row>
    <row r="26" spans="2:10" hidden="1">
      <c r="B26" s="639"/>
      <c r="C26" s="623"/>
      <c r="D26" s="618"/>
      <c r="E26" s="638"/>
    </row>
    <row r="27" spans="2:10" hidden="1">
      <c r="B27" s="640"/>
      <c r="C27" s="623"/>
      <c r="D27" s="618"/>
      <c r="E27" s="619"/>
    </row>
    <row r="28" spans="2:10" hidden="1">
      <c r="B28" s="640"/>
      <c r="C28" s="623"/>
      <c r="D28" s="618"/>
      <c r="E28" s="619"/>
    </row>
    <row r="29" spans="2:10" hidden="1">
      <c r="B29" s="640"/>
      <c r="C29" s="623"/>
      <c r="D29" s="618"/>
      <c r="E29" s="619"/>
    </row>
    <row r="30" spans="2:10" hidden="1">
      <c r="B30" s="640"/>
      <c r="C30" s="623"/>
      <c r="D30" s="618"/>
      <c r="E30" s="619"/>
    </row>
    <row r="31" spans="2:10" hidden="1">
      <c r="B31" s="640"/>
      <c r="C31" s="623"/>
      <c r="D31" s="618"/>
      <c r="E31" s="619"/>
    </row>
    <row r="32" spans="2:10" hidden="1">
      <c r="B32" s="640"/>
      <c r="C32" s="623"/>
      <c r="D32" s="618"/>
      <c r="E32" s="619"/>
      <c r="G32" s="978"/>
      <c r="H32" s="978"/>
      <c r="I32" s="978"/>
      <c r="J32" s="979"/>
    </row>
    <row r="33" spans="2:11" hidden="1">
      <c r="B33" s="640"/>
      <c r="C33" s="623"/>
      <c r="D33" s="618"/>
      <c r="E33" s="619"/>
      <c r="G33" s="643"/>
      <c r="H33" s="643"/>
      <c r="I33" s="643"/>
      <c r="J33" s="643"/>
    </row>
    <row r="34" spans="2:11" hidden="1">
      <c r="B34" s="640"/>
      <c r="C34" s="623"/>
      <c r="D34" s="618"/>
      <c r="E34" s="619"/>
      <c r="G34" s="644"/>
      <c r="H34" s="645"/>
      <c r="I34" s="643"/>
      <c r="J34" s="643"/>
    </row>
    <row r="35" spans="2:11" hidden="1">
      <c r="B35" s="640"/>
      <c r="C35" s="623"/>
      <c r="D35" s="618"/>
      <c r="E35" s="619"/>
      <c r="G35" s="644"/>
      <c r="H35" s="643"/>
      <c r="I35" s="643"/>
      <c r="J35" s="643"/>
    </row>
    <row r="36" spans="2:11" hidden="1">
      <c r="B36" s="637"/>
      <c r="C36" s="623"/>
      <c r="D36" s="618"/>
      <c r="E36" s="622"/>
      <c r="G36" s="980" t="str">
        <f>CONCATENATE("Desired Carryover Into ",E1+1,"")</f>
        <v>Desired Carryover Into 2014</v>
      </c>
      <c r="H36" s="981"/>
      <c r="I36" s="981"/>
      <c r="J36" s="982"/>
    </row>
    <row r="37" spans="2:11" hidden="1">
      <c r="B37" s="637"/>
      <c r="C37" s="623"/>
      <c r="D37" s="618"/>
      <c r="E37" s="619"/>
      <c r="G37" s="646"/>
      <c r="H37" s="647"/>
      <c r="I37" s="648"/>
      <c r="J37" s="649"/>
    </row>
    <row r="38" spans="2:11" hidden="1">
      <c r="B38" s="637"/>
      <c r="C38" s="623"/>
      <c r="D38" s="618"/>
      <c r="E38" s="619"/>
      <c r="G38" s="650" t="s">
        <v>734</v>
      </c>
      <c r="H38" s="648"/>
      <c r="I38" s="648"/>
      <c r="J38" s="651">
        <v>0</v>
      </c>
    </row>
    <row r="39" spans="2:11" hidden="1">
      <c r="B39" s="637"/>
      <c r="C39" s="623"/>
      <c r="D39" s="618"/>
      <c r="E39" s="619"/>
      <c r="G39" s="646" t="s">
        <v>735</v>
      </c>
      <c r="H39" s="647"/>
      <c r="I39" s="647"/>
      <c r="J39" s="652" t="str">
        <f>IF(J38=0,"",ROUND((J38+E52-G51)/inputOth!E9*1000,3)-G56)</f>
        <v/>
      </c>
    </row>
    <row r="40" spans="2:11" hidden="1">
      <c r="B40" s="637"/>
      <c r="C40" s="623"/>
      <c r="D40" s="618"/>
      <c r="E40" s="619"/>
      <c r="G40" s="653" t="str">
        <f>CONCATENATE("",E1," Tot Exp/Non-Appr Must Be:")</f>
        <v>2013 Tot Exp/Non-Appr Must Be:</v>
      </c>
      <c r="H40" s="654"/>
      <c r="I40" s="655"/>
      <c r="J40" s="656">
        <f>IF(J38&gt;0,IF(E49&lt;E20,IF(J38=G51,E49,((J38-G51)*(1-D51))+E20),E49+(J38-G51)),0)</f>
        <v>0</v>
      </c>
    </row>
    <row r="41" spans="2:11" hidden="1">
      <c r="B41" s="637"/>
      <c r="C41" s="623"/>
      <c r="D41" s="618"/>
      <c r="E41" s="619"/>
      <c r="G41" s="657" t="s">
        <v>773</v>
      </c>
      <c r="H41" s="658"/>
      <c r="I41" s="658"/>
      <c r="J41" s="659">
        <f>IF(J38&gt;0,J40-E49,0)</f>
        <v>0</v>
      </c>
    </row>
    <row r="42" spans="2:11" hidden="1">
      <c r="B42" s="625" t="s">
        <v>837</v>
      </c>
      <c r="C42" s="623"/>
      <c r="D42" s="618"/>
      <c r="E42" s="620" t="str">
        <f>nhood!E7</f>
        <v/>
      </c>
    </row>
    <row r="43" spans="2:11">
      <c r="B43" s="625" t="s">
        <v>838</v>
      </c>
      <c r="C43" s="623"/>
      <c r="D43" s="618"/>
      <c r="E43" s="619">
        <v>60000</v>
      </c>
      <c r="G43" s="980" t="str">
        <f>CONCATENATE("Projected Carryover Into ",E1+1,"")</f>
        <v>Projected Carryover Into 2014</v>
      </c>
      <c r="H43" s="981"/>
      <c r="I43" s="981"/>
      <c r="J43" s="982"/>
    </row>
    <row r="44" spans="2:11">
      <c r="B44" s="625" t="s">
        <v>747</v>
      </c>
      <c r="C44" s="627" t="str">
        <f>IF(C45*0.1&lt;C43,"Exceed 10% Rule","")</f>
        <v/>
      </c>
      <c r="D44" s="628" t="str">
        <f>IF(D45*0.1&lt;D43,"Exceed 10% Rule","")</f>
        <v/>
      </c>
      <c r="E44" s="629" t="str">
        <f>IF(E45*0.1&lt;E43,"Exceed 10% Rule","")</f>
        <v/>
      </c>
      <c r="G44" s="660"/>
      <c r="H44" s="647"/>
      <c r="I44" s="647"/>
      <c r="J44" s="661"/>
    </row>
    <row r="45" spans="2:11">
      <c r="B45" s="630" t="s">
        <v>94</v>
      </c>
      <c r="C45" s="631">
        <f>SUM(C22:C43)</f>
        <v>412877.5</v>
      </c>
      <c r="D45" s="632">
        <f>SUM(D22:D43)</f>
        <v>560510.82999999996</v>
      </c>
      <c r="E45" s="633">
        <f>SUM(E22:E43)</f>
        <v>812787.5</v>
      </c>
      <c r="G45" s="662">
        <f>D46</f>
        <v>98901.849999999977</v>
      </c>
      <c r="H45" s="663" t="str">
        <f>CONCATENATE("",E1-1," Ending Cash Balance (est.)")</f>
        <v>2012 Ending Cash Balance (est.)</v>
      </c>
      <c r="I45" s="664"/>
      <c r="J45" s="661"/>
    </row>
    <row r="46" spans="2:11">
      <c r="B46" s="610" t="s">
        <v>200</v>
      </c>
      <c r="C46" s="665">
        <f>C20-C45</f>
        <v>61001.679999999935</v>
      </c>
      <c r="D46" s="666">
        <f>D20-D45</f>
        <v>98901.849999999977</v>
      </c>
      <c r="E46" s="617" t="s">
        <v>67</v>
      </c>
      <c r="G46" s="662">
        <f>E19</f>
        <v>523806</v>
      </c>
      <c r="H46" s="648" t="str">
        <f>CONCATENATE("",E1," Non-AV Receipts (est.)")</f>
        <v>2013 Non-AV Receipts (est.)</v>
      </c>
      <c r="I46" s="664"/>
      <c r="J46" s="661"/>
    </row>
    <row r="47" spans="2:11">
      <c r="B47" s="667" t="str">
        <f>CONCATENATE("",E1-2,"/",E1-1," Budget Authority Amount:")</f>
        <v>2011/2012 Budget Authority Amount:</v>
      </c>
      <c r="C47" s="668">
        <f>inputOth!B64</f>
        <v>482519</v>
      </c>
      <c r="D47" s="668">
        <f>inputPrYr!D18</f>
        <v>544658</v>
      </c>
      <c r="E47" s="617" t="s">
        <v>67</v>
      </c>
      <c r="F47" s="669"/>
      <c r="G47" s="670">
        <f>IF(E51&gt;0,E50,E52)</f>
        <v>223971.65000000002</v>
      </c>
      <c r="H47" s="648" t="str">
        <f>CONCATENATE("",E1," Ad Valorem Tax (est.)")</f>
        <v>2013 Ad Valorem Tax (est.)</v>
      </c>
      <c r="I47" s="664"/>
      <c r="J47" s="661"/>
      <c r="K47" s="671" t="str">
        <f>IF(G47=E52,"","Note: Does not include Delinquent Taxes")</f>
        <v>Note: Does not include Delinquent Taxes</v>
      </c>
    </row>
    <row r="48" spans="2:11">
      <c r="B48" s="667"/>
      <c r="C48" s="965" t="s">
        <v>591</v>
      </c>
      <c r="D48" s="966"/>
      <c r="E48" s="672">
        <v>33892</v>
      </c>
      <c r="F48" s="673" t="str">
        <f>IF(E45/0.95-E45&lt;E48,"Exceeds 5%","")</f>
        <v/>
      </c>
      <c r="G48" s="662">
        <f>SUM(G45:G47)</f>
        <v>846679.5</v>
      </c>
      <c r="H48" s="648" t="str">
        <f>CONCATENATE("Total ",E1," Resources Available")</f>
        <v>Total 2013 Resources Available</v>
      </c>
      <c r="I48" s="664"/>
      <c r="J48" s="661"/>
    </row>
    <row r="49" spans="2:16">
      <c r="B49" s="674" t="str">
        <f>CONCATENATE(C61,"     ",D61)</f>
        <v xml:space="preserve">     See Tab C</v>
      </c>
      <c r="C49" s="967" t="s">
        <v>592</v>
      </c>
      <c r="D49" s="968"/>
      <c r="E49" s="675">
        <f>E45+E48</f>
        <v>846679.5</v>
      </c>
      <c r="G49" s="676"/>
      <c r="H49" s="648"/>
      <c r="I49" s="648"/>
      <c r="J49" s="661"/>
    </row>
    <row r="50" spans="2:16">
      <c r="B50" s="674" t="str">
        <f>CONCATENATE(C62,"     ",D62)</f>
        <v xml:space="preserve">     </v>
      </c>
      <c r="C50" s="677"/>
      <c r="D50" s="600" t="s">
        <v>95</v>
      </c>
      <c r="E50" s="678">
        <f>IF(E49-E20&gt;0,E49-E20,0)</f>
        <v>223971.65000000002</v>
      </c>
      <c r="G50" s="670">
        <f>ROUND(C45*0.05+C45,0)</f>
        <v>433521</v>
      </c>
      <c r="H50" s="648" t="str">
        <f>CONCATENATE("Less ",E1-2," Expenditures + 5%")</f>
        <v>Less 2011 Expenditures + 5%</v>
      </c>
      <c r="I50" s="664"/>
      <c r="J50" s="661"/>
    </row>
    <row r="51" spans="2:16">
      <c r="B51" s="679"/>
      <c r="C51" s="379" t="s">
        <v>590</v>
      </c>
      <c r="D51" s="680">
        <f>inputOth!E50</f>
        <v>0.06</v>
      </c>
      <c r="E51" s="675">
        <f>ROUND(IF(D51&gt;0,(E50*D51),0),0)</f>
        <v>13438</v>
      </c>
      <c r="G51" s="681">
        <f>G48-G50</f>
        <v>413158.5</v>
      </c>
      <c r="H51" s="682" t="str">
        <f>CONCATENATE("Projected ",E1+1," Carryover (est.)")</f>
        <v>Projected 2014 Carryover (est.)</v>
      </c>
      <c r="I51" s="683"/>
      <c r="J51" s="684"/>
    </row>
    <row r="52" spans="2:16" ht="16.5" thickBot="1">
      <c r="B52" s="597"/>
      <c r="C52" s="971" t="str">
        <f>CONCATENATE("Amount of  ",E1-1," Ad Valorem Tax")</f>
        <v>Amount of  2012 Ad Valorem Tax</v>
      </c>
      <c r="D52" s="972"/>
      <c r="E52" s="685">
        <f>E50+E51</f>
        <v>237409.65000000002</v>
      </c>
    </row>
    <row r="53" spans="2:16" ht="16.5" thickTop="1">
      <c r="B53" s="600"/>
      <c r="C53" s="597"/>
      <c r="D53" s="597"/>
      <c r="E53" s="597"/>
      <c r="G53" s="973" t="s">
        <v>774</v>
      </c>
      <c r="H53" s="974"/>
      <c r="I53" s="974"/>
      <c r="J53" s="975"/>
    </row>
    <row r="54" spans="2:16">
      <c r="B54" s="667" t="s">
        <v>97</v>
      </c>
      <c r="C54" s="686">
        <v>8</v>
      </c>
      <c r="D54" s="597"/>
      <c r="E54" s="597"/>
      <c r="G54" s="687"/>
      <c r="H54" s="663"/>
      <c r="I54" s="688"/>
      <c r="J54" s="689"/>
      <c r="M54" s="976"/>
      <c r="N54" s="976"/>
      <c r="O54" s="976"/>
      <c r="P54" s="977"/>
    </row>
    <row r="55" spans="2:16">
      <c r="G55" s="690">
        <f>summ!H16</f>
        <v>10.445</v>
      </c>
      <c r="H55" s="663" t="str">
        <f>CONCATENATE("",E1," Fund Mill Rate")</f>
        <v>2013 Fund Mill Rate</v>
      </c>
      <c r="I55" s="688"/>
      <c r="J55" s="689"/>
      <c r="M55" s="691"/>
      <c r="N55" s="691"/>
      <c r="O55" s="691"/>
      <c r="P55" s="691"/>
    </row>
    <row r="56" spans="2:16">
      <c r="C56" s="641"/>
      <c r="D56" s="641"/>
      <c r="E56" s="692"/>
      <c r="F56" s="642"/>
      <c r="G56" s="693">
        <f>summ!E16</f>
        <v>10.945</v>
      </c>
      <c r="H56" s="663" t="str">
        <f>CONCATENATE("",E1-1," Fund Mill Rate")</f>
        <v>2012 Fund Mill Rate</v>
      </c>
      <c r="I56" s="688"/>
      <c r="J56" s="689"/>
      <c r="L56" s="694"/>
      <c r="M56" s="695"/>
      <c r="N56" s="696"/>
      <c r="O56" s="696"/>
      <c r="P56" s="697"/>
    </row>
    <row r="57" spans="2:16">
      <c r="C57" s="698"/>
      <c r="D57" s="643"/>
      <c r="E57" s="692"/>
      <c r="F57" s="643"/>
      <c r="G57" s="699">
        <f>summ!H52</f>
        <v>58.234000000000002</v>
      </c>
      <c r="H57" s="663" t="str">
        <f>CONCATENATE("Total ",E1," Mill Rate")</f>
        <v>Total 2013 Mill Rate</v>
      </c>
      <c r="I57" s="688"/>
      <c r="J57" s="689"/>
      <c r="M57" s="698"/>
      <c r="N57" s="643"/>
      <c r="O57" s="698"/>
      <c r="P57" s="697"/>
    </row>
    <row r="58" spans="2:16">
      <c r="C58" s="700"/>
      <c r="D58" s="701"/>
      <c r="E58" s="692"/>
      <c r="F58" s="643"/>
      <c r="G58" s="693">
        <f>summ!E52</f>
        <v>53.734000000000002</v>
      </c>
      <c r="H58" s="702" t="str">
        <f>CONCATENATE("Total ",E1-1," Mill Rate")</f>
        <v>Total 2012 Mill Rate</v>
      </c>
      <c r="I58" s="703"/>
      <c r="J58" s="704"/>
      <c r="M58" s="698"/>
      <c r="N58" s="643"/>
      <c r="O58" s="698"/>
      <c r="P58" s="705"/>
    </row>
    <row r="59" spans="2:16" ht="14.25" customHeight="1">
      <c r="C59" s="644"/>
      <c r="D59" s="643"/>
      <c r="E59" s="643"/>
      <c r="F59" s="643"/>
      <c r="G59" s="696"/>
      <c r="H59" s="691"/>
      <c r="I59" s="691"/>
      <c r="J59" s="706"/>
    </row>
    <row r="60" spans="2:16">
      <c r="C60" s="644"/>
      <c r="D60" s="643"/>
      <c r="E60" s="643"/>
      <c r="F60" s="643"/>
      <c r="G60" s="707"/>
      <c r="H60" s="691"/>
      <c r="I60" s="696"/>
      <c r="J60" s="708"/>
    </row>
    <row r="61" spans="2:16" hidden="1">
      <c r="C61" s="709" t="str">
        <f>IF(C45&gt;C47,"See Tab A","")</f>
        <v/>
      </c>
      <c r="D61" s="710" t="str">
        <f>IF(D45&gt;D47,"See Tab C","")</f>
        <v>See Tab C</v>
      </c>
      <c r="E61" s="643"/>
      <c r="F61" s="643"/>
    </row>
    <row r="62" spans="2:16" hidden="1">
      <c r="C62" s="711" t="str">
        <f>IF(C46&lt;0,"See Tab B","")</f>
        <v/>
      </c>
      <c r="D62" s="711" t="str">
        <f>IF(D46&lt;0,"See Tab D","")</f>
        <v/>
      </c>
    </row>
  </sheetData>
  <mergeCells count="8">
    <mergeCell ref="C52:D52"/>
    <mergeCell ref="G53:J53"/>
    <mergeCell ref="M54:P54"/>
    <mergeCell ref="G32:J32"/>
    <mergeCell ref="G36:J36"/>
    <mergeCell ref="G43:J43"/>
    <mergeCell ref="C48:D48"/>
    <mergeCell ref="C49:D49"/>
  </mergeCells>
  <phoneticPr fontId="0" type="noConversion"/>
  <conditionalFormatting sqref="E43">
    <cfRule type="cellIs" dxfId="314" priority="11" stopIfTrue="1" operator="greaterThan">
      <formula>$E$45*0.1</formula>
    </cfRule>
  </conditionalFormatting>
  <conditionalFormatting sqref="E48">
    <cfRule type="cellIs" dxfId="313" priority="10" stopIfTrue="1" operator="greaterThan">
      <formula>$E$45/0.95-$E$45</formula>
    </cfRule>
  </conditionalFormatting>
  <conditionalFormatting sqref="C46">
    <cfRule type="cellIs" dxfId="312" priority="9" stopIfTrue="1" operator="lessThan">
      <formula>0</formula>
    </cfRule>
  </conditionalFormatting>
  <conditionalFormatting sqref="C45">
    <cfRule type="cellIs" dxfId="311" priority="8" stopIfTrue="1" operator="greaterThan">
      <formula>$C$47</formula>
    </cfRule>
  </conditionalFormatting>
  <conditionalFormatting sqref="C43">
    <cfRule type="cellIs" dxfId="310" priority="7" stopIfTrue="1" operator="greaterThan">
      <formula>$C$45*0.1</formula>
    </cfRule>
  </conditionalFormatting>
  <conditionalFormatting sqref="D43">
    <cfRule type="cellIs" dxfId="309" priority="6" stopIfTrue="1" operator="greaterThan">
      <formula>$D$45*0.1</formula>
    </cfRule>
  </conditionalFormatting>
  <conditionalFormatting sqref="C17">
    <cfRule type="cellIs" dxfId="308" priority="5" stopIfTrue="1" operator="greaterThan">
      <formula>$C$19*0.1</formula>
    </cfRule>
  </conditionalFormatting>
  <conditionalFormatting sqref="D17">
    <cfRule type="cellIs" dxfId="307" priority="4" stopIfTrue="1" operator="greaterThan">
      <formula>$D$19*0.1</formula>
    </cfRule>
  </conditionalFormatting>
  <conditionalFormatting sqref="E17">
    <cfRule type="cellIs" dxfId="306" priority="3" stopIfTrue="1" operator="greaterThan">
      <formula>$E$19*0.1+E52</formula>
    </cfRule>
  </conditionalFormatting>
  <conditionalFormatting sqref="D46">
    <cfRule type="cellIs" dxfId="305" priority="2" stopIfTrue="1" operator="lessThan">
      <formula>0</formula>
    </cfRule>
  </conditionalFormatting>
  <conditionalFormatting sqref="D45">
    <cfRule type="cellIs" dxfId="304" priority="1" stopIfTrue="1" operator="greaterThan">
      <formula>$D$47</formula>
    </cfRule>
  </conditionalFormatting>
  <printOptions horizontalCentered="1"/>
  <pageMargins left="0.5" right="0.5" top="0.5" bottom="0.5" header="0.3" footer="0.3"/>
  <pageSetup orientation="portrait" blackAndWhite="1" horizontalDpi="120" verticalDpi="144"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B1:K88"/>
  <sheetViews>
    <sheetView topLeftCell="A18" zoomScaleNormal="100" workbookViewId="0">
      <selection activeCell="E33" sqref="E33"/>
    </sheetView>
  </sheetViews>
  <sheetFormatPr defaultRowHeight="15.75"/>
  <cols>
    <col min="1" max="1" width="2.44140625" style="34" customWidth="1"/>
    <col min="2" max="2" width="31.109375" style="34" customWidth="1"/>
    <col min="3" max="4" width="15.77734375" style="34" customWidth="1"/>
    <col min="5" max="5" width="16.21875" style="34" customWidth="1"/>
    <col min="6" max="6" width="8.109375" style="34" customWidth="1"/>
    <col min="7" max="7" width="10.21875" style="34" customWidth="1"/>
    <col min="8" max="8" width="8.88671875" style="34"/>
    <col min="9" max="9" width="5" style="34" customWidth="1"/>
    <col min="10" max="10" width="10.88671875" style="34" customWidth="1"/>
    <col min="11" max="16384" width="8.88671875" style="34"/>
  </cols>
  <sheetData>
    <row r="1" spans="2:9">
      <c r="B1" s="397" t="str">
        <f>inputPrYr!D2</f>
        <v>City of Osawatomie</v>
      </c>
      <c r="C1" s="397"/>
      <c r="D1" s="382"/>
      <c r="E1" s="390">
        <f>inputPrYr!C5</f>
        <v>2013</v>
      </c>
    </row>
    <row r="2" spans="2:9">
      <c r="B2" s="382"/>
      <c r="C2" s="382"/>
      <c r="D2" s="382"/>
      <c r="E2" s="399"/>
    </row>
    <row r="3" spans="2:9">
      <c r="B3" s="385" t="s">
        <v>145</v>
      </c>
      <c r="C3" s="385"/>
      <c r="D3" s="402"/>
      <c r="E3" s="391"/>
    </row>
    <row r="4" spans="2:9">
      <c r="B4" s="384" t="s">
        <v>78</v>
      </c>
      <c r="C4" s="416" t="s">
        <v>770</v>
      </c>
      <c r="D4" s="415" t="s">
        <v>771</v>
      </c>
      <c r="E4" s="392" t="s">
        <v>772</v>
      </c>
    </row>
    <row r="5" spans="2:9">
      <c r="B5" s="425" t="str">
        <f>inputPrYr!B19</f>
        <v>Library</v>
      </c>
      <c r="C5" s="417" t="str">
        <f>CONCATENATE("Actual for ",E1-2,"")</f>
        <v>Actual for 2011</v>
      </c>
      <c r="D5" s="417" t="str">
        <f>CONCATENATE("Estimate for ",E1-1,"")</f>
        <v>Estimate for 2012</v>
      </c>
      <c r="E5" s="401" t="str">
        <f>CONCATENATE("Year for ",E1,"")</f>
        <v>Year for 2013</v>
      </c>
    </row>
    <row r="6" spans="2:9">
      <c r="B6" s="393" t="s">
        <v>199</v>
      </c>
      <c r="C6" s="421">
        <v>109550.06</v>
      </c>
      <c r="D6" s="420">
        <f>C30</f>
        <v>91625.549999999988</v>
      </c>
      <c r="E6" s="394">
        <f>D30</f>
        <v>107788.04999999999</v>
      </c>
    </row>
    <row r="7" spans="2:9">
      <c r="B7" s="393" t="s">
        <v>201</v>
      </c>
      <c r="C7" s="395"/>
      <c r="D7" s="420"/>
      <c r="E7" s="394"/>
    </row>
    <row r="8" spans="2:9">
      <c r="B8" s="393" t="s">
        <v>79</v>
      </c>
      <c r="C8" s="418">
        <v>51.990000000000009</v>
      </c>
      <c r="D8" s="420">
        <f>IF(inputPrYr!H16&gt;0,inputPrYr!G19,inputPrYr!E19)</f>
        <v>0</v>
      </c>
      <c r="E8" s="411" t="s">
        <v>67</v>
      </c>
    </row>
    <row r="9" spans="2:9">
      <c r="B9" s="393" t="s">
        <v>80</v>
      </c>
      <c r="C9" s="418">
        <v>1197.8499999999999</v>
      </c>
      <c r="D9" s="422">
        <v>500</v>
      </c>
      <c r="E9" s="386"/>
    </row>
    <row r="10" spans="2:9">
      <c r="B10" s="393" t="s">
        <v>81</v>
      </c>
      <c r="C10" s="418">
        <v>1549.51</v>
      </c>
      <c r="D10" s="422"/>
      <c r="E10" s="394" t="str">
        <f>mvalloc!D9</f>
        <v xml:space="preserve">  </v>
      </c>
    </row>
    <row r="11" spans="2:9">
      <c r="B11" s="393" t="s">
        <v>82</v>
      </c>
      <c r="C11" s="418">
        <v>11.370000000000001</v>
      </c>
      <c r="D11" s="422"/>
      <c r="E11" s="394" t="str">
        <f>mvalloc!E9</f>
        <v xml:space="preserve"> </v>
      </c>
    </row>
    <row r="12" spans="2:9" hidden="1">
      <c r="B12" s="396" t="s">
        <v>177</v>
      </c>
      <c r="C12" s="418"/>
      <c r="D12" s="422"/>
      <c r="E12" s="394" t="str">
        <f>mvalloc!F9</f>
        <v xml:space="preserve"> </v>
      </c>
    </row>
    <row r="13" spans="2:9">
      <c r="B13" s="413" t="s">
        <v>1043</v>
      </c>
      <c r="C13" s="418">
        <v>8262.5</v>
      </c>
      <c r="D13" s="422">
        <v>8262.5</v>
      </c>
      <c r="E13" s="386"/>
    </row>
    <row r="14" spans="2:9">
      <c r="B14" s="413" t="s">
        <v>1044</v>
      </c>
      <c r="C14" s="418">
        <v>9698.9700000000012</v>
      </c>
      <c r="D14" s="422">
        <v>6800</v>
      </c>
      <c r="E14" s="386">
        <v>22000</v>
      </c>
    </row>
    <row r="15" spans="2:9">
      <c r="B15" s="408" t="s">
        <v>86</v>
      </c>
      <c r="C15" s="418">
        <v>864.28</v>
      </c>
      <c r="D15" s="422">
        <v>600</v>
      </c>
      <c r="E15" s="386">
        <v>600</v>
      </c>
      <c r="F15" s="381"/>
      <c r="G15" s="381"/>
      <c r="H15" s="381"/>
      <c r="I15" s="381"/>
    </row>
    <row r="16" spans="2:9" hidden="1">
      <c r="B16" s="393" t="s">
        <v>838</v>
      </c>
      <c r="C16" s="249"/>
      <c r="D16" s="249"/>
      <c r="E16" s="56"/>
      <c r="F16" s="381"/>
      <c r="G16" s="381"/>
      <c r="H16" s="381"/>
      <c r="I16" s="381"/>
    </row>
    <row r="17" spans="2:10" hidden="1">
      <c r="B17" s="393" t="s">
        <v>746</v>
      </c>
      <c r="C17" s="254" t="str">
        <f>IF(C18*0.1&lt;C16,"Exceed 10% Rule","")</f>
        <v/>
      </c>
      <c r="D17" s="254" t="str">
        <f>IF(D18*0.1&lt;D16,"Exceed 10% Rule","")</f>
        <v/>
      </c>
      <c r="E17" s="291" t="str">
        <f>IF(E18*0.1+E36&lt;E16,"Exceed 10% Rule","")</f>
        <v/>
      </c>
      <c r="F17" s="381"/>
      <c r="G17" s="381"/>
      <c r="H17" s="381"/>
      <c r="I17" s="381"/>
    </row>
    <row r="18" spans="2:10">
      <c r="B18" s="404" t="s">
        <v>87</v>
      </c>
      <c r="C18" s="423">
        <f>SUM(C8:C16)</f>
        <v>21636.47</v>
      </c>
      <c r="D18" s="423">
        <f>SUM(D8:D16)</f>
        <v>16162.5</v>
      </c>
      <c r="E18" s="414">
        <f>SUM(E9:E16)</f>
        <v>22600</v>
      </c>
      <c r="F18" s="381"/>
      <c r="G18" s="381"/>
      <c r="H18" s="381"/>
      <c r="I18" s="381"/>
    </row>
    <row r="19" spans="2:10">
      <c r="B19" s="404" t="s">
        <v>88</v>
      </c>
      <c r="C19" s="423">
        <f>SUM(C6+C18)</f>
        <v>131186.53</v>
      </c>
      <c r="D19" s="423">
        <f>SUM(D6+D18)</f>
        <v>107788.04999999999</v>
      </c>
      <c r="E19" s="414">
        <f>SUM(E6+E18)</f>
        <v>130388.04999999999</v>
      </c>
      <c r="F19" s="381"/>
      <c r="G19" s="381"/>
      <c r="H19" s="381"/>
      <c r="I19" s="381"/>
    </row>
    <row r="20" spans="2:10">
      <c r="B20" s="393" t="s">
        <v>90</v>
      </c>
      <c r="C20" s="393"/>
      <c r="D20" s="420"/>
      <c r="E20" s="394"/>
      <c r="F20" s="381"/>
      <c r="G20" s="381"/>
      <c r="H20" s="381"/>
      <c r="I20" s="381"/>
    </row>
    <row r="21" spans="2:10">
      <c r="B21" s="413" t="s">
        <v>1045</v>
      </c>
      <c r="C21" s="497">
        <v>16010.61</v>
      </c>
      <c r="D21" s="422"/>
      <c r="E21" s="386"/>
      <c r="F21" s="381"/>
      <c r="G21" s="381"/>
      <c r="H21" s="381"/>
      <c r="I21" s="381"/>
    </row>
    <row r="22" spans="2:10">
      <c r="B22" s="413" t="s">
        <v>1037</v>
      </c>
      <c r="C22" s="497">
        <v>719.75</v>
      </c>
      <c r="D22" s="422"/>
      <c r="E22" s="386">
        <v>20000</v>
      </c>
      <c r="F22" s="381"/>
      <c r="G22" s="983" t="str">
        <f>CONCATENATE("Desired Carryover Into ",E1+1,"")</f>
        <v>Desired Carryover Into 2014</v>
      </c>
      <c r="H22" s="960"/>
      <c r="I22" s="960"/>
      <c r="J22" s="961"/>
    </row>
    <row r="23" spans="2:10">
      <c r="B23" s="413" t="s">
        <v>1053</v>
      </c>
      <c r="C23" s="497"/>
      <c r="D23" s="422"/>
      <c r="E23" s="386">
        <v>6000</v>
      </c>
      <c r="F23" s="381"/>
      <c r="G23" s="908"/>
      <c r="H23" s="909"/>
      <c r="I23" s="909"/>
      <c r="J23" s="910"/>
    </row>
    <row r="24" spans="2:10">
      <c r="B24" s="413" t="s">
        <v>1046</v>
      </c>
      <c r="C24" s="497">
        <v>2810.7200000000003</v>
      </c>
      <c r="D24" s="422"/>
      <c r="E24" s="386"/>
      <c r="F24" s="381"/>
      <c r="G24" s="800"/>
      <c r="H24" s="65"/>
      <c r="I24" s="801"/>
      <c r="J24" s="802"/>
    </row>
    <row r="25" spans="2:10">
      <c r="B25" s="413" t="s">
        <v>1047</v>
      </c>
      <c r="C25" s="497">
        <v>20019.900000000005</v>
      </c>
      <c r="D25" s="422"/>
      <c r="E25" s="386">
        <v>100000</v>
      </c>
      <c r="F25" s="381"/>
      <c r="G25" s="803" t="s">
        <v>734</v>
      </c>
      <c r="H25" s="801"/>
      <c r="I25" s="801"/>
      <c r="J25" s="804">
        <v>0</v>
      </c>
    </row>
    <row r="26" spans="2:10" hidden="1">
      <c r="B26" s="410" t="s">
        <v>837</v>
      </c>
      <c r="C26" s="497"/>
      <c r="D26" s="422"/>
      <c r="E26" s="394" t="str">
        <f>nhood!E8</f>
        <v/>
      </c>
      <c r="F26" s="381"/>
      <c r="G26" s="381"/>
      <c r="H26" s="381"/>
      <c r="I26" s="381"/>
    </row>
    <row r="27" spans="2:10" hidden="1">
      <c r="B27" s="410" t="s">
        <v>838</v>
      </c>
      <c r="C27" s="497"/>
      <c r="D27" s="422"/>
      <c r="E27" s="386"/>
      <c r="F27" s="381"/>
      <c r="G27" s="984" t="str">
        <f>CONCATENATE("Projected Carryover Into ",E1+1,"")</f>
        <v>Projected Carryover Into 2014</v>
      </c>
      <c r="H27" s="960"/>
      <c r="I27" s="960"/>
      <c r="J27" s="961"/>
    </row>
    <row r="28" spans="2:10" hidden="1">
      <c r="B28" s="410" t="s">
        <v>748</v>
      </c>
      <c r="C28" s="254" t="str">
        <f>IF(C29*0.1&lt;C27,"Exceed 10% Rule","")</f>
        <v/>
      </c>
      <c r="D28" s="254" t="str">
        <f>IF(D29*0.1&lt;D27,"Exceed 10% Rule","")</f>
        <v/>
      </c>
      <c r="E28" s="291" t="str">
        <f>IF(E29*0.1&lt;E27,"Exceed 10% Rule","")</f>
        <v/>
      </c>
      <c r="F28" s="381"/>
      <c r="G28" s="812"/>
      <c r="H28" s="769"/>
      <c r="I28" s="769"/>
      <c r="J28" s="813"/>
    </row>
    <row r="29" spans="2:10">
      <c r="B29" s="404" t="s">
        <v>94</v>
      </c>
      <c r="C29" s="419">
        <f>SUM(C21:C27)</f>
        <v>39560.98000000001</v>
      </c>
      <c r="D29" s="419">
        <f>SUM(D21:D27)</f>
        <v>0</v>
      </c>
      <c r="E29" s="409">
        <f>SUM(E21:E27)</f>
        <v>126000</v>
      </c>
      <c r="F29" s="381"/>
      <c r="G29" s="814">
        <f>D30</f>
        <v>107788.04999999999</v>
      </c>
      <c r="H29" s="815" t="str">
        <f>CONCATENATE("",E1-1," Ending Cash Balance (est.)")</f>
        <v>2012 Ending Cash Balance (est.)</v>
      </c>
      <c r="I29" s="816"/>
      <c r="J29" s="813"/>
    </row>
    <row r="30" spans="2:10">
      <c r="B30" s="393" t="s">
        <v>200</v>
      </c>
      <c r="C30" s="424">
        <f>SUM(C19-C29)</f>
        <v>91625.549999999988</v>
      </c>
      <c r="D30" s="424">
        <f>SUM(D19-D29)</f>
        <v>107788.04999999999</v>
      </c>
      <c r="E30" s="411" t="s">
        <v>67</v>
      </c>
      <c r="F30" s="381"/>
      <c r="G30" s="814">
        <f>E18</f>
        <v>22600</v>
      </c>
      <c r="H30" s="817" t="str">
        <f>CONCATENATE("",E1," Non-AV Receipts (est.)")</f>
        <v>2013 Non-AV Receipts (est.)</v>
      </c>
      <c r="I30" s="769"/>
      <c r="J30" s="813"/>
    </row>
    <row r="31" spans="2:10">
      <c r="B31" s="398" t="str">
        <f>CONCATENATE("",E1-2,"/",E1-1," Budget Authority Amount:")</f>
        <v>2011/2012 Budget Authority Amount:</v>
      </c>
      <c r="C31" s="400">
        <f>inputOth!B65</f>
        <v>46915.610000000008</v>
      </c>
      <c r="D31" s="405">
        <f>inputPrYr!D19</f>
        <v>109551</v>
      </c>
      <c r="E31" s="411" t="s">
        <v>67</v>
      </c>
      <c r="F31" s="406"/>
      <c r="G31" s="818">
        <f>IF(E35&gt;0,E34,E36)</f>
        <v>0</v>
      </c>
      <c r="H31" s="817" t="str">
        <f>CONCATENATE("",E1," Ad Valorem Tax (est.)")</f>
        <v>2013 Ad Valorem Tax (est.)</v>
      </c>
      <c r="I31" s="769"/>
      <c r="J31" s="813"/>
    </row>
    <row r="32" spans="2:10">
      <c r="B32" s="398"/>
      <c r="C32" s="965" t="s">
        <v>591</v>
      </c>
      <c r="D32" s="966"/>
      <c r="E32" s="56">
        <v>4388</v>
      </c>
      <c r="F32" s="441" t="str">
        <f>IF(E29/0.95-E29&lt;E32,"Exceeds 5%","")</f>
        <v/>
      </c>
      <c r="G32" s="814">
        <f>SUM(G29:G31)</f>
        <v>130388.04999999999</v>
      </c>
      <c r="H32" s="817" t="str">
        <f>CONCATENATE("Total ",E1," Resources Available")</f>
        <v>Total 2013 Resources Available</v>
      </c>
      <c r="I32" s="816"/>
      <c r="J32" s="813"/>
    </row>
    <row r="33" spans="2:10">
      <c r="B33" s="538" t="str">
        <f>CONCATENATE(C85,"     ",D85)</f>
        <v xml:space="preserve">     </v>
      </c>
      <c r="C33" s="967" t="s">
        <v>592</v>
      </c>
      <c r="D33" s="968"/>
      <c r="E33" s="394">
        <f>SUM(E29+E32)</f>
        <v>130388</v>
      </c>
      <c r="F33" s="381"/>
      <c r="G33" s="819"/>
      <c r="H33" s="817"/>
      <c r="I33" s="769"/>
      <c r="J33" s="813"/>
    </row>
    <row r="34" spans="2:10">
      <c r="B34" s="538" t="str">
        <f>CONCATENATE(C86,"     ",D86)</f>
        <v xml:space="preserve">     </v>
      </c>
      <c r="C34" s="407"/>
      <c r="D34" s="399" t="s">
        <v>95</v>
      </c>
      <c r="E34" s="387">
        <f>IF(E33-E19&gt;0,E33-E19,0)</f>
        <v>0</v>
      </c>
      <c r="F34" s="381"/>
      <c r="G34" s="834">
        <f>ROUND(C29*0.05+C29,0)</f>
        <v>41539</v>
      </c>
      <c r="H34" s="833" t="str">
        <f>CONCATENATE("Less ",E1-2," Expenditures + 5%")</f>
        <v>Less 2011 Expenditures + 5%</v>
      </c>
      <c r="I34" s="769"/>
      <c r="J34" s="813"/>
    </row>
    <row r="35" spans="2:10">
      <c r="B35" s="399"/>
      <c r="C35" s="379" t="s">
        <v>590</v>
      </c>
      <c r="D35" s="747">
        <f>inputOth!$E$50</f>
        <v>0.06</v>
      </c>
      <c r="E35" s="394">
        <f>ROUND(IF(D35&gt;0,(E34*D35),0),0)</f>
        <v>0</v>
      </c>
      <c r="F35" s="381"/>
      <c r="G35" s="820">
        <f>SUM(G32-G34)</f>
        <v>88849.049999999988</v>
      </c>
      <c r="H35" s="821" t="str">
        <f>CONCATENATE("Projected ",E1+1," carryover (est.)")</f>
        <v>Projected 2014 carryover (est.)</v>
      </c>
      <c r="I35" s="822"/>
      <c r="J35" s="823"/>
    </row>
    <row r="36" spans="2:10" ht="16.5" thickBot="1">
      <c r="B36" s="382"/>
      <c r="C36" s="971" t="s">
        <v>595</v>
      </c>
      <c r="D36" s="972"/>
      <c r="E36" s="749">
        <f>SUM(E34:E35)</f>
        <v>0</v>
      </c>
      <c r="F36" s="839" t="e">
        <f>IF('Library Grant'!F33="","",IF('Library Grant'!F33="Qualify","Qualifies for State Library Grant","See 'Library Grant' tab"))</f>
        <v>#VALUE!</v>
      </c>
    </row>
    <row r="37" spans="2:10" ht="16.5" thickTop="1">
      <c r="B37" s="382"/>
      <c r="C37" s="574"/>
      <c r="D37" s="382"/>
      <c r="E37" s="382"/>
      <c r="F37" s="381"/>
      <c r="G37" s="962" t="s">
        <v>774</v>
      </c>
      <c r="H37" s="963"/>
      <c r="I37" s="963"/>
      <c r="J37" s="964"/>
    </row>
    <row r="38" spans="2:10">
      <c r="B38" s="384"/>
      <c r="C38" s="384"/>
      <c r="D38" s="402"/>
      <c r="E38" s="402"/>
      <c r="F38" s="381"/>
      <c r="G38" s="790"/>
      <c r="H38" s="791"/>
      <c r="I38" s="792"/>
      <c r="J38" s="793"/>
    </row>
    <row r="39" spans="2:10">
      <c r="B39" s="384" t="s">
        <v>78</v>
      </c>
      <c r="C39" s="416" t="s">
        <v>770</v>
      </c>
      <c r="D39" s="415" t="s">
        <v>771</v>
      </c>
      <c r="E39" s="392" t="s">
        <v>772</v>
      </c>
      <c r="F39" s="381"/>
      <c r="G39" s="794" t="str">
        <f>summ!H17</f>
        <v/>
      </c>
      <c r="H39" s="791" t="str">
        <f>CONCATENATE("",E1," Fund Mill Rate")</f>
        <v>2013 Fund Mill Rate</v>
      </c>
      <c r="I39" s="792"/>
      <c r="J39" s="793"/>
    </row>
    <row r="40" spans="2:10">
      <c r="B40" s="426" t="s">
        <v>596</v>
      </c>
      <c r="C40" s="417" t="str">
        <f>CONCATENATE("Actual for ",E1-2,"")</f>
        <v>Actual for 2011</v>
      </c>
      <c r="D40" s="417" t="str">
        <f>CONCATENATE("Estimate for ",E1-1,"")</f>
        <v>Estimate for 2012</v>
      </c>
      <c r="E40" s="401" t="str">
        <f>CONCATENATE("Year for ",E1,"")</f>
        <v>Year for 2013</v>
      </c>
      <c r="F40" s="381"/>
      <c r="G40" s="795" t="str">
        <f>summ!E17</f>
        <v xml:space="preserve">  </v>
      </c>
      <c r="H40" s="791" t="str">
        <f>CONCATENATE("",E1-1," Fund Mill Rate")</f>
        <v>2012 Fund Mill Rate</v>
      </c>
      <c r="I40" s="792"/>
      <c r="J40" s="793"/>
    </row>
    <row r="41" spans="2:10">
      <c r="B41" s="393" t="s">
        <v>199</v>
      </c>
      <c r="C41" s="418">
        <v>442.94</v>
      </c>
      <c r="D41" s="420">
        <f>C65</f>
        <v>713.66000000000349</v>
      </c>
      <c r="E41" s="394">
        <f>D65</f>
        <v>0.23000000001047738</v>
      </c>
      <c r="F41" s="381"/>
      <c r="G41" s="796">
        <f>summ!H52</f>
        <v>58.234000000000002</v>
      </c>
      <c r="H41" s="791" t="str">
        <f>CONCATENATE("Total ",E1," Mill Rate")</f>
        <v>Total 2013 Mill Rate</v>
      </c>
      <c r="I41" s="792"/>
      <c r="J41" s="793"/>
    </row>
    <row r="42" spans="2:10">
      <c r="B42" s="403" t="s">
        <v>201</v>
      </c>
      <c r="C42" s="393"/>
      <c r="D42" s="420"/>
      <c r="E42" s="394"/>
      <c r="F42" s="381"/>
      <c r="G42" s="795">
        <f>summ!E52</f>
        <v>53.734000000000002</v>
      </c>
      <c r="H42" s="797" t="str">
        <f>CONCATENATE("Total ",E1-1," Mill Rate")</f>
        <v>Total 2012 Mill Rate</v>
      </c>
      <c r="I42" s="798"/>
      <c r="J42" s="799"/>
    </row>
    <row r="43" spans="2:10">
      <c r="B43" s="393" t="s">
        <v>79</v>
      </c>
      <c r="C43" s="418">
        <v>89447.709999999992</v>
      </c>
      <c r="D43" s="420">
        <f>IF(inputPrYr!H16&gt;0,inputPrYr!G33,inputPrYr!E33)</f>
        <v>86597</v>
      </c>
      <c r="E43" s="411" t="s">
        <v>67</v>
      </c>
      <c r="F43" s="381"/>
      <c r="G43" s="381"/>
      <c r="H43" s="381"/>
      <c r="I43" s="381"/>
    </row>
    <row r="44" spans="2:10">
      <c r="B44" s="393" t="s">
        <v>80</v>
      </c>
      <c r="C44" s="418">
        <v>3394.96</v>
      </c>
      <c r="D44" s="422">
        <v>2500</v>
      </c>
      <c r="E44" s="386">
        <v>4500</v>
      </c>
      <c r="F44" s="381"/>
      <c r="G44" s="381"/>
      <c r="H44" s="381"/>
      <c r="I44" s="381"/>
    </row>
    <row r="45" spans="2:10">
      <c r="B45" s="393" t="s">
        <v>81</v>
      </c>
      <c r="C45" s="418">
        <v>9144.36</v>
      </c>
      <c r="D45" s="422">
        <v>8702</v>
      </c>
      <c r="E45" s="394">
        <f>mvalloc!D20</f>
        <v>8788</v>
      </c>
      <c r="F45" s="381"/>
      <c r="G45" s="381"/>
      <c r="H45" s="381"/>
      <c r="I45" s="381"/>
    </row>
    <row r="46" spans="2:10">
      <c r="B46" s="393" t="s">
        <v>82</v>
      </c>
      <c r="C46" s="418">
        <v>130.67999999999998</v>
      </c>
      <c r="D46" s="422">
        <v>147</v>
      </c>
      <c r="E46" s="394">
        <f>mvalloc!E20</f>
        <v>124</v>
      </c>
      <c r="F46" s="381"/>
      <c r="G46" s="381"/>
      <c r="H46" s="381"/>
      <c r="I46" s="381"/>
    </row>
    <row r="47" spans="2:10">
      <c r="B47" s="396" t="s">
        <v>177</v>
      </c>
      <c r="C47" s="418"/>
      <c r="D47" s="422">
        <v>61</v>
      </c>
      <c r="E47" s="394">
        <f>mvalloc!F20</f>
        <v>44</v>
      </c>
    </row>
    <row r="48" spans="2:10">
      <c r="B48" s="413" t="s">
        <v>1007</v>
      </c>
      <c r="C48" s="418">
        <v>40733.72</v>
      </c>
      <c r="D48" s="422"/>
      <c r="E48" s="386"/>
    </row>
    <row r="49" spans="2:10" hidden="1">
      <c r="B49" s="413"/>
      <c r="C49" s="418"/>
      <c r="D49" s="422"/>
      <c r="E49" s="386"/>
    </row>
    <row r="50" spans="2:10">
      <c r="B50" s="408" t="s">
        <v>86</v>
      </c>
      <c r="C50" s="418"/>
      <c r="D50" s="422"/>
      <c r="E50" s="386"/>
    </row>
    <row r="51" spans="2:10" hidden="1">
      <c r="B51" s="393" t="s">
        <v>838</v>
      </c>
      <c r="C51" s="418"/>
      <c r="D51" s="249"/>
      <c r="E51" s="56"/>
    </row>
    <row r="52" spans="2:10" hidden="1">
      <c r="B52" s="393" t="s">
        <v>746</v>
      </c>
      <c r="C52" s="254" t="str">
        <f>IF(C53*0.1&lt;C51,"Exceed 10% Rule","")</f>
        <v/>
      </c>
      <c r="D52" s="254" t="str">
        <f>IF(D53*0.1&lt;D51,"Exceed 10% Rule","")</f>
        <v/>
      </c>
      <c r="E52" s="291" t="str">
        <f>IF(E53*0.1+E71&lt;E51,"Exceed 10% Rule","")</f>
        <v/>
      </c>
    </row>
    <row r="53" spans="2:10">
      <c r="B53" s="404" t="s">
        <v>87</v>
      </c>
      <c r="C53" s="419">
        <f>SUM(C43:C51)</f>
        <v>142851.43</v>
      </c>
      <c r="D53" s="419">
        <f>SUM(D43:D51)</f>
        <v>98007</v>
      </c>
      <c r="E53" s="409">
        <f>SUM(E44:E51)</f>
        <v>13456</v>
      </c>
    </row>
    <row r="54" spans="2:10">
      <c r="B54" s="404" t="s">
        <v>88</v>
      </c>
      <c r="C54" s="419">
        <f>SUM(C41+C53)</f>
        <v>143294.37</v>
      </c>
      <c r="D54" s="419">
        <f>SUM(D41+D53)</f>
        <v>98720.66</v>
      </c>
      <c r="E54" s="409">
        <f>SUM(E41+E53)</f>
        <v>13456.23000000001</v>
      </c>
    </row>
    <row r="55" spans="2:10">
      <c r="B55" s="393" t="s">
        <v>90</v>
      </c>
      <c r="C55" s="393"/>
      <c r="D55" s="420"/>
      <c r="E55" s="394"/>
    </row>
    <row r="56" spans="2:10">
      <c r="B56" s="413" t="s">
        <v>248</v>
      </c>
      <c r="C56" s="418">
        <v>40463</v>
      </c>
      <c r="D56" s="422"/>
      <c r="E56" s="386"/>
    </row>
    <row r="57" spans="2:10">
      <c r="B57" s="413" t="s">
        <v>1048</v>
      </c>
      <c r="C57" s="418">
        <v>80117.709999999992</v>
      </c>
      <c r="D57" s="422"/>
      <c r="E57" s="386"/>
      <c r="F57" s="2"/>
      <c r="G57" s="983" t="str">
        <f>CONCATENATE("Desired Carryover Into ",E1+1,"")</f>
        <v>Desired Carryover Into 2014</v>
      </c>
      <c r="H57" s="960"/>
      <c r="I57" s="960"/>
      <c r="J57" s="961"/>
    </row>
    <row r="58" spans="2:10">
      <c r="B58" s="413" t="s">
        <v>1049</v>
      </c>
      <c r="C58" s="418">
        <v>22000</v>
      </c>
      <c r="D58" s="422"/>
      <c r="E58" s="386"/>
      <c r="F58" s="2"/>
      <c r="G58" s="800"/>
      <c r="H58" s="65"/>
      <c r="I58" s="801"/>
      <c r="J58" s="802"/>
    </row>
    <row r="59" spans="2:10">
      <c r="B59" s="413" t="s">
        <v>1050</v>
      </c>
      <c r="C59" s="418"/>
      <c r="D59" s="422">
        <v>98720.43</v>
      </c>
      <c r="E59" s="386">
        <v>13456</v>
      </c>
      <c r="F59" s="2"/>
      <c r="G59" s="803" t="s">
        <v>734</v>
      </c>
      <c r="H59" s="801"/>
      <c r="I59" s="801"/>
      <c r="J59" s="804">
        <v>0</v>
      </c>
    </row>
    <row r="60" spans="2:10" hidden="1">
      <c r="B60" s="413"/>
      <c r="C60" s="418"/>
      <c r="D60" s="422"/>
      <c r="E60" s="386"/>
      <c r="F60" s="2"/>
      <c r="G60" s="810" t="s">
        <v>773</v>
      </c>
      <c r="H60" s="811"/>
      <c r="I60" s="811"/>
      <c r="J60" s="779">
        <f>IF(J59&gt;0,#REF!-E68,0)</f>
        <v>0</v>
      </c>
    </row>
    <row r="61" spans="2:10" hidden="1">
      <c r="B61" s="396" t="s">
        <v>837</v>
      </c>
      <c r="C61" s="418"/>
      <c r="D61" s="422"/>
      <c r="E61" s="394" t="str">
        <f>nhood!E19</f>
        <v/>
      </c>
      <c r="F61"/>
      <c r="G61" s="2"/>
      <c r="H61" s="2"/>
      <c r="I61" s="2"/>
      <c r="J61" s="2"/>
    </row>
    <row r="62" spans="2:10" hidden="1">
      <c r="B62" s="396" t="s">
        <v>838</v>
      </c>
      <c r="C62" s="497"/>
      <c r="D62" s="422"/>
      <c r="E62" s="386"/>
      <c r="F62"/>
      <c r="G62" s="983" t="str">
        <f>CONCATENATE("Projected Carryover Into ",E1+1,"")</f>
        <v>Projected Carryover Into 2014</v>
      </c>
      <c r="H62" s="985"/>
      <c r="I62" s="985"/>
      <c r="J62" s="986"/>
    </row>
    <row r="63" spans="2:10" hidden="1">
      <c r="B63" s="396" t="s">
        <v>747</v>
      </c>
      <c r="C63" s="254" t="str">
        <f>IF(C64*0.1&lt;C62,"Exceed 10% Rule","")</f>
        <v/>
      </c>
      <c r="D63" s="254" t="str">
        <f>IF(D64*0.1&lt;D62,"Exceed 10% Rule","")</f>
        <v/>
      </c>
      <c r="E63" s="291" t="str">
        <f>IF(E64*0.1&lt;E62,"Exceed 10% Rule","")</f>
        <v/>
      </c>
      <c r="F63"/>
      <c r="G63" s="824"/>
      <c r="H63" s="65"/>
      <c r="I63" s="65"/>
      <c r="J63" s="825"/>
    </row>
    <row r="64" spans="2:10">
      <c r="B64" s="404" t="s">
        <v>94</v>
      </c>
      <c r="C64" s="419">
        <f>SUM(C56:C62)</f>
        <v>142580.71</v>
      </c>
      <c r="D64" s="419">
        <f>SUM(D56:D62)</f>
        <v>98720.43</v>
      </c>
      <c r="E64" s="409">
        <f>SUM(E56:E62)</f>
        <v>13456</v>
      </c>
      <c r="F64"/>
      <c r="G64" s="826">
        <f>D65</f>
        <v>0.23000000001047738</v>
      </c>
      <c r="H64" s="791" t="str">
        <f>CONCATENATE("",E1-1," Ending Cash Balance (est.)")</f>
        <v>2012 Ending Cash Balance (est.)</v>
      </c>
      <c r="I64" s="827"/>
      <c r="J64" s="825"/>
    </row>
    <row r="65" spans="2:11">
      <c r="B65" s="393" t="s">
        <v>200</v>
      </c>
      <c r="C65" s="424">
        <f>SUM(C54-C64)</f>
        <v>713.66000000000349</v>
      </c>
      <c r="D65" s="424">
        <f>SUM(D54-D64)</f>
        <v>0.23000000001047738</v>
      </c>
      <c r="E65" s="411" t="s">
        <v>67</v>
      </c>
      <c r="F65"/>
      <c r="G65" s="826">
        <f>E53</f>
        <v>13456</v>
      </c>
      <c r="H65" s="801" t="str">
        <f>CONCATENATE("",E1," Non-AV Receipts (est.)")</f>
        <v>2013 Non-AV Receipts (est.)</v>
      </c>
      <c r="I65" s="827"/>
      <c r="J65" s="825"/>
    </row>
    <row r="66" spans="2:11">
      <c r="B66" s="398" t="str">
        <f>CONCATENATE("",E1-2,"/",E1-1," Budget Authority Amount:")</f>
        <v>2011/2012 Budget Authority Amount:</v>
      </c>
      <c r="C66" s="400">
        <f>inputOth!B76</f>
        <v>176766</v>
      </c>
      <c r="D66" s="400">
        <f>inputPrYr!D33</f>
        <v>174829</v>
      </c>
      <c r="E66" s="411" t="s">
        <v>67</v>
      </c>
      <c r="F66" s="268"/>
      <c r="G66" s="828">
        <f>IF(E70&gt;0,E69,E71)</f>
        <v>0</v>
      </c>
      <c r="H66" s="801" t="str">
        <f>CONCATENATE("",E1," Ad Valorem Tax (est.)")</f>
        <v>2013 Ad Valorem Tax (est.)</v>
      </c>
      <c r="I66" s="827"/>
      <c r="J66" s="825"/>
      <c r="K66" s="784" t="str">
        <f>IF(G66=E71,"","Note: Does not include Delinquent Taxes")</f>
        <v/>
      </c>
    </row>
    <row r="67" spans="2:11">
      <c r="B67" s="398"/>
      <c r="C67" s="965" t="s">
        <v>591</v>
      </c>
      <c r="D67" s="966"/>
      <c r="E67" s="56">
        <v>0</v>
      </c>
      <c r="F67" s="829" t="str">
        <f>IF(E64/0.95-E64&lt;E67,"Exceeds 5%","")</f>
        <v/>
      </c>
      <c r="G67" s="830">
        <f>SUM(G64:G66)</f>
        <v>13456.23000000001</v>
      </c>
      <c r="H67" s="801" t="str">
        <f>CONCATENATE("Total ",E1," Resources Available")</f>
        <v>Total 2013 Resources Available</v>
      </c>
      <c r="I67" s="831"/>
      <c r="J67" s="825"/>
    </row>
    <row r="68" spans="2:11">
      <c r="B68" s="538" t="str">
        <f>CONCATENATE(C87,"     ",D87)</f>
        <v xml:space="preserve">     </v>
      </c>
      <c r="C68" s="967" t="s">
        <v>592</v>
      </c>
      <c r="D68" s="968"/>
      <c r="E68" s="394">
        <f>SUM(E64+E67)</f>
        <v>13456</v>
      </c>
      <c r="F68"/>
      <c r="G68" s="832"/>
      <c r="H68" s="833"/>
      <c r="I68" s="65"/>
      <c r="J68" s="825"/>
    </row>
    <row r="69" spans="2:11">
      <c r="B69" s="538" t="str">
        <f>CONCATENATE(C88,"     ",D88)</f>
        <v xml:space="preserve">     </v>
      </c>
      <c r="C69" s="407"/>
      <c r="D69" s="399" t="s">
        <v>95</v>
      </c>
      <c r="E69" s="387">
        <f>IF(E68-E54&gt;0,E68-E54,0)</f>
        <v>0</v>
      </c>
      <c r="F69"/>
      <c r="G69" s="834">
        <f>ROUND(C64*0.05+C64,0)</f>
        <v>149710</v>
      </c>
      <c r="H69" s="833" t="str">
        <f>CONCATENATE("Less ",E1-2," Expenditures + 5%")</f>
        <v>Less 2011 Expenditures + 5%</v>
      </c>
      <c r="I69" s="831"/>
      <c r="J69" s="825"/>
    </row>
    <row r="70" spans="2:11">
      <c r="B70" s="399"/>
      <c r="C70" s="379" t="s">
        <v>590</v>
      </c>
      <c r="D70" s="747">
        <f>inputOth!$E$50</f>
        <v>0.06</v>
      </c>
      <c r="E70" s="394">
        <f>ROUND(IF(D70&gt;0,(E69*D70),0),0)</f>
        <v>0</v>
      </c>
      <c r="F70" s="883" t="str">
        <f>IF(F71&lt;0,"Reduce","")</f>
        <v/>
      </c>
      <c r="G70" s="835">
        <f>G67-G69</f>
        <v>-136253.76999999999</v>
      </c>
      <c r="H70" s="836" t="str">
        <f>CONCATENATE("Projected ",E1+1," carryover (est.)")</f>
        <v>Projected 2014 carryover (est.)</v>
      </c>
      <c r="I70" s="837"/>
      <c r="J70" s="838"/>
    </row>
    <row r="71" spans="2:11" ht="16.5" thickBot="1">
      <c r="B71" s="382"/>
      <c r="C71" s="971" t="s">
        <v>595</v>
      </c>
      <c r="D71" s="972"/>
      <c r="E71" s="749">
        <f>SUM(E69:E70)</f>
        <v>0</v>
      </c>
      <c r="F71" s="884" t="str">
        <f>IF(G74&gt;inputOth!E6,ROUND(inputOth!E6*inputOth!E9/1000,0)-'Library-Rec'!E71,"")</f>
        <v/>
      </c>
      <c r="G71" s="2"/>
      <c r="H71" s="2"/>
      <c r="I71" s="2"/>
      <c r="J71" s="2"/>
    </row>
    <row r="72" spans="2:11" ht="16.5" thickTop="1">
      <c r="B72" s="382"/>
      <c r="C72" s="574"/>
      <c r="D72" s="382"/>
      <c r="E72" s="382"/>
      <c r="F72"/>
      <c r="G72" s="962" t="s">
        <v>774</v>
      </c>
      <c r="H72" s="963"/>
      <c r="I72" s="963"/>
      <c r="J72" s="964"/>
    </row>
    <row r="73" spans="2:11">
      <c r="B73" s="399" t="s">
        <v>97</v>
      </c>
      <c r="C73" s="412">
        <v>9</v>
      </c>
      <c r="D73" s="388"/>
      <c r="E73" s="382"/>
      <c r="F73" s="2"/>
      <c r="G73" s="790"/>
      <c r="H73" s="791"/>
      <c r="I73" s="792"/>
      <c r="J73" s="793"/>
    </row>
    <row r="74" spans="2:11">
      <c r="F74"/>
      <c r="G74" s="794">
        <f>summ!H53</f>
        <v>0</v>
      </c>
      <c r="H74" s="791" t="str">
        <f>CONCATENATE("",E1," Fund Mill Rate")</f>
        <v>2013 Fund Mill Rate</v>
      </c>
      <c r="I74" s="792"/>
      <c r="J74" s="882" t="str">
        <f>IF(G74&gt;inputOth!E6,"Exceed Mill Rate","")</f>
        <v/>
      </c>
    </row>
    <row r="75" spans="2:11">
      <c r="B75" s="389"/>
      <c r="C75" s="389"/>
      <c r="D75" s="381"/>
      <c r="E75" s="381"/>
      <c r="F75" s="2"/>
      <c r="G75" s="795">
        <f>summ!E53</f>
        <v>4</v>
      </c>
      <c r="H75" s="797" t="str">
        <f>CONCATENATE("",E1-1," Fund Mill Rate")</f>
        <v>2012 Fund Mill Rate</v>
      </c>
      <c r="I75" s="798"/>
      <c r="J75" s="799"/>
    </row>
    <row r="76" spans="2:11">
      <c r="F76" s="840"/>
      <c r="G76" s="841"/>
      <c r="H76" s="842"/>
      <c r="I76" s="843"/>
      <c r="J76" s="844"/>
      <c r="K76" s="751"/>
    </row>
    <row r="77" spans="2:11">
      <c r="F77" s="840"/>
      <c r="G77" s="841"/>
      <c r="H77" s="842"/>
      <c r="I77" s="843"/>
      <c r="J77" s="844"/>
      <c r="K77" s="751"/>
    </row>
    <row r="78" spans="2:11">
      <c r="G78" s="751"/>
      <c r="H78" s="751"/>
      <c r="I78" s="751"/>
      <c r="J78" s="751"/>
    </row>
    <row r="80" spans="2:11">
      <c r="C80" s="383" t="s">
        <v>594</v>
      </c>
      <c r="D80" s="383" t="s">
        <v>594</v>
      </c>
    </row>
    <row r="81" spans="3:4">
      <c r="C81" s="383" t="s">
        <v>594</v>
      </c>
      <c r="D81" s="383" t="s">
        <v>594</v>
      </c>
    </row>
    <row r="83" spans="3:4">
      <c r="C83" s="383" t="s">
        <v>594</v>
      </c>
      <c r="D83" s="383" t="s">
        <v>594</v>
      </c>
    </row>
    <row r="84" spans="3:4" ht="9" customHeight="1">
      <c r="C84" s="383" t="s">
        <v>594</v>
      </c>
      <c r="D84" s="383" t="s">
        <v>594</v>
      </c>
    </row>
    <row r="85" spans="3:4" ht="13.5" hidden="1" customHeight="1">
      <c r="C85" s="537" t="str">
        <f>IF(C29&gt;C31,"See Tab A","")</f>
        <v/>
      </c>
      <c r="D85" s="537" t="str">
        <f>IF(D29&gt;D31,"See Tab C","")</f>
        <v/>
      </c>
    </row>
    <row r="86" spans="3:4" ht="15.75" hidden="1" customHeight="1">
      <c r="C86" s="537" t="str">
        <f>IF(C30&lt;0,"See Tab B","")</f>
        <v/>
      </c>
      <c r="D86" s="537" t="str">
        <f>IF(D30&lt;0,"See Tab D","")</f>
        <v/>
      </c>
    </row>
    <row r="87" spans="3:4" ht="15.75" hidden="1" customHeight="1">
      <c r="C87" s="537" t="str">
        <f>IF(C64&gt;C66,"See Tab A","")</f>
        <v/>
      </c>
      <c r="D87" s="537" t="str">
        <f>IF(D64&gt;D66,"See Tab C","")</f>
        <v/>
      </c>
    </row>
    <row r="88" spans="3:4" ht="13.5" customHeight="1">
      <c r="C88" s="537" t="str">
        <f>IF(C65&lt;0,"See Tab B","")</f>
        <v/>
      </c>
      <c r="D88" s="537" t="str">
        <f>IF(D65&lt;0,"See Tab D","")</f>
        <v/>
      </c>
    </row>
  </sheetData>
  <mergeCells count="12">
    <mergeCell ref="C71:D71"/>
    <mergeCell ref="C67:D67"/>
    <mergeCell ref="C68:D68"/>
    <mergeCell ref="C32:D32"/>
    <mergeCell ref="C33:D33"/>
    <mergeCell ref="C36:D36"/>
    <mergeCell ref="G72:J72"/>
    <mergeCell ref="G22:J22"/>
    <mergeCell ref="G27:J27"/>
    <mergeCell ref="G37:J37"/>
    <mergeCell ref="G57:J57"/>
    <mergeCell ref="G62:J62"/>
  </mergeCells>
  <phoneticPr fontId="9" type="noConversion"/>
  <conditionalFormatting sqref="C51">
    <cfRule type="cellIs" dxfId="303" priority="22" stopIfTrue="1" operator="greaterThan">
      <formula>$C$53*0.1</formula>
    </cfRule>
  </conditionalFormatting>
  <conditionalFormatting sqref="D51 D16">
    <cfRule type="cellIs" dxfId="302" priority="21" stopIfTrue="1" operator="greaterThan">
      <formula>$D$18*0.1</formula>
    </cfRule>
  </conditionalFormatting>
  <conditionalFormatting sqref="E51">
    <cfRule type="cellIs" dxfId="301" priority="20" stopIfTrue="1" operator="greaterThan">
      <formula>$E$18*0.1+E71</formula>
    </cfRule>
  </conditionalFormatting>
  <conditionalFormatting sqref="C62">
    <cfRule type="cellIs" dxfId="300" priority="19" stopIfTrue="1" operator="greaterThan">
      <formula>$C$64*0.1</formula>
    </cfRule>
  </conditionalFormatting>
  <conditionalFormatting sqref="D62">
    <cfRule type="cellIs" dxfId="299" priority="18" stopIfTrue="1" operator="greaterThan">
      <formula>$D$64*0.1</formula>
    </cfRule>
  </conditionalFormatting>
  <conditionalFormatting sqref="E62">
    <cfRule type="cellIs" dxfId="298" priority="17" stopIfTrue="1" operator="greaterThan">
      <formula>$E$64*0.1</formula>
    </cfRule>
  </conditionalFormatting>
  <conditionalFormatting sqref="C27">
    <cfRule type="cellIs" dxfId="297" priority="16" stopIfTrue="1" operator="greaterThan">
      <formula>$C$29*0.1</formula>
    </cfRule>
  </conditionalFormatting>
  <conditionalFormatting sqref="D27">
    <cfRule type="cellIs" dxfId="296" priority="15" stopIfTrue="1" operator="greaterThan">
      <formula>$D$29*0.1</formula>
    </cfRule>
  </conditionalFormatting>
  <conditionalFormatting sqref="E27">
    <cfRule type="cellIs" dxfId="295" priority="14" stopIfTrue="1" operator="greaterThan">
      <formula>$E$29*0.1</formula>
    </cfRule>
  </conditionalFormatting>
  <conditionalFormatting sqref="C16">
    <cfRule type="cellIs" dxfId="294" priority="12" stopIfTrue="1" operator="greaterThan">
      <formula>$C$18*0.1</formula>
    </cfRule>
  </conditionalFormatting>
  <conditionalFormatting sqref="E16">
    <cfRule type="cellIs" dxfId="293" priority="11" stopIfTrue="1" operator="greaterThan">
      <formula>$E$18*0.1+E36</formula>
    </cfRule>
  </conditionalFormatting>
  <conditionalFormatting sqref="E32">
    <cfRule type="cellIs" dxfId="292" priority="10" stopIfTrue="1" operator="greaterThan">
      <formula>$E$29/0.95-$E$29</formula>
    </cfRule>
  </conditionalFormatting>
  <conditionalFormatting sqref="E67">
    <cfRule type="cellIs" dxfId="291" priority="9" stopIfTrue="1" operator="greaterThan">
      <formula>$E$64/0.95-$E$64</formula>
    </cfRule>
  </conditionalFormatting>
  <conditionalFormatting sqref="C29">
    <cfRule type="cellIs" dxfId="290" priority="8" stopIfTrue="1" operator="greaterThan">
      <formula>$C$31</formula>
    </cfRule>
  </conditionalFormatting>
  <conditionalFormatting sqref="C30:D30 C65:D65">
    <cfRule type="cellIs" dxfId="289" priority="7" stopIfTrue="1" operator="lessThan">
      <formula>0</formula>
    </cfRule>
  </conditionalFormatting>
  <conditionalFormatting sqref="D29">
    <cfRule type="cellIs" dxfId="288" priority="6" stopIfTrue="1" operator="greaterThan">
      <formula>$D$31</formula>
    </cfRule>
  </conditionalFormatting>
  <conditionalFormatting sqref="C64">
    <cfRule type="cellIs" dxfId="287" priority="4" stopIfTrue="1" operator="greaterThan">
      <formula>$C$66</formula>
    </cfRule>
  </conditionalFormatting>
  <conditionalFormatting sqref="D64">
    <cfRule type="cellIs" dxfId="286" priority="2" stopIfTrue="1" operator="greaterThan">
      <formula>$D$66</formula>
    </cfRule>
  </conditionalFormatting>
  <printOptions horizontalCentered="1"/>
  <pageMargins left="0.5" right="0.5" top="0.5" bottom="0.5" header="0.3" footer="0.3"/>
  <pageSetup scale="77" orientation="portrait" blackAndWhite="1"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topLeftCell="A39" zoomScaleNormal="100" workbookViewId="0">
      <selection activeCell="E74" sqref="E74"/>
    </sheetView>
  </sheetViews>
  <sheetFormatPr defaultRowHeight="15.75"/>
  <cols>
    <col min="1" max="1" width="2.44140625" style="34" customWidth="1"/>
    <col min="2" max="2" width="31.109375" style="34" customWidth="1"/>
    <col min="3" max="4" width="15.77734375" style="34" customWidth="1"/>
    <col min="5" max="5" width="16.218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c r="B1" s="188" t="str">
        <f>(inputPrYr!D2)</f>
        <v>City of Osawatomie</v>
      </c>
      <c r="C1" s="36"/>
      <c r="D1" s="36"/>
      <c r="E1" s="238">
        <f>inputPrYr!C5</f>
        <v>2013</v>
      </c>
    </row>
    <row r="2" spans="2:5">
      <c r="B2" s="36"/>
      <c r="C2" s="36"/>
      <c r="D2" s="36"/>
      <c r="E2" s="160"/>
    </row>
    <row r="3" spans="2:5">
      <c r="B3" s="239" t="s">
        <v>145</v>
      </c>
      <c r="C3" s="193"/>
      <c r="D3" s="193"/>
      <c r="E3" s="279"/>
    </row>
    <row r="4" spans="2:5">
      <c r="B4" s="41" t="s">
        <v>78</v>
      </c>
      <c r="C4" s="416" t="s">
        <v>770</v>
      </c>
      <c r="D4" s="415" t="s">
        <v>771</v>
      </c>
      <c r="E4" s="392" t="s">
        <v>772</v>
      </c>
    </row>
    <row r="5" spans="2:5">
      <c r="B5" s="542" t="str">
        <f>inputPrYr!B21</f>
        <v>Industrial</v>
      </c>
      <c r="C5" s="417" t="str">
        <f>CONCATENATE("Actual for ",E1-2,"")</f>
        <v>Actual for 2011</v>
      </c>
      <c r="D5" s="417" t="str">
        <f>CONCATENATE("Estimate for ",E1-1,"")</f>
        <v>Estimate for 2012</v>
      </c>
      <c r="E5" s="401" t="str">
        <f>CONCATENATE("Year for ",E1,"")</f>
        <v>Year for 2013</v>
      </c>
    </row>
    <row r="6" spans="2:5">
      <c r="B6" s="244" t="s">
        <v>199</v>
      </c>
      <c r="C6" s="249">
        <v>45539.51</v>
      </c>
      <c r="D6" s="247">
        <f>C32</f>
        <v>48169.46</v>
      </c>
      <c r="E6" s="218">
        <f>D32</f>
        <v>52669.46</v>
      </c>
    </row>
    <row r="7" spans="2:5">
      <c r="B7" s="248" t="s">
        <v>201</v>
      </c>
      <c r="C7" s="150"/>
      <c r="D7" s="150"/>
      <c r="E7" s="76"/>
    </row>
    <row r="8" spans="2:5">
      <c r="B8" s="141" t="s">
        <v>79</v>
      </c>
      <c r="C8" s="249">
        <v>5.4</v>
      </c>
      <c r="D8" s="247">
        <f>IF(inputPrYr!H16&gt;0,inputPrYr!G21,inputPrYr!E21)</f>
        <v>0</v>
      </c>
      <c r="E8" s="277" t="s">
        <v>67</v>
      </c>
    </row>
    <row r="9" spans="2:5">
      <c r="B9" s="141" t="s">
        <v>80</v>
      </c>
      <c r="C9" s="249">
        <v>156.91</v>
      </c>
      <c r="D9" s="249"/>
      <c r="E9" s="56"/>
    </row>
    <row r="10" spans="2:5">
      <c r="B10" s="141" t="s">
        <v>81</v>
      </c>
      <c r="C10" s="249">
        <v>178.77</v>
      </c>
      <c r="D10" s="249"/>
      <c r="E10" s="218" t="str">
        <f>mvalloc!D10</f>
        <v xml:space="preserve">  </v>
      </c>
    </row>
    <row r="11" spans="2:5">
      <c r="B11" s="141" t="s">
        <v>82</v>
      </c>
      <c r="C11" s="249">
        <v>1.31</v>
      </c>
      <c r="D11" s="249"/>
      <c r="E11" s="218" t="str">
        <f>mvalloc!E10</f>
        <v xml:space="preserve"> </v>
      </c>
    </row>
    <row r="12" spans="2:5" hidden="1">
      <c r="B12" s="150" t="s">
        <v>177</v>
      </c>
      <c r="C12" s="249"/>
      <c r="D12" s="249"/>
      <c r="E12" s="218" t="str">
        <f>mvalloc!F10</f>
        <v xml:space="preserve"> </v>
      </c>
    </row>
    <row r="13" spans="2:5">
      <c r="B13" s="265" t="s">
        <v>1051</v>
      </c>
      <c r="C13" s="249">
        <v>18184</v>
      </c>
      <c r="D13" s="249">
        <v>16000</v>
      </c>
      <c r="E13" s="56">
        <v>16000</v>
      </c>
    </row>
    <row r="14" spans="2:5" hidden="1">
      <c r="B14" s="265"/>
      <c r="C14" s="249"/>
      <c r="D14" s="249"/>
      <c r="E14" s="56"/>
    </row>
    <row r="15" spans="2:5" hidden="1">
      <c r="B15" s="253" t="s">
        <v>86</v>
      </c>
      <c r="C15" s="249"/>
      <c r="D15" s="249"/>
      <c r="E15" s="56"/>
    </row>
    <row r="16" spans="2:5" hidden="1">
      <c r="B16" s="150" t="s">
        <v>838</v>
      </c>
      <c r="C16" s="249">
        <v>0</v>
      </c>
      <c r="D16" s="249"/>
      <c r="E16" s="56"/>
    </row>
    <row r="17" spans="2:10" hidden="1">
      <c r="B17" s="244" t="s">
        <v>746</v>
      </c>
      <c r="C17" s="254" t="str">
        <f>IF(C18*0.1&lt;C16,"Exceed 10% Rule","")</f>
        <v/>
      </c>
      <c r="D17" s="254" t="str">
        <f>IF(D18*0.1&lt;D16,"Exceed 10% Rule","")</f>
        <v/>
      </c>
      <c r="E17" s="291" t="str">
        <f>IF(E18*0.1+E38&lt;E16,"Exceed 10% Rule","")</f>
        <v/>
      </c>
    </row>
    <row r="18" spans="2:10">
      <c r="B18" s="256" t="s">
        <v>87</v>
      </c>
      <c r="C18" s="258">
        <f>SUM(C8:C16)</f>
        <v>18526.39</v>
      </c>
      <c r="D18" s="258">
        <f>SUM(D8:D16)</f>
        <v>16000</v>
      </c>
      <c r="E18" s="259">
        <f>SUM(E8:E16)</f>
        <v>16000</v>
      </c>
    </row>
    <row r="19" spans="2:10">
      <c r="B19" s="256" t="s">
        <v>88</v>
      </c>
      <c r="C19" s="262">
        <f>C6+C18</f>
        <v>64065.9</v>
      </c>
      <c r="D19" s="262">
        <f>D6+D18</f>
        <v>64169.46</v>
      </c>
      <c r="E19" s="71">
        <f>E6+E18</f>
        <v>68669.459999999992</v>
      </c>
    </row>
    <row r="20" spans="2:10">
      <c r="B20" s="141" t="s">
        <v>90</v>
      </c>
      <c r="C20" s="266"/>
      <c r="D20" s="266"/>
      <c r="E20" s="54"/>
    </row>
    <row r="21" spans="2:10">
      <c r="B21" s="265" t="s">
        <v>1045</v>
      </c>
      <c r="C21" s="249">
        <v>1933</v>
      </c>
      <c r="D21" s="249">
        <v>5000</v>
      </c>
      <c r="E21" s="56">
        <v>20000</v>
      </c>
    </row>
    <row r="22" spans="2:10">
      <c r="B22" s="265" t="s">
        <v>1052</v>
      </c>
      <c r="C22" s="249">
        <v>12158.5</v>
      </c>
      <c r="D22" s="249">
        <v>5000</v>
      </c>
      <c r="E22" s="56">
        <v>20000</v>
      </c>
      <c r="G22" s="983" t="str">
        <f>CONCATENATE("Desired Carryover Into ",E1+1,"")</f>
        <v>Desired Carryover Into 2014</v>
      </c>
      <c r="H22" s="960"/>
      <c r="I22" s="960"/>
      <c r="J22" s="961"/>
    </row>
    <row r="23" spans="2:10">
      <c r="B23" s="265" t="s">
        <v>1053</v>
      </c>
      <c r="C23" s="249">
        <v>1804.94</v>
      </c>
      <c r="D23" s="249">
        <v>1500</v>
      </c>
      <c r="E23" s="56">
        <v>1500</v>
      </c>
      <c r="G23" s="800"/>
      <c r="H23" s="65"/>
      <c r="I23" s="801"/>
      <c r="J23" s="802"/>
    </row>
    <row r="24" spans="2:10" hidden="1">
      <c r="B24" s="265"/>
      <c r="C24" s="249"/>
      <c r="D24" s="249"/>
      <c r="E24" s="56"/>
      <c r="G24" s="803" t="s">
        <v>734</v>
      </c>
      <c r="H24" s="801"/>
      <c r="I24" s="801"/>
      <c r="J24" s="804">
        <v>0</v>
      </c>
    </row>
    <row r="25" spans="2:10" hidden="1">
      <c r="B25" s="265"/>
      <c r="C25" s="249"/>
      <c r="D25" s="249"/>
      <c r="E25" s="56"/>
      <c r="G25" s="800" t="s">
        <v>735</v>
      </c>
      <c r="H25" s="65"/>
      <c r="I25" s="65"/>
      <c r="J25" s="805" t="str">
        <f>IF(J24=0,"",ROUND((J24+E38-G37)/inputOth!E9*1000,3)-G42)</f>
        <v/>
      </c>
    </row>
    <row r="26" spans="2:10" hidden="1">
      <c r="B26" s="265"/>
      <c r="C26" s="249"/>
      <c r="D26" s="249"/>
      <c r="E26" s="56"/>
      <c r="G26" s="806" t="str">
        <f>CONCATENATE("",E1," Tot Exp/Non-Appr Must Be:")</f>
        <v>2013 Tot Exp/Non-Appr Must Be:</v>
      </c>
      <c r="H26" s="807"/>
      <c r="I26" s="808"/>
      <c r="J26" s="809">
        <f>IF(J24&gt;0,IF(E35&lt;E19,IF(J24=G37,E35,((J24-G37)*(1-D37))+E19),E35+(J24-G37)),0)</f>
        <v>0</v>
      </c>
    </row>
    <row r="27" spans="2:10" hidden="1">
      <c r="B27" s="265"/>
      <c r="C27" s="249"/>
      <c r="D27" s="249"/>
      <c r="E27" s="56"/>
      <c r="G27" s="810" t="s">
        <v>773</v>
      </c>
      <c r="H27" s="811"/>
      <c r="I27" s="811"/>
      <c r="J27" s="779">
        <f>IF(J24&gt;0,J26-E35,0)</f>
        <v>0</v>
      </c>
    </row>
    <row r="28" spans="2:10" hidden="1">
      <c r="B28" s="266" t="s">
        <v>837</v>
      </c>
      <c r="C28" s="249"/>
      <c r="D28" s="249"/>
      <c r="E28" s="71" t="str">
        <f>nhood!E9</f>
        <v/>
      </c>
      <c r="J28" s="2"/>
    </row>
    <row r="29" spans="2:10" hidden="1">
      <c r="B29" s="266" t="s">
        <v>838</v>
      </c>
      <c r="C29" s="249"/>
      <c r="D29" s="249"/>
      <c r="E29" s="56"/>
      <c r="G29" s="983" t="str">
        <f>CONCATENATE("Projected Carryover Into ",E1+1,"")</f>
        <v>Projected Carryover Into 2014</v>
      </c>
      <c r="H29" s="988"/>
      <c r="I29" s="988"/>
      <c r="J29" s="986"/>
    </row>
    <row r="30" spans="2:10" hidden="1">
      <c r="B30" s="266" t="s">
        <v>747</v>
      </c>
      <c r="C30" s="254" t="str">
        <f>IF(C31*0.1&lt;C29,"Exceed 10% Rule","")</f>
        <v/>
      </c>
      <c r="D30" s="254" t="str">
        <f>IF(D31*0.1&lt;D29,"Exceed 10% Rule","")</f>
        <v/>
      </c>
      <c r="E30" s="291" t="str">
        <f>IF(E31*0.1&lt;E29,"Exceed 10% Rule","")</f>
        <v/>
      </c>
      <c r="G30" s="800"/>
      <c r="H30" s="801"/>
      <c r="I30" s="801"/>
      <c r="J30" s="825"/>
    </row>
    <row r="31" spans="2:10">
      <c r="B31" s="256" t="s">
        <v>94</v>
      </c>
      <c r="C31" s="258">
        <f>SUM(C21:C29)</f>
        <v>15896.44</v>
      </c>
      <c r="D31" s="258">
        <f>SUM(D21:D29)</f>
        <v>11500</v>
      </c>
      <c r="E31" s="259">
        <f>SUM(E21:E29)</f>
        <v>41500</v>
      </c>
      <c r="G31" s="826">
        <f>D32</f>
        <v>52669.46</v>
      </c>
      <c r="H31" s="791" t="str">
        <f>CONCATENATE("",E1-1," Ending Cash Balance (est.)")</f>
        <v>2012 Ending Cash Balance (est.)</v>
      </c>
      <c r="I31" s="827"/>
      <c r="J31" s="825"/>
    </row>
    <row r="32" spans="2:10">
      <c r="B32" s="141" t="s">
        <v>200</v>
      </c>
      <c r="C32" s="262">
        <f>C19-C31</f>
        <v>48169.46</v>
      </c>
      <c r="D32" s="262">
        <f>D19-D31</f>
        <v>52669.46</v>
      </c>
      <c r="E32" s="277" t="s">
        <v>67</v>
      </c>
      <c r="G32" s="826">
        <f>E18</f>
        <v>16000</v>
      </c>
      <c r="H32" s="801" t="str">
        <f>CONCATENATE("",E1," Non-AV Receipts (est.)")</f>
        <v>2013 Non-AV Receipts (est.)</v>
      </c>
      <c r="I32" s="827"/>
      <c r="J32" s="825"/>
    </row>
    <row r="33" spans="2:11">
      <c r="B33" s="127" t="str">
        <f>CONCATENATE("",E1-2,"/",E1-1," Budget Authority Amount:")</f>
        <v>2011/2012 Budget Authority Amount:</v>
      </c>
      <c r="C33" s="231">
        <f>inputOth!B66</f>
        <v>22091.48</v>
      </c>
      <c r="D33" s="231">
        <f>inputPrYr!D21</f>
        <v>12000</v>
      </c>
      <c r="E33" s="277" t="s">
        <v>67</v>
      </c>
      <c r="F33" s="268"/>
      <c r="G33" s="828">
        <f>IF(E37&gt;0,E36,E38)</f>
        <v>0</v>
      </c>
      <c r="H33" s="801" t="str">
        <f>CONCATENATE("",E1," Ad Valorem Tax (est.)")</f>
        <v>2013 Ad Valorem Tax (est.)</v>
      </c>
      <c r="I33" s="827"/>
      <c r="J33" s="813"/>
      <c r="K33" s="784" t="str">
        <f>IF(G33=E38,"","Note: Does not include Delinquent Taxes")</f>
        <v/>
      </c>
    </row>
    <row r="34" spans="2:11">
      <c r="B34" s="127"/>
      <c r="C34" s="965" t="s">
        <v>591</v>
      </c>
      <c r="D34" s="966"/>
      <c r="E34" s="56"/>
      <c r="F34" s="885" t="str">
        <f>IF(E31/0.95-E31&lt;E34,"Exceeds 5%","")</f>
        <v/>
      </c>
      <c r="G34" s="826">
        <f>SUM(G31:G33)</f>
        <v>68669.459999999992</v>
      </c>
      <c r="H34" s="801" t="str">
        <f>CONCATENATE("Total ",E1," Resources Available")</f>
        <v>Total 2013 Resources Available</v>
      </c>
      <c r="I34" s="827"/>
      <c r="J34" s="825"/>
    </row>
    <row r="35" spans="2:11">
      <c r="B35" s="538" t="str">
        <f>CONCATENATE(C93,"     ",D93)</f>
        <v xml:space="preserve">     </v>
      </c>
      <c r="C35" s="967" t="s">
        <v>592</v>
      </c>
      <c r="D35" s="968"/>
      <c r="E35" s="218">
        <f>E31+E34</f>
        <v>41500</v>
      </c>
      <c r="G35" s="845"/>
      <c r="H35" s="801"/>
      <c r="I35" s="801"/>
      <c r="J35" s="825"/>
    </row>
    <row r="36" spans="2:11">
      <c r="B36" s="538" t="str">
        <f>CONCATENATE(C94,"     ",D94)</f>
        <v xml:space="preserve">     </v>
      </c>
      <c r="C36" s="269"/>
      <c r="D36" s="160" t="s">
        <v>95</v>
      </c>
      <c r="E36" s="71">
        <f>IF(E35-E19&gt;0,E35-E19,0)</f>
        <v>0</v>
      </c>
      <c r="G36" s="828">
        <f>ROUND(C31*0.05+C31,0)</f>
        <v>16691</v>
      </c>
      <c r="H36" s="801" t="str">
        <f>CONCATENATE("Less ",E1-2," Expenditures + 5%")</f>
        <v>Less 2011 Expenditures + 5%</v>
      </c>
      <c r="I36" s="827"/>
      <c r="J36" s="825"/>
    </row>
    <row r="37" spans="2:11">
      <c r="B37" s="160"/>
      <c r="C37" s="379" t="s">
        <v>590</v>
      </c>
      <c r="D37" s="747">
        <f>inputOth!$E$50</f>
        <v>0.06</v>
      </c>
      <c r="E37" s="218">
        <f>ROUND(IF(D37&gt;0,(E36*D37),0),0)</f>
        <v>0</v>
      </c>
      <c r="G37" s="846">
        <f>G34-G36</f>
        <v>51978.459999999992</v>
      </c>
      <c r="H37" s="847" t="str">
        <f>CONCATENATE("Projected ",E1+1," carryover (est.)")</f>
        <v>Projected 2014 carryover (est.)</v>
      </c>
      <c r="I37" s="848"/>
      <c r="J37" s="838"/>
    </row>
    <row r="38" spans="2:11" ht="16.5" thickBot="1">
      <c r="B38" s="160"/>
      <c r="C38" s="969" t="str">
        <f>CONCATENATE("Amount of  ",$E$1-1," Ad Valorem Tax")</f>
        <v>Amount of  2012 Ad Valorem Tax</v>
      </c>
      <c r="D38" s="970"/>
      <c r="E38" s="750">
        <f>E36+E37</f>
        <v>0</v>
      </c>
      <c r="G38" s="2"/>
      <c r="H38" s="2"/>
      <c r="I38" s="2"/>
      <c r="J38" s="2"/>
    </row>
    <row r="39" spans="2:11" ht="16.5" thickTop="1">
      <c r="B39" s="36"/>
      <c r="C39" s="969"/>
      <c r="D39" s="987"/>
      <c r="E39" s="65"/>
      <c r="G39" s="962" t="s">
        <v>774</v>
      </c>
      <c r="H39" s="963"/>
      <c r="I39" s="963"/>
      <c r="J39" s="964"/>
    </row>
    <row r="40" spans="2:11">
      <c r="B40" s="41"/>
      <c r="C40" s="280"/>
      <c r="D40" s="280"/>
      <c r="E40" s="280"/>
      <c r="G40" s="790"/>
      <c r="H40" s="791"/>
      <c r="I40" s="792"/>
      <c r="J40" s="793"/>
    </row>
    <row r="41" spans="2:11">
      <c r="B41" s="41" t="s">
        <v>78</v>
      </c>
      <c r="C41" s="416" t="s">
        <v>770</v>
      </c>
      <c r="D41" s="415" t="s">
        <v>771</v>
      </c>
      <c r="E41" s="392" t="s">
        <v>772</v>
      </c>
      <c r="G41" s="794" t="str">
        <f>summ!H18</f>
        <v xml:space="preserve">  </v>
      </c>
      <c r="H41" s="791" t="str">
        <f>CONCATENATE("",E1," Fund Mill Rate")</f>
        <v>2013 Fund Mill Rate</v>
      </c>
      <c r="I41" s="792"/>
      <c r="J41" s="793"/>
    </row>
    <row r="42" spans="2:11">
      <c r="B42" s="542" t="str">
        <f>(inputPrYr!B22)</f>
        <v>Employee Benefits</v>
      </c>
      <c r="C42" s="417" t="str">
        <f>CONCATENATE("Actual for ",E1-2,"")</f>
        <v>Actual for 2011</v>
      </c>
      <c r="D42" s="417" t="str">
        <f>CONCATENATE("Estimate for ",E1-1,"")</f>
        <v>Estimate for 2012</v>
      </c>
      <c r="E42" s="401" t="str">
        <f>CONCATENATE("Year for ",E1,"")</f>
        <v>Year for 2013</v>
      </c>
      <c r="G42" s="795" t="str">
        <f>summ!E18</f>
        <v xml:space="preserve">  </v>
      </c>
      <c r="H42" s="791" t="str">
        <f>CONCATENATE("",E1-1," Fund Mill Rate")</f>
        <v>2012 Fund Mill Rate</v>
      </c>
      <c r="I42" s="792"/>
      <c r="J42" s="793"/>
    </row>
    <row r="43" spans="2:11">
      <c r="B43" s="244" t="s">
        <v>199</v>
      </c>
      <c r="C43" s="249">
        <v>1000</v>
      </c>
      <c r="D43" s="247">
        <f>C72</f>
        <v>28831.770000000019</v>
      </c>
      <c r="E43" s="218">
        <f>D72</f>
        <v>55041.533015377121</v>
      </c>
      <c r="G43" s="796">
        <f>summ!H52</f>
        <v>58.234000000000002</v>
      </c>
      <c r="H43" s="791" t="str">
        <f>CONCATENATE("Total ",E1," Mill Rate")</f>
        <v>Total 2013 Mill Rate</v>
      </c>
      <c r="I43" s="792"/>
      <c r="J43" s="793"/>
    </row>
    <row r="44" spans="2:11">
      <c r="B44" s="248" t="s">
        <v>201</v>
      </c>
      <c r="C44" s="150"/>
      <c r="D44" s="150"/>
      <c r="E44" s="76"/>
      <c r="G44" s="795">
        <f>summ!E52</f>
        <v>53.734000000000002</v>
      </c>
      <c r="H44" s="797" t="str">
        <f>CONCATENATE("Total ",E1-1," Mill Rate")</f>
        <v>Total 2012 Mill Rate</v>
      </c>
      <c r="I44" s="798"/>
      <c r="J44" s="799"/>
    </row>
    <row r="45" spans="2:11">
      <c r="B45" s="141" t="s">
        <v>79</v>
      </c>
      <c r="C45" s="249">
        <v>467468.20000000007</v>
      </c>
      <c r="D45" s="247">
        <f>IF(inputPrYr!H16&gt;0,inputPrYr!G22,inputPrYr!E22)</f>
        <v>430845</v>
      </c>
      <c r="E45" s="277" t="s">
        <v>67</v>
      </c>
    </row>
    <row r="46" spans="2:11">
      <c r="B46" s="141" t="s">
        <v>80</v>
      </c>
      <c r="C46" s="249">
        <v>16610.66</v>
      </c>
      <c r="D46" s="249">
        <v>18000</v>
      </c>
      <c r="E46" s="56">
        <v>16000</v>
      </c>
    </row>
    <row r="47" spans="2:11">
      <c r="B47" s="141" t="s">
        <v>81</v>
      </c>
      <c r="C47" s="249">
        <v>45616.850000000006</v>
      </c>
      <c r="D47" s="249">
        <v>45344.415400000005</v>
      </c>
      <c r="E47" s="218">
        <f>mvalloc!D11</f>
        <v>43723</v>
      </c>
    </row>
    <row r="48" spans="2:11">
      <c r="B48" s="141" t="s">
        <v>82</v>
      </c>
      <c r="C48" s="249">
        <v>657.5</v>
      </c>
      <c r="D48" s="249">
        <v>701.20230000000015</v>
      </c>
      <c r="E48" s="218">
        <f>mvalloc!E11</f>
        <v>616</v>
      </c>
    </row>
    <row r="49" spans="2:10">
      <c r="B49" s="150" t="s">
        <v>177</v>
      </c>
      <c r="C49" s="249"/>
      <c r="D49" s="249"/>
      <c r="E49" s="218">
        <f>mvalloc!F11</f>
        <v>221</v>
      </c>
    </row>
    <row r="50" spans="2:10">
      <c r="B50" s="265" t="s">
        <v>1028</v>
      </c>
      <c r="C50" s="249">
        <v>45000</v>
      </c>
      <c r="D50" s="249">
        <v>70267.819762019237</v>
      </c>
      <c r="E50" s="56">
        <v>53347.79772000001</v>
      </c>
    </row>
    <row r="51" spans="2:10">
      <c r="B51" s="265" t="s">
        <v>1029</v>
      </c>
      <c r="C51" s="249">
        <v>0</v>
      </c>
      <c r="D51" s="249">
        <v>10477.970888942309</v>
      </c>
      <c r="E51" s="56">
        <v>22514.913666000004</v>
      </c>
    </row>
    <row r="52" spans="2:10">
      <c r="B52" s="265" t="s">
        <v>1030</v>
      </c>
      <c r="C52" s="249">
        <v>0</v>
      </c>
      <c r="D52" s="249">
        <v>6837.0119365384617</v>
      </c>
      <c r="E52" s="56">
        <v>14739.032952000001</v>
      </c>
    </row>
    <row r="53" spans="2:10">
      <c r="B53" s="265" t="s">
        <v>1031</v>
      </c>
      <c r="C53" s="249">
        <v>0</v>
      </c>
      <c r="D53" s="249">
        <v>12238.099999999999</v>
      </c>
      <c r="E53" s="56">
        <v>2419</v>
      </c>
    </row>
    <row r="54" spans="2:10" hidden="1">
      <c r="B54" s="265"/>
      <c r="C54" s="249"/>
      <c r="D54" s="249"/>
      <c r="E54" s="56"/>
    </row>
    <row r="55" spans="2:10" hidden="1">
      <c r="B55" s="253" t="s">
        <v>86</v>
      </c>
      <c r="C55" s="249"/>
      <c r="D55" s="249"/>
      <c r="E55" s="56"/>
    </row>
    <row r="56" spans="2:10" hidden="1">
      <c r="B56" s="150" t="s">
        <v>838</v>
      </c>
      <c r="C56" s="249"/>
      <c r="D56" s="249"/>
      <c r="E56" s="56"/>
    </row>
    <row r="57" spans="2:10" hidden="1">
      <c r="B57" s="244" t="s">
        <v>746</v>
      </c>
      <c r="C57" s="254" t="str">
        <f>IF(C58*0.1&lt;C56,"Exceed 10% Rule","")</f>
        <v/>
      </c>
      <c r="D57" s="254" t="str">
        <f>IF(D58*0.1&lt;D56,"Exceed 10% Rule","")</f>
        <v/>
      </c>
      <c r="E57" s="291" t="str">
        <f>IF(E58*0.1+E78&lt;E56,"Exceed 10% Rule","")</f>
        <v/>
      </c>
    </row>
    <row r="58" spans="2:10">
      <c r="B58" s="256" t="s">
        <v>87</v>
      </c>
      <c r="C58" s="258">
        <f>SUM(C45:C56)</f>
        <v>575353.21000000008</v>
      </c>
      <c r="D58" s="258">
        <f>SUM(D45:D56)</f>
        <v>594711.52028750011</v>
      </c>
      <c r="E58" s="259">
        <f>SUM(E45:E56)</f>
        <v>153580.74433800002</v>
      </c>
      <c r="G58" s="905">
        <f>+E58+E76</f>
        <v>634418.36916002282</v>
      </c>
    </row>
    <row r="59" spans="2:10">
      <c r="B59" s="256" t="s">
        <v>88</v>
      </c>
      <c r="C59" s="258">
        <f>C43+C58</f>
        <v>576353.21000000008</v>
      </c>
      <c r="D59" s="258">
        <f>D43+D58</f>
        <v>623543.29028750013</v>
      </c>
      <c r="E59" s="259">
        <f>E43+E58</f>
        <v>208622.27735337714</v>
      </c>
    </row>
    <row r="60" spans="2:10">
      <c r="B60" s="141" t="s">
        <v>90</v>
      </c>
      <c r="C60" s="266"/>
      <c r="D60" s="266"/>
      <c r="E60" s="54"/>
    </row>
    <row r="61" spans="2:10">
      <c r="B61" s="265" t="s">
        <v>1032</v>
      </c>
      <c r="C61" s="249">
        <v>134894.9</v>
      </c>
      <c r="D61" s="249">
        <v>137072.11370400002</v>
      </c>
      <c r="E61" s="56">
        <v>136796.20757999996</v>
      </c>
    </row>
    <row r="62" spans="2:10">
      <c r="B62" s="265" t="s">
        <v>1033</v>
      </c>
      <c r="C62" s="249">
        <v>122850</v>
      </c>
      <c r="D62" s="249">
        <v>134552.7357162</v>
      </c>
      <c r="E62" s="56">
        <v>126959.95344</v>
      </c>
      <c r="G62" s="983" t="str">
        <f>CONCATENATE("Desired Carryover Into ",E1+1,"")</f>
        <v>Desired Carryover Into 2014</v>
      </c>
      <c r="H62" s="960"/>
      <c r="I62" s="960"/>
      <c r="J62" s="961"/>
    </row>
    <row r="63" spans="2:10">
      <c r="B63" s="265" t="s">
        <v>1034</v>
      </c>
      <c r="C63" s="249">
        <v>235306.23</v>
      </c>
      <c r="D63" s="249">
        <v>218745.57528846155</v>
      </c>
      <c r="E63" s="56">
        <v>293418.96412500006</v>
      </c>
      <c r="G63" s="800"/>
      <c r="H63" s="65"/>
      <c r="I63" s="801"/>
      <c r="J63" s="802"/>
    </row>
    <row r="64" spans="2:10">
      <c r="B64" s="265" t="s">
        <v>1035</v>
      </c>
      <c r="C64" s="249">
        <v>45597</v>
      </c>
      <c r="D64" s="249">
        <v>46622</v>
      </c>
      <c r="E64" s="56">
        <v>47592.59</v>
      </c>
      <c r="G64" s="803" t="s">
        <v>734</v>
      </c>
      <c r="H64" s="801"/>
      <c r="I64" s="801"/>
      <c r="J64" s="804"/>
    </row>
    <row r="65" spans="2:11">
      <c r="B65" s="265" t="s">
        <v>1036</v>
      </c>
      <c r="C65" s="249">
        <v>8528.14</v>
      </c>
      <c r="D65" s="249">
        <v>4021.5341499999995</v>
      </c>
      <c r="E65" s="56">
        <v>8788.0507304000002</v>
      </c>
      <c r="G65" s="800" t="s">
        <v>735</v>
      </c>
      <c r="H65" s="65"/>
      <c r="I65" s="65"/>
      <c r="J65" s="805" t="str">
        <f>IF(J64=0,"",ROUND((J64+E78-G77)/inputOth!E9*1000,3)-G82)</f>
        <v/>
      </c>
    </row>
    <row r="66" spans="2:11">
      <c r="B66" s="265" t="s">
        <v>1037</v>
      </c>
      <c r="C66" s="249">
        <v>345.17</v>
      </c>
      <c r="D66" s="249"/>
      <c r="E66" s="56"/>
      <c r="G66" s="806" t="str">
        <f>CONCATENATE("",E1," Tot Exp/Non-Appr Must Be:")</f>
        <v>2013 Tot Exp/Non-Appr Must Be:</v>
      </c>
      <c r="H66" s="807"/>
      <c r="I66" s="808"/>
      <c r="J66" s="809">
        <f>IF(J64&gt;0,IF(E75&lt;E59,IF(J64=G77,E75,((J64-G77)*(1-D77))+E59),E75+(J64-G77)),0)</f>
        <v>0</v>
      </c>
    </row>
    <row r="67" spans="2:11">
      <c r="B67" s="265" t="s">
        <v>1038</v>
      </c>
      <c r="C67" s="249"/>
      <c r="D67" s="249">
        <v>27487.798413461536</v>
      </c>
      <c r="E67" s="56">
        <v>52196.136300000006</v>
      </c>
      <c r="G67" s="810" t="s">
        <v>773</v>
      </c>
      <c r="H67" s="811"/>
      <c r="I67" s="811"/>
      <c r="J67" s="779">
        <f>IF(J64&gt;0,J66-E75,0)</f>
        <v>0</v>
      </c>
    </row>
    <row r="68" spans="2:11" hidden="1">
      <c r="B68" s="266" t="s">
        <v>837</v>
      </c>
      <c r="C68" s="249"/>
      <c r="D68" s="249"/>
      <c r="E68" s="71" t="str">
        <f>nhood!E10</f>
        <v/>
      </c>
      <c r="J68" s="2"/>
    </row>
    <row r="69" spans="2:11" hidden="1">
      <c r="B69" s="266" t="s">
        <v>838</v>
      </c>
      <c r="C69" s="249"/>
      <c r="D69" s="249"/>
      <c r="E69" s="56"/>
      <c r="G69" s="983" t="str">
        <f>CONCATENATE("Projected Carryover Into ",E1+1,"")</f>
        <v>Projected Carryover Into 2014</v>
      </c>
      <c r="H69" s="985"/>
      <c r="I69" s="985"/>
      <c r="J69" s="986"/>
    </row>
    <row r="70" spans="2:11" hidden="1">
      <c r="B70" s="266" t="s">
        <v>747</v>
      </c>
      <c r="C70" s="254" t="str">
        <f>IF(C71*0.1&lt;C69,"Exceed 10% Rule","")</f>
        <v/>
      </c>
      <c r="D70" s="254" t="str">
        <f>IF(D71*0.1&lt;D69,"Exceed 10% Rule","")</f>
        <v/>
      </c>
      <c r="E70" s="291" t="str">
        <f>IF(E71*0.1&lt;E69,"Exceed 10% Rule","")</f>
        <v/>
      </c>
      <c r="G70" s="824"/>
      <c r="H70" s="65"/>
      <c r="I70" s="65"/>
      <c r="J70" s="831"/>
    </row>
    <row r="71" spans="2:11">
      <c r="B71" s="256" t="s">
        <v>94</v>
      </c>
      <c r="C71" s="258">
        <f>SUM(C61:C69)</f>
        <v>547521.44000000006</v>
      </c>
      <c r="D71" s="258">
        <f>SUM(D61:D69)</f>
        <v>568501.75727212301</v>
      </c>
      <c r="E71" s="259">
        <f>SUM(E61:E69)</f>
        <v>665751.90217539994</v>
      </c>
      <c r="G71" s="826">
        <f>D72</f>
        <v>55041.533015377121</v>
      </c>
      <c r="H71" s="791" t="str">
        <f>CONCATENATE("",E1-1," Ending Cash Balance (est.)")</f>
        <v>2012 Ending Cash Balance (est.)</v>
      </c>
      <c r="I71" s="827"/>
      <c r="J71" s="831"/>
    </row>
    <row r="72" spans="2:11">
      <c r="B72" s="141" t="s">
        <v>200</v>
      </c>
      <c r="C72" s="262">
        <f>C59-C71</f>
        <v>28831.770000000019</v>
      </c>
      <c r="D72" s="262">
        <f>D59-D71</f>
        <v>55041.533015377121</v>
      </c>
      <c r="E72" s="277" t="s">
        <v>67</v>
      </c>
      <c r="G72" s="826">
        <f>E58</f>
        <v>153580.74433800002</v>
      </c>
      <c r="H72" s="801" t="str">
        <f>CONCATENATE("",E1," Non-AV Receipts (est.)")</f>
        <v>2013 Non-AV Receipts (est.)</v>
      </c>
      <c r="I72" s="827"/>
      <c r="J72" s="831"/>
    </row>
    <row r="73" spans="2:11">
      <c r="B73" s="127" t="str">
        <f>CONCATENATE("",E1-2,"/",E1-1," Budget Authority Amount:")</f>
        <v>2011/2012 Budget Authority Amount:</v>
      </c>
      <c r="C73" s="231">
        <f>inputOth!B67</f>
        <v>572317.46000000008</v>
      </c>
      <c r="D73" s="231">
        <f>inputPrYr!D22</f>
        <v>521318</v>
      </c>
      <c r="E73" s="277" t="s">
        <v>67</v>
      </c>
      <c r="F73" s="268"/>
      <c r="G73" s="828">
        <f>IF(D77&gt;0,E76,E78)</f>
        <v>480837.6248220228</v>
      </c>
      <c r="H73" s="801" t="str">
        <f>CONCATENATE("",E1," Ad Valorem Tax (est.)")</f>
        <v>2013 Ad Valorem Tax (est.)</v>
      </c>
      <c r="I73" s="827"/>
      <c r="J73" s="831"/>
      <c r="K73" s="784" t="str">
        <f>IF(G73=E78,"","Note: Does not include Delinquent Taxes")</f>
        <v>Note: Does not include Delinquent Taxes</v>
      </c>
    </row>
    <row r="74" spans="2:11">
      <c r="B74" s="127"/>
      <c r="C74" s="965" t="s">
        <v>591</v>
      </c>
      <c r="D74" s="966"/>
      <c r="E74" s="56">
        <v>23708</v>
      </c>
      <c r="F74" s="885" t="str">
        <f>IF(E71/0.95-E71&lt;E74,"Exceeds 5%","")</f>
        <v/>
      </c>
      <c r="G74" s="830">
        <f>SUM(G71:G73)</f>
        <v>689459.90217539994</v>
      </c>
      <c r="H74" s="801" t="str">
        <f>CONCATENATE("Total ",E1," Resources Available")</f>
        <v>Total 2013 Resources Available</v>
      </c>
      <c r="I74" s="831"/>
      <c r="J74" s="831"/>
    </row>
    <row r="75" spans="2:11">
      <c r="B75" s="538" t="str">
        <f>CONCATENATE(C95,"     ",D95)</f>
        <v xml:space="preserve">     </v>
      </c>
      <c r="C75" s="967" t="s">
        <v>592</v>
      </c>
      <c r="D75" s="968"/>
      <c r="E75" s="218">
        <f>E71+E74</f>
        <v>689459.90217539994</v>
      </c>
      <c r="G75" s="832"/>
      <c r="H75" s="833"/>
      <c r="I75" s="65"/>
      <c r="J75" s="831"/>
    </row>
    <row r="76" spans="2:11">
      <c r="B76" s="538" t="str">
        <f>CONCATENATE(C96,"     ",D96)</f>
        <v xml:space="preserve">     </v>
      </c>
      <c r="C76" s="269"/>
      <c r="D76" s="160" t="s">
        <v>95</v>
      </c>
      <c r="E76" s="71">
        <f>IF(E75-E59&gt;0,E75-E59,0)</f>
        <v>480837.6248220228</v>
      </c>
      <c r="G76" s="834">
        <f>ROUND(C71*0.05+C71,0)</f>
        <v>574898</v>
      </c>
      <c r="H76" s="833" t="str">
        <f>CONCATENATE("Less ",E1-2," Expenditures + 5%")</f>
        <v>Less 2011 Expenditures + 5%</v>
      </c>
      <c r="I76" s="831"/>
      <c r="J76" s="831"/>
    </row>
    <row r="77" spans="2:11">
      <c r="B77" s="160"/>
      <c r="C77" s="379" t="s">
        <v>590</v>
      </c>
      <c r="D77" s="747">
        <f>inputOth!$E$50</f>
        <v>0.06</v>
      </c>
      <c r="E77" s="218">
        <f>ROUND(IF(D77&gt;0,(E76*D77),0),0)</f>
        <v>28850</v>
      </c>
      <c r="G77" s="835">
        <f>G74-G76</f>
        <v>114561.90217539994</v>
      </c>
      <c r="H77" s="836" t="str">
        <f>CONCATENATE("Projected ",E1+1," carryover (est.)")</f>
        <v>Projected 2014 carryover (est.)</v>
      </c>
      <c r="I77" s="837"/>
      <c r="J77" s="838"/>
    </row>
    <row r="78" spans="2:11" ht="16.5" thickBot="1">
      <c r="B78" s="36"/>
      <c r="C78" s="969" t="str">
        <f>CONCATENATE("Amount of  ",$E$1-1," Ad Valorem Tax")</f>
        <v>Amount of  2012 Ad Valorem Tax</v>
      </c>
      <c r="D78" s="970"/>
      <c r="E78" s="750">
        <f>E76+E77</f>
        <v>509687.6248220228</v>
      </c>
      <c r="G78" s="2"/>
      <c r="H78" s="2"/>
      <c r="I78" s="2"/>
    </row>
    <row r="79" spans="2:11" ht="16.5" thickTop="1">
      <c r="B79" s="36"/>
      <c r="C79" s="585"/>
      <c r="D79" s="36"/>
      <c r="E79" s="36"/>
      <c r="G79" s="962" t="s">
        <v>774</v>
      </c>
      <c r="H79" s="963"/>
      <c r="I79" s="963"/>
      <c r="J79" s="964"/>
    </row>
    <row r="80" spans="2:11">
      <c r="B80" s="160" t="s">
        <v>97</v>
      </c>
      <c r="C80" s="273">
        <v>10</v>
      </c>
      <c r="D80" s="36"/>
      <c r="E80" s="36"/>
      <c r="G80" s="790"/>
      <c r="H80" s="791"/>
      <c r="I80" s="792"/>
      <c r="J80" s="793"/>
    </row>
    <row r="81" spans="2:10">
      <c r="B81" s="21"/>
      <c r="G81" s="794">
        <f>summ!H19</f>
        <v>22.423999999999999</v>
      </c>
      <c r="H81" s="791" t="str">
        <f>CONCATENATE("",E1," Fund Mill Rate")</f>
        <v>2013 Fund Mill Rate</v>
      </c>
      <c r="I81" s="792"/>
      <c r="J81" s="793"/>
    </row>
    <row r="82" spans="2:10">
      <c r="G82" s="795">
        <f>summ!E19</f>
        <v>19.922999999999998</v>
      </c>
      <c r="H82" s="791" t="str">
        <f>CONCATENATE("",E1-1," Fund Mill Rate")</f>
        <v>2012 Fund Mill Rate</v>
      </c>
      <c r="I82" s="792"/>
      <c r="J82" s="793"/>
    </row>
    <row r="83" spans="2:10">
      <c r="G83" s="796">
        <f>summ!H52</f>
        <v>58.234000000000002</v>
      </c>
      <c r="H83" s="791" t="str">
        <f>CONCATENATE("Total ",E1," Mill Rate")</f>
        <v>Total 2013 Mill Rate</v>
      </c>
      <c r="I83" s="792"/>
      <c r="J83" s="793"/>
    </row>
    <row r="84" spans="2:10">
      <c r="G84" s="795">
        <f>summ!E52</f>
        <v>53.734000000000002</v>
      </c>
      <c r="H84" s="797" t="str">
        <f>CONCATENATE("Total ",E1-1," Mill Rate")</f>
        <v>Total 2012 Mill Rate</v>
      </c>
      <c r="I84" s="798"/>
      <c r="J84" s="799"/>
    </row>
    <row r="93" spans="2:10" hidden="1">
      <c r="C93" s="537" t="str">
        <f>IF(C31&gt;C33,"See Tab A","")</f>
        <v/>
      </c>
      <c r="D93" s="537" t="str">
        <f>IF(D29&gt;D33,"See Tab C","")</f>
        <v/>
      </c>
    </row>
    <row r="94" spans="2:10" hidden="1">
      <c r="C94" s="537" t="str">
        <f>IF(C32&lt;0,"See Tab B","")</f>
        <v/>
      </c>
      <c r="D94" s="537" t="str">
        <f>IF(D32&lt;0,"See Tab D","")</f>
        <v/>
      </c>
    </row>
    <row r="95" spans="2:10" hidden="1">
      <c r="C95" s="537" t="str">
        <f>IF(C69&gt;C73,"See Tab A","")</f>
        <v/>
      </c>
      <c r="D95" s="537" t="str">
        <f>IF(D69&gt;D73,"See Tab C","")</f>
        <v/>
      </c>
    </row>
    <row r="96" spans="2:10" hidden="1">
      <c r="C96" s="537" t="str">
        <f>IF(C72&lt;0,"See Tab B","")</f>
        <v/>
      </c>
      <c r="D96" s="537" t="str">
        <f>IF(D72&lt;0,"See Tab D","")</f>
        <v/>
      </c>
    </row>
  </sheetData>
  <mergeCells count="13">
    <mergeCell ref="G62:J62"/>
    <mergeCell ref="G79:J79"/>
    <mergeCell ref="C78:D78"/>
    <mergeCell ref="C38:D38"/>
    <mergeCell ref="C75:D75"/>
    <mergeCell ref="G69:J69"/>
    <mergeCell ref="C74:D74"/>
    <mergeCell ref="C34:D34"/>
    <mergeCell ref="C35:D35"/>
    <mergeCell ref="C39:D39"/>
    <mergeCell ref="G22:J22"/>
    <mergeCell ref="G29:J29"/>
    <mergeCell ref="G39:J39"/>
  </mergeCells>
  <phoneticPr fontId="0" type="noConversion"/>
  <conditionalFormatting sqref="E69">
    <cfRule type="cellIs" dxfId="285" priority="3" stopIfTrue="1" operator="greaterThan">
      <formula>$E$71*0.1</formula>
    </cfRule>
  </conditionalFormatting>
  <conditionalFormatting sqref="E74">
    <cfRule type="cellIs" dxfId="284" priority="4" stopIfTrue="1" operator="greaterThan">
      <formula>$E$71/0.95-$E$71</formula>
    </cfRule>
  </conditionalFormatting>
  <conditionalFormatting sqref="E29">
    <cfRule type="cellIs" dxfId="283" priority="5" stopIfTrue="1" operator="greaterThan">
      <formula>$E$31*0.1</formula>
    </cfRule>
  </conditionalFormatting>
  <conditionalFormatting sqref="E34">
    <cfRule type="cellIs" dxfId="282" priority="6" stopIfTrue="1" operator="greaterThan">
      <formula>$E$31/0.95-$E$31</formula>
    </cfRule>
  </conditionalFormatting>
  <conditionalFormatting sqref="C29">
    <cfRule type="cellIs" dxfId="281" priority="7" stopIfTrue="1" operator="greaterThan">
      <formula>$C$31*0.1</formula>
    </cfRule>
  </conditionalFormatting>
  <conditionalFormatting sqref="D29">
    <cfRule type="cellIs" dxfId="280" priority="8" stopIfTrue="1" operator="greaterThan">
      <formula>$D$31*0.1</formula>
    </cfRule>
  </conditionalFormatting>
  <conditionalFormatting sqref="D31">
    <cfRule type="cellIs" dxfId="279" priority="9" stopIfTrue="1" operator="greaterThan">
      <formula>$C$33</formula>
    </cfRule>
  </conditionalFormatting>
  <conditionalFormatting sqref="C31">
    <cfRule type="cellIs" dxfId="278" priority="10" stopIfTrue="1" operator="greaterThan">
      <formula>$C$33</formula>
    </cfRule>
  </conditionalFormatting>
  <conditionalFormatting sqref="C32 C72">
    <cfRule type="cellIs" dxfId="277" priority="11" stopIfTrue="1" operator="lessThan">
      <formula>0</formula>
    </cfRule>
  </conditionalFormatting>
  <conditionalFormatting sqref="C69">
    <cfRule type="cellIs" dxfId="276" priority="12" stopIfTrue="1" operator="greaterThan">
      <formula>$C$71*0.1</formula>
    </cfRule>
  </conditionalFormatting>
  <conditionalFormatting sqref="D69">
    <cfRule type="cellIs" dxfId="275" priority="13" stopIfTrue="1" operator="greaterThan">
      <formula>$D$71*0.1</formula>
    </cfRule>
  </conditionalFormatting>
  <conditionalFormatting sqref="D71">
    <cfRule type="cellIs" dxfId="274" priority="14" stopIfTrue="1" operator="greaterThan">
      <formula>$C$73</formula>
    </cfRule>
  </conditionalFormatting>
  <conditionalFormatting sqref="C71">
    <cfRule type="cellIs" dxfId="273" priority="15" stopIfTrue="1" operator="greaterThan">
      <formula>$C$73</formula>
    </cfRule>
  </conditionalFormatting>
  <conditionalFormatting sqref="D16">
    <cfRule type="cellIs" dxfId="272" priority="16" stopIfTrue="1" operator="greaterThan">
      <formula>$D$18*0.1</formula>
    </cfRule>
  </conditionalFormatting>
  <conditionalFormatting sqref="C16">
    <cfRule type="cellIs" dxfId="271" priority="17" stopIfTrue="1" operator="greaterThan">
      <formula>$C$18*0.1</formula>
    </cfRule>
  </conditionalFormatting>
  <conditionalFormatting sqref="D56">
    <cfRule type="cellIs" dxfId="270" priority="18" stopIfTrue="1" operator="greaterThan">
      <formula>$D$58*0.1</formula>
    </cfRule>
  </conditionalFormatting>
  <conditionalFormatting sqref="C56">
    <cfRule type="cellIs" dxfId="269" priority="19" stopIfTrue="1" operator="greaterThan">
      <formula>$C$58*0.1</formula>
    </cfRule>
  </conditionalFormatting>
  <conditionalFormatting sqref="E16">
    <cfRule type="cellIs" dxfId="268" priority="20" stopIfTrue="1" operator="greaterThan">
      <formula>$E$18*0.1+E38</formula>
    </cfRule>
  </conditionalFormatting>
  <conditionalFormatting sqref="E56">
    <cfRule type="cellIs" dxfId="267" priority="21" stopIfTrue="1" operator="greaterThan">
      <formula>$E$58*0.1+E78</formula>
    </cfRule>
  </conditionalFormatting>
  <conditionalFormatting sqref="D72 D32">
    <cfRule type="cellIs" dxfId="266" priority="2" stopIfTrue="1" operator="lessThan">
      <formula>0</formula>
    </cfRule>
  </conditionalFormatting>
  <printOptions horizontalCentered="1"/>
  <pageMargins left="0.5" right="0.5" top="0.5" bottom="0.5" header="0.3" footer="0.3"/>
  <pageSetup scale="76" orientation="portrait" blackAndWhite="1" horizontalDpi="120" verticalDpi="144"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topLeftCell="C1" zoomScaleNormal="100" workbookViewId="0">
      <selection activeCell="O11" sqref="O11"/>
    </sheetView>
  </sheetViews>
  <sheetFormatPr defaultRowHeight="15.75"/>
  <cols>
    <col min="1" max="1" width="2.44140625" style="34" customWidth="1"/>
    <col min="2" max="2" width="31.109375" style="34" customWidth="1"/>
    <col min="3" max="4" width="15.77734375" style="34" customWidth="1"/>
    <col min="5" max="5" width="16.3320312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c r="B1" s="188" t="str">
        <f>(inputPrYr!D2)</f>
        <v>City of Osawatomie</v>
      </c>
      <c r="C1" s="36"/>
      <c r="D1" s="36"/>
      <c r="E1" s="238">
        <f>inputPrYr!C5</f>
        <v>2013</v>
      </c>
    </row>
    <row r="2" spans="2:5">
      <c r="B2" s="36"/>
      <c r="C2" s="36"/>
      <c r="D2" s="36"/>
      <c r="E2" s="160"/>
    </row>
    <row r="3" spans="2:5">
      <c r="B3" s="239" t="s">
        <v>145</v>
      </c>
      <c r="C3" s="193"/>
      <c r="D3" s="193"/>
      <c r="E3" s="279"/>
    </row>
    <row r="4" spans="2:5">
      <c r="B4" s="41" t="s">
        <v>78</v>
      </c>
      <c r="C4" s="416" t="s">
        <v>770</v>
      </c>
      <c r="D4" s="415" t="s">
        <v>771</v>
      </c>
      <c r="E4" s="392" t="s">
        <v>772</v>
      </c>
    </row>
    <row r="5" spans="2:5">
      <c r="B5" s="542" t="str">
        <f>inputPrYr!B23</f>
        <v>Public Safety Equipment</v>
      </c>
      <c r="C5" s="417" t="str">
        <f>CONCATENATE("Actual for ",E1-2,"")</f>
        <v>Actual for 2011</v>
      </c>
      <c r="D5" s="417" t="str">
        <f>CONCATENATE("Estimate for ",E1-1,"")</f>
        <v>Estimate for 2012</v>
      </c>
      <c r="E5" s="401" t="str">
        <f>CONCATENATE("Year for ",E1,"")</f>
        <v>Year for 2013</v>
      </c>
    </row>
    <row r="6" spans="2:5">
      <c r="B6" s="244" t="s">
        <v>199</v>
      </c>
      <c r="C6" s="249">
        <v>9520.0499999999993</v>
      </c>
      <c r="D6" s="247">
        <f>C31</f>
        <v>9771.7999999999993</v>
      </c>
      <c r="E6" s="218">
        <f>D31</f>
        <v>4.9999999999272404E-2</v>
      </c>
    </row>
    <row r="7" spans="2:5">
      <c r="B7" s="248" t="s">
        <v>201</v>
      </c>
      <c r="C7" s="247"/>
      <c r="D7" s="247"/>
      <c r="E7" s="218"/>
    </row>
    <row r="8" spans="2:5">
      <c r="B8" s="141" t="s">
        <v>79</v>
      </c>
      <c r="C8" s="249">
        <v>5.6000000000000005</v>
      </c>
      <c r="D8" s="247">
        <f>IF(inputPrYr!H16&gt;0,inputPrYr!G23,inputPrYr!E23)</f>
        <v>0</v>
      </c>
      <c r="E8" s="277" t="s">
        <v>67</v>
      </c>
    </row>
    <row r="9" spans="2:5">
      <c r="B9" s="141" t="s">
        <v>80</v>
      </c>
      <c r="C9" s="249">
        <v>86.37</v>
      </c>
      <c r="D9" s="249"/>
      <c r="E9" s="56"/>
    </row>
    <row r="10" spans="2:5">
      <c r="B10" s="141" t="s">
        <v>81</v>
      </c>
      <c r="C10" s="249">
        <v>158.62</v>
      </c>
      <c r="D10" s="249"/>
      <c r="E10" s="218" t="str">
        <f>mvalloc!D12</f>
        <v xml:space="preserve">  </v>
      </c>
    </row>
    <row r="11" spans="2:5">
      <c r="B11" s="141" t="s">
        <v>82</v>
      </c>
      <c r="C11" s="249">
        <v>1.1599999999999997</v>
      </c>
      <c r="D11" s="249"/>
      <c r="E11" s="218" t="str">
        <f>mvalloc!E12</f>
        <v xml:space="preserve"> </v>
      </c>
    </row>
    <row r="12" spans="2:5" hidden="1">
      <c r="B12" s="150" t="s">
        <v>177</v>
      </c>
      <c r="C12" s="249"/>
      <c r="D12" s="249"/>
      <c r="E12" s="218" t="str">
        <f>mvalloc!F12</f>
        <v xml:space="preserve"> </v>
      </c>
    </row>
    <row r="13" spans="2:5" hidden="1">
      <c r="B13" s="265"/>
      <c r="C13" s="249"/>
      <c r="D13" s="249"/>
      <c r="E13" s="56"/>
    </row>
    <row r="14" spans="2:5" hidden="1">
      <c r="B14" s="253" t="s">
        <v>86</v>
      </c>
      <c r="C14" s="249"/>
      <c r="D14" s="249"/>
      <c r="E14" s="56"/>
    </row>
    <row r="15" spans="2:5" hidden="1">
      <c r="B15" s="150" t="s">
        <v>838</v>
      </c>
      <c r="C15" s="249"/>
      <c r="D15" s="249"/>
      <c r="E15" s="56"/>
    </row>
    <row r="16" spans="2:5" hidden="1">
      <c r="B16" s="244" t="s">
        <v>746</v>
      </c>
      <c r="C16" s="254" t="str">
        <f>IF(C17*0.1&lt;C15,"Exceed 10% Rule","")</f>
        <v/>
      </c>
      <c r="D16" s="254" t="str">
        <f>IF(D17*0.1&lt;D15,"Exceed 10% Rule","")</f>
        <v/>
      </c>
      <c r="E16" s="291" t="str">
        <f>IF(E17*0.1+E37&lt;E15,"Exceed 10% Rule","")</f>
        <v/>
      </c>
    </row>
    <row r="17" spans="2:11">
      <c r="B17" s="256" t="s">
        <v>87</v>
      </c>
      <c r="C17" s="258">
        <f>SUM(C8:C15)</f>
        <v>251.75</v>
      </c>
      <c r="D17" s="258">
        <f>SUM(D8:D15)</f>
        <v>0</v>
      </c>
      <c r="E17" s="259">
        <f>SUM(E8:E15)</f>
        <v>0</v>
      </c>
    </row>
    <row r="18" spans="2:11">
      <c r="B18" s="256" t="s">
        <v>88</v>
      </c>
      <c r="C18" s="258">
        <f>C6+C17</f>
        <v>9771.7999999999993</v>
      </c>
      <c r="D18" s="258">
        <f>D6+D17</f>
        <v>9771.7999999999993</v>
      </c>
      <c r="E18" s="259">
        <f>E6+E17</f>
        <v>4.9999999999272404E-2</v>
      </c>
    </row>
    <row r="19" spans="2:11">
      <c r="B19" s="141" t="s">
        <v>90</v>
      </c>
      <c r="C19" s="266"/>
      <c r="D19" s="266"/>
      <c r="E19" s="54"/>
      <c r="F19" s="282"/>
    </row>
    <row r="20" spans="2:11">
      <c r="B20" s="265" t="s">
        <v>1054</v>
      </c>
      <c r="C20" s="249"/>
      <c r="D20" s="249">
        <v>9771.75</v>
      </c>
      <c r="E20" s="92"/>
    </row>
    <row r="21" spans="2:11" hidden="1">
      <c r="B21" s="283"/>
      <c r="C21" s="249"/>
      <c r="D21" s="249"/>
      <c r="E21" s="92"/>
      <c r="G21" s="983" t="str">
        <f>CONCATENATE("Desired Carryover Into ",E1+1,"")</f>
        <v>Desired Carryover Into 2014</v>
      </c>
      <c r="H21" s="960"/>
      <c r="I21" s="960"/>
      <c r="J21" s="961"/>
    </row>
    <row r="22" spans="2:11" hidden="1">
      <c r="B22" s="283"/>
      <c r="C22" s="249"/>
      <c r="D22" s="249"/>
      <c r="E22" s="92"/>
      <c r="G22" s="800"/>
      <c r="H22" s="65"/>
      <c r="I22" s="801"/>
      <c r="J22" s="802"/>
    </row>
    <row r="23" spans="2:11" hidden="1">
      <c r="B23" s="265"/>
      <c r="C23" s="249"/>
      <c r="D23" s="249"/>
      <c r="E23" s="56"/>
      <c r="G23" s="803" t="s">
        <v>734</v>
      </c>
      <c r="H23" s="801"/>
      <c r="I23" s="801"/>
      <c r="J23" s="804">
        <v>0</v>
      </c>
    </row>
    <row r="24" spans="2:11" hidden="1">
      <c r="B24" s="265"/>
      <c r="C24" s="249"/>
      <c r="D24" s="249"/>
      <c r="E24" s="56"/>
      <c r="G24" s="800" t="s">
        <v>735</v>
      </c>
      <c r="H24" s="65"/>
      <c r="I24" s="65"/>
      <c r="J24" s="805" t="str">
        <f>IF(J23=0,"",ROUND((J23+E37-G36)/inputOth!E9*1000,3)-G41)</f>
        <v/>
      </c>
    </row>
    <row r="25" spans="2:11" hidden="1">
      <c r="B25" s="265"/>
      <c r="C25" s="249"/>
      <c r="D25" s="249"/>
      <c r="E25" s="56"/>
      <c r="G25" s="806" t="str">
        <f>CONCATENATE("",E1," Tot Exp/Non-Appr Must Be:")</f>
        <v>2013 Tot Exp/Non-Appr Must Be:</v>
      </c>
      <c r="H25" s="807"/>
      <c r="I25" s="808"/>
      <c r="J25" s="809">
        <f>IF(J23&gt;0,IF(E34&lt;E18,IF(J23=G36,E34,((J23-G36)*(1-D36))+E18),E34+(J23-G36)),0)</f>
        <v>0</v>
      </c>
    </row>
    <row r="26" spans="2:11" hidden="1">
      <c r="B26" s="265"/>
      <c r="C26" s="249"/>
      <c r="D26" s="249"/>
      <c r="E26" s="56"/>
      <c r="G26" s="810" t="s">
        <v>773</v>
      </c>
      <c r="H26" s="811"/>
      <c r="I26" s="811"/>
      <c r="J26" s="779">
        <f>IF(J23&gt;0,J25-E34,0)</f>
        <v>0</v>
      </c>
    </row>
    <row r="27" spans="2:11" hidden="1">
      <c r="B27" s="266" t="s">
        <v>837</v>
      </c>
      <c r="C27" s="249"/>
      <c r="D27" s="249"/>
      <c r="E27" s="71" t="str">
        <f>nhood!E11</f>
        <v/>
      </c>
      <c r="J27" s="2"/>
    </row>
    <row r="28" spans="2:11" hidden="1">
      <c r="B28" s="266" t="s">
        <v>838</v>
      </c>
      <c r="C28" s="249"/>
      <c r="D28" s="249"/>
      <c r="E28" s="56"/>
      <c r="G28" s="983" t="str">
        <f>CONCATENATE("Projected Carryover Into ",E1+1,"")</f>
        <v>Projected Carryover Into 2014</v>
      </c>
      <c r="H28" s="988"/>
      <c r="I28" s="988"/>
      <c r="J28" s="986"/>
    </row>
    <row r="29" spans="2:11" hidden="1">
      <c r="B29" s="266" t="s">
        <v>747</v>
      </c>
      <c r="C29" s="254" t="str">
        <f>IF(C30*0.1&lt;C28,"Exceed 10% Rule","")</f>
        <v/>
      </c>
      <c r="D29" s="254" t="str">
        <f>IF(D30*0.1&lt;D28,"Exceed 10% Rule","")</f>
        <v/>
      </c>
      <c r="E29" s="291" t="str">
        <f>IF(E30*0.1&lt;E28,"Exceed 10% Rule","")</f>
        <v/>
      </c>
      <c r="G29" s="800"/>
      <c r="H29" s="801"/>
      <c r="I29" s="801"/>
      <c r="J29" s="825"/>
    </row>
    <row r="30" spans="2:11">
      <c r="B30" s="256" t="s">
        <v>94</v>
      </c>
      <c r="C30" s="258">
        <f>SUM(C20:C28)</f>
        <v>0</v>
      </c>
      <c r="D30" s="258">
        <f>SUM(D20:D28)</f>
        <v>9771.75</v>
      </c>
      <c r="E30" s="259">
        <f>SUM(E20:E28)</f>
        <v>0</v>
      </c>
      <c r="G30" s="826">
        <f>D31</f>
        <v>4.9999999999272404E-2</v>
      </c>
      <c r="H30" s="791" t="str">
        <f>CONCATENATE("",E1-1," Ending Cash Balance (est.)")</f>
        <v>2012 Ending Cash Balance (est.)</v>
      </c>
      <c r="I30" s="827"/>
      <c r="J30" s="825"/>
    </row>
    <row r="31" spans="2:11">
      <c r="B31" s="141" t="s">
        <v>200</v>
      </c>
      <c r="C31" s="262">
        <f>C18-C30</f>
        <v>9771.7999999999993</v>
      </c>
      <c r="D31" s="262">
        <f>D18-D30</f>
        <v>4.9999999999272404E-2</v>
      </c>
      <c r="E31" s="277" t="s">
        <v>67</v>
      </c>
      <c r="G31" s="826">
        <f>E17</f>
        <v>0</v>
      </c>
      <c r="H31" s="801" t="str">
        <f>CONCATENATE("",E1," Non-AV Receipts (est.)")</f>
        <v>2013 Non-AV Receipts (est.)</v>
      </c>
      <c r="I31" s="827"/>
      <c r="J31" s="825"/>
    </row>
    <row r="32" spans="2:11">
      <c r="B32" s="127" t="str">
        <f>CONCATENATE("",E1-2,"/",E1-1," Budget Authority Amount:")</f>
        <v>2011/2012 Budget Authority Amount:</v>
      </c>
      <c r="C32" s="231">
        <f>inputOth!B68</f>
        <v>9817</v>
      </c>
      <c r="D32" s="231">
        <f>inputPrYr!D23</f>
        <v>9520</v>
      </c>
      <c r="E32" s="277" t="s">
        <v>67</v>
      </c>
      <c r="F32" s="268"/>
      <c r="G32" s="828">
        <f>IF(E36&gt;0,E35,E37)</f>
        <v>0</v>
      </c>
      <c r="H32" s="801" t="str">
        <f>CONCATENATE("",E1," Ad Valorem Tax (est.)")</f>
        <v>2013 Ad Valorem Tax (est.)</v>
      </c>
      <c r="I32" s="827"/>
      <c r="J32" s="813"/>
      <c r="K32" s="784" t="str">
        <f>IF(G32=E37,"","Note: Does not include Delinquent Taxes")</f>
        <v/>
      </c>
    </row>
    <row r="33" spans="2:10">
      <c r="B33" s="127"/>
      <c r="C33" s="965" t="s">
        <v>591</v>
      </c>
      <c r="D33" s="966"/>
      <c r="E33" s="56"/>
      <c r="F33" s="885" t="str">
        <f>IF(E30/0.95-E30&lt;E33,"Exceeds 5%","")</f>
        <v/>
      </c>
      <c r="G33" s="826">
        <f>SUM(G30:G32)</f>
        <v>4.9999999999272404E-2</v>
      </c>
      <c r="H33" s="801" t="str">
        <f>CONCATENATE("Total ",E1," Resources Available")</f>
        <v>Total 2013 Resources Available</v>
      </c>
      <c r="I33" s="827"/>
      <c r="J33" s="825"/>
    </row>
    <row r="34" spans="2:10">
      <c r="B34" s="538" t="str">
        <f>CONCATENATE(C87,"     ",D87)</f>
        <v xml:space="preserve">     </v>
      </c>
      <c r="C34" s="967" t="s">
        <v>592</v>
      </c>
      <c r="D34" s="968"/>
      <c r="E34" s="218">
        <f>E30+E33</f>
        <v>0</v>
      </c>
      <c r="G34" s="845"/>
      <c r="H34" s="801"/>
      <c r="I34" s="801"/>
      <c r="J34" s="825"/>
    </row>
    <row r="35" spans="2:10">
      <c r="B35" s="538" t="str">
        <f>CONCATENATE(C88,"     ",D88)</f>
        <v xml:space="preserve">     </v>
      </c>
      <c r="C35" s="269"/>
      <c r="D35" s="160" t="s">
        <v>95</v>
      </c>
      <c r="E35" s="71">
        <f>IF(E34-E18&gt;0,E34-E18,0)</f>
        <v>0</v>
      </c>
      <c r="G35" s="828">
        <f>ROUND(C30*0.05+C30,0)</f>
        <v>0</v>
      </c>
      <c r="H35" s="801" t="str">
        <f>CONCATENATE("Less ",E1-2," Expenditures + 5%")</f>
        <v>Less 2011 Expenditures + 5%</v>
      </c>
      <c r="I35" s="827"/>
      <c r="J35" s="825"/>
    </row>
    <row r="36" spans="2:10">
      <c r="B36" s="160"/>
      <c r="C36" s="379" t="s">
        <v>590</v>
      </c>
      <c r="D36" s="747">
        <f>inputOth!$E$50</f>
        <v>0.06</v>
      </c>
      <c r="E36" s="218">
        <f>ROUND(IF(D36&gt;0,(E35*D36),0),0)</f>
        <v>0</v>
      </c>
      <c r="G36" s="846">
        <f>G33-G35</f>
        <v>4.9999999999272404E-2</v>
      </c>
      <c r="H36" s="847" t="str">
        <f>CONCATENATE("Projected ",E1+1," carryover (est.)")</f>
        <v>Projected 2014 carryover (est.)</v>
      </c>
      <c r="I36" s="848"/>
      <c r="J36" s="838"/>
    </row>
    <row r="37" spans="2:10" ht="16.5" thickBot="1">
      <c r="B37" s="160"/>
      <c r="C37" s="969" t="str">
        <f>CONCATENATE("Amount of  ",$E$1-1," Ad Valorem Tax")</f>
        <v>Amount of  2012 Ad Valorem Tax</v>
      </c>
      <c r="D37" s="970"/>
      <c r="E37" s="750">
        <f>E35+E36</f>
        <v>0</v>
      </c>
      <c r="G37" s="2"/>
      <c r="H37" s="2"/>
      <c r="I37" s="2"/>
      <c r="J37" s="2"/>
    </row>
    <row r="38" spans="2:10" ht="16.5" thickTop="1">
      <c r="B38" s="36"/>
      <c r="C38" s="969"/>
      <c r="D38" s="987"/>
      <c r="E38" s="65"/>
      <c r="G38" s="962" t="s">
        <v>774</v>
      </c>
      <c r="H38" s="963"/>
      <c r="I38" s="963"/>
      <c r="J38" s="964"/>
    </row>
    <row r="39" spans="2:10">
      <c r="B39" s="41"/>
      <c r="C39" s="280"/>
      <c r="D39" s="280"/>
      <c r="E39" s="280"/>
      <c r="G39" s="790"/>
      <c r="H39" s="791"/>
      <c r="I39" s="792"/>
      <c r="J39" s="793"/>
    </row>
    <row r="40" spans="2:10">
      <c r="B40" s="41" t="s">
        <v>78</v>
      </c>
      <c r="C40" s="416" t="s">
        <v>770</v>
      </c>
      <c r="D40" s="415" t="s">
        <v>771</v>
      </c>
      <c r="E40" s="392" t="s">
        <v>772</v>
      </c>
      <c r="G40" s="794" t="str">
        <f>summ!H20</f>
        <v xml:space="preserve">  </v>
      </c>
      <c r="H40" s="791" t="str">
        <f>CONCATENATE("",E1," Fund Mill Rate")</f>
        <v>2013 Fund Mill Rate</v>
      </c>
      <c r="I40" s="792"/>
      <c r="J40" s="793"/>
    </row>
    <row r="41" spans="2:10">
      <c r="B41" s="542" t="str">
        <f>inputPrYr!B24</f>
        <v>Recreation Employee Benefits</v>
      </c>
      <c r="C41" s="417" t="str">
        <f>CONCATENATE("Actual for ",E1-2,"")</f>
        <v>Actual for 2011</v>
      </c>
      <c r="D41" s="417" t="str">
        <f>CONCATENATE("Estimate for ",E1-1,"")</f>
        <v>Estimate for 2012</v>
      </c>
      <c r="E41" s="401" t="str">
        <f>CONCATENATE("Year for ",E1,"")</f>
        <v>Year for 2013</v>
      </c>
      <c r="G41" s="795" t="str">
        <f>summ!E20</f>
        <v xml:space="preserve">  </v>
      </c>
      <c r="H41" s="791" t="str">
        <f>CONCATENATE("",E1-1," Fund Mill Rate")</f>
        <v>2012 Fund Mill Rate</v>
      </c>
      <c r="I41" s="792"/>
      <c r="J41" s="793"/>
    </row>
    <row r="42" spans="2:10">
      <c r="B42" s="244" t="s">
        <v>199</v>
      </c>
      <c r="C42" s="249">
        <v>0</v>
      </c>
      <c r="D42" s="247">
        <f>C67</f>
        <v>0</v>
      </c>
      <c r="E42" s="218">
        <f>D67</f>
        <v>0</v>
      </c>
      <c r="G42" s="796">
        <f>summ!H52</f>
        <v>58.234000000000002</v>
      </c>
      <c r="H42" s="791" t="str">
        <f>CONCATENATE("Total ",E1," Mill Rate")</f>
        <v>Total 2013 Mill Rate</v>
      </c>
      <c r="I42" s="792"/>
      <c r="J42" s="793"/>
    </row>
    <row r="43" spans="2:10">
      <c r="B43" s="248" t="s">
        <v>201</v>
      </c>
      <c r="C43" s="150"/>
      <c r="D43" s="150"/>
      <c r="E43" s="76"/>
      <c r="G43" s="795">
        <f>summ!E52</f>
        <v>53.734000000000002</v>
      </c>
      <c r="H43" s="797" t="str">
        <f>CONCATENATE("Total ",E1-1," Mill Rate")</f>
        <v>Total 2012 Mill Rate</v>
      </c>
      <c r="I43" s="798"/>
      <c r="J43" s="799"/>
    </row>
    <row r="44" spans="2:10">
      <c r="B44" s="141" t="s">
        <v>79</v>
      </c>
      <c r="C44" s="249">
        <v>11181</v>
      </c>
      <c r="D44" s="247">
        <f>IF(inputPrYr!H16&gt;0,inputPrYr!G24,inputPrYr!E24)</f>
        <v>10824</v>
      </c>
      <c r="E44" s="277" t="s">
        <v>67</v>
      </c>
    </row>
    <row r="45" spans="2:10">
      <c r="B45" s="141" t="s">
        <v>80</v>
      </c>
      <c r="C45" s="249">
        <v>424</v>
      </c>
      <c r="D45" s="249">
        <v>300</v>
      </c>
      <c r="E45" s="56">
        <v>1300</v>
      </c>
    </row>
    <row r="46" spans="2:10">
      <c r="B46" s="141" t="s">
        <v>81</v>
      </c>
      <c r="C46" s="249">
        <v>1144</v>
      </c>
      <c r="D46" s="249">
        <v>1088</v>
      </c>
      <c r="E46" s="218">
        <f>mvalloc!D13</f>
        <v>1098</v>
      </c>
    </row>
    <row r="47" spans="2:10">
      <c r="B47" s="141" t="s">
        <v>82</v>
      </c>
      <c r="C47" s="249">
        <v>16</v>
      </c>
      <c r="D47" s="249">
        <v>18</v>
      </c>
      <c r="E47" s="218">
        <f>mvalloc!E13</f>
        <v>15</v>
      </c>
    </row>
    <row r="48" spans="2:10">
      <c r="B48" s="150" t="s">
        <v>177</v>
      </c>
      <c r="C48" s="249"/>
      <c r="D48" s="249">
        <v>8</v>
      </c>
      <c r="E48" s="218">
        <f>mvalloc!F13</f>
        <v>6</v>
      </c>
    </row>
    <row r="49" spans="2:10" hidden="1">
      <c r="B49" s="265"/>
      <c r="C49" s="249"/>
      <c r="D49" s="249"/>
      <c r="E49" s="56"/>
    </row>
    <row r="50" spans="2:10" hidden="1">
      <c r="B50" s="253" t="s">
        <v>86</v>
      </c>
      <c r="C50" s="249"/>
      <c r="D50" s="249"/>
      <c r="E50" s="56"/>
    </row>
    <row r="51" spans="2:10" hidden="1">
      <c r="B51" s="150" t="s">
        <v>838</v>
      </c>
      <c r="C51" s="249"/>
      <c r="D51" s="249"/>
      <c r="E51" s="56"/>
    </row>
    <row r="52" spans="2:10" hidden="1">
      <c r="B52" s="244" t="s">
        <v>746</v>
      </c>
      <c r="C52" s="254" t="str">
        <f>IF(C53*0.1&lt;C51,"Exceed 10% Rule","")</f>
        <v/>
      </c>
      <c r="D52" s="254" t="str">
        <f>IF(D53*0.1&lt;D51,"Exceed 10% Rule","")</f>
        <v/>
      </c>
      <c r="E52" s="291" t="str">
        <f>IF(E53*0.1+E73&lt;E51,"Exceed 10% Rule","")</f>
        <v/>
      </c>
    </row>
    <row r="53" spans="2:10">
      <c r="B53" s="256" t="s">
        <v>87</v>
      </c>
      <c r="C53" s="258">
        <f>SUM(C44:C51)</f>
        <v>12765</v>
      </c>
      <c r="D53" s="258">
        <f>SUM(D44:D51)</f>
        <v>12238</v>
      </c>
      <c r="E53" s="259">
        <f>SUM(E45:E51)</f>
        <v>2419</v>
      </c>
    </row>
    <row r="54" spans="2:10">
      <c r="B54" s="256" t="s">
        <v>88</v>
      </c>
      <c r="C54" s="258">
        <f>C42+C53</f>
        <v>12765</v>
      </c>
      <c r="D54" s="258">
        <f>D42+D53</f>
        <v>12238</v>
      </c>
      <c r="E54" s="259">
        <f>E42+E53</f>
        <v>2419</v>
      </c>
    </row>
    <row r="55" spans="2:10">
      <c r="B55" s="141" t="s">
        <v>90</v>
      </c>
      <c r="C55" s="266"/>
      <c r="D55" s="266"/>
      <c r="E55" s="54"/>
    </row>
    <row r="56" spans="2:10">
      <c r="B56" s="265" t="s">
        <v>1048</v>
      </c>
      <c r="C56" s="249">
        <v>12765</v>
      </c>
      <c r="D56" s="249">
        <v>0</v>
      </c>
      <c r="E56" s="56">
        <v>0</v>
      </c>
    </row>
    <row r="57" spans="2:10">
      <c r="B57" s="265" t="s">
        <v>1055</v>
      </c>
      <c r="C57" s="249"/>
      <c r="D57" s="249">
        <v>12238</v>
      </c>
      <c r="E57" s="56">
        <v>2419</v>
      </c>
      <c r="G57" s="983" t="str">
        <f>CONCATENATE("Desired Carryover Into ",E1+1,"")</f>
        <v>Desired Carryover Into 2014</v>
      </c>
      <c r="H57" s="960"/>
      <c r="I57" s="960"/>
      <c r="J57" s="961"/>
    </row>
    <row r="58" spans="2:10" hidden="1">
      <c r="B58" s="265"/>
      <c r="C58" s="249"/>
      <c r="D58" s="249"/>
      <c r="E58" s="56"/>
      <c r="G58" s="800"/>
      <c r="H58" s="65"/>
      <c r="I58" s="801"/>
      <c r="J58" s="802"/>
    </row>
    <row r="59" spans="2:10" hidden="1">
      <c r="B59" s="265"/>
      <c r="C59" s="249"/>
      <c r="D59" s="249"/>
      <c r="E59" s="56"/>
      <c r="G59" s="803" t="s">
        <v>734</v>
      </c>
      <c r="H59" s="801"/>
      <c r="I59" s="801"/>
      <c r="J59" s="804">
        <v>0</v>
      </c>
    </row>
    <row r="60" spans="2:10" hidden="1">
      <c r="B60" s="265"/>
      <c r="C60" s="249"/>
      <c r="D60" s="249"/>
      <c r="E60" s="56"/>
      <c r="G60" s="800" t="s">
        <v>735</v>
      </c>
      <c r="H60" s="65"/>
      <c r="I60" s="65"/>
      <c r="J60" s="805" t="str">
        <f>IF(J59=0,"",ROUND((J59+E73-G72)/inputOth!E9*1000,3)-G77)</f>
        <v/>
      </c>
    </row>
    <row r="61" spans="2:10" hidden="1">
      <c r="B61" s="265"/>
      <c r="C61" s="249"/>
      <c r="D61" s="249"/>
      <c r="E61" s="56"/>
      <c r="G61" s="806" t="str">
        <f>CONCATENATE("",E1," Tot Exp/Non-Appr Must Be:")</f>
        <v>2013 Tot Exp/Non-Appr Must Be:</v>
      </c>
      <c r="H61" s="807"/>
      <c r="I61" s="808"/>
      <c r="J61" s="809">
        <f>IF(J59&gt;0,IF(E70&lt;E54,IF(J59=G72,E70,((J59-G72)*(1-D72))+E54),E70+(J59-G72)),0)</f>
        <v>0</v>
      </c>
    </row>
    <row r="62" spans="2:10" hidden="1">
      <c r="B62" s="265"/>
      <c r="C62" s="249"/>
      <c r="D62" s="249"/>
      <c r="E62" s="56"/>
      <c r="G62" s="810" t="s">
        <v>773</v>
      </c>
      <c r="H62" s="811"/>
      <c r="I62" s="811"/>
      <c r="J62" s="779">
        <f>IF(J59&gt;0,J61-E70,0)</f>
        <v>0</v>
      </c>
    </row>
    <row r="63" spans="2:10" hidden="1">
      <c r="B63" s="266" t="s">
        <v>837</v>
      </c>
      <c r="C63" s="249"/>
      <c r="D63" s="249"/>
      <c r="E63" s="71" t="str">
        <f>nhood!E12</f>
        <v/>
      </c>
      <c r="J63" s="2"/>
    </row>
    <row r="64" spans="2:10" hidden="1">
      <c r="B64" s="266" t="s">
        <v>838</v>
      </c>
      <c r="C64" s="249"/>
      <c r="D64" s="249"/>
      <c r="E64" s="56"/>
      <c r="G64" s="983" t="str">
        <f>CONCATENATE("Projected Carryover Into ",E1+1,"")</f>
        <v>Projected Carryover Into 2014</v>
      </c>
      <c r="H64" s="985"/>
      <c r="I64" s="985"/>
      <c r="J64" s="986"/>
    </row>
    <row r="65" spans="2:11" hidden="1">
      <c r="B65" s="266" t="s">
        <v>747</v>
      </c>
      <c r="C65" s="254" t="str">
        <f>IF(C66*0.1&lt;C64,"Exceed 10% Rule","")</f>
        <v/>
      </c>
      <c r="D65" s="254" t="str">
        <f>IF(D66*0.1&lt;D64,"Exceed 10% Rule","")</f>
        <v/>
      </c>
      <c r="E65" s="291" t="str">
        <f>IF(E66*0.1&lt;E64,"Exceed 10% Rule","")</f>
        <v/>
      </c>
      <c r="G65" s="824"/>
      <c r="H65" s="65"/>
      <c r="I65" s="65"/>
      <c r="J65" s="831"/>
    </row>
    <row r="66" spans="2:11">
      <c r="B66" s="256" t="s">
        <v>94</v>
      </c>
      <c r="C66" s="258">
        <f>SUM(C56:C64)</f>
        <v>12765</v>
      </c>
      <c r="D66" s="258">
        <f>SUM(D56:D64)</f>
        <v>12238</v>
      </c>
      <c r="E66" s="259">
        <f>SUM(E56:E64)</f>
        <v>2419</v>
      </c>
      <c r="G66" s="826">
        <f>D67</f>
        <v>0</v>
      </c>
      <c r="H66" s="791" t="str">
        <f>CONCATENATE("",E1-1," Ending Cash Balance (est.)")</f>
        <v>2012 Ending Cash Balance (est.)</v>
      </c>
      <c r="I66" s="827"/>
      <c r="J66" s="831"/>
    </row>
    <row r="67" spans="2:11">
      <c r="B67" s="141" t="s">
        <v>200</v>
      </c>
      <c r="C67" s="262">
        <f>C54-C66</f>
        <v>0</v>
      </c>
      <c r="D67" s="262">
        <f>D54-D66</f>
        <v>0</v>
      </c>
      <c r="E67" s="277" t="s">
        <v>67</v>
      </c>
      <c r="G67" s="826">
        <f>E53</f>
        <v>2419</v>
      </c>
      <c r="H67" s="801" t="str">
        <f>CONCATENATE("",E1," Non-AV Receipts (est.)")</f>
        <v>2013 Non-AV Receipts (est.)</v>
      </c>
      <c r="I67" s="827"/>
      <c r="J67" s="831"/>
    </row>
    <row r="68" spans="2:11">
      <c r="B68" s="127" t="str">
        <f>CONCATENATE("",E1-2,"/",E1-1," Budget Authority Amount:")</f>
        <v>2011/2012 Budget Authority Amount:</v>
      </c>
      <c r="C68" s="231">
        <f>inputOth!B69</f>
        <v>13096</v>
      </c>
      <c r="D68" s="231">
        <f>inputPrYr!D24</f>
        <v>12629</v>
      </c>
      <c r="E68" s="277" t="s">
        <v>67</v>
      </c>
      <c r="F68" s="268"/>
      <c r="G68" s="828">
        <f>IF(D72&gt;0,E71,E73)</f>
        <v>0</v>
      </c>
      <c r="H68" s="801" t="str">
        <f>CONCATENATE("",E1," Ad Valorem Tax (est.)")</f>
        <v>2013 Ad Valorem Tax (est.)</v>
      </c>
      <c r="I68" s="827"/>
      <c r="J68" s="831"/>
      <c r="K68" s="784" t="str">
        <f>IF(G68=E73,"","Note: Does not include Delinquent Taxes")</f>
        <v/>
      </c>
    </row>
    <row r="69" spans="2:11">
      <c r="B69" s="127"/>
      <c r="C69" s="965" t="s">
        <v>591</v>
      </c>
      <c r="D69" s="966"/>
      <c r="E69" s="56"/>
      <c r="F69" s="885" t="str">
        <f>IF(E66/0.95-E66&lt;E69,"Exceeds 5%","")</f>
        <v/>
      </c>
      <c r="G69" s="830">
        <f>SUM(G66:G68)</f>
        <v>2419</v>
      </c>
      <c r="H69" s="801" t="str">
        <f>CONCATENATE("Total ",E1," Resources Available")</f>
        <v>Total 2013 Resources Available</v>
      </c>
      <c r="I69" s="831"/>
      <c r="J69" s="831"/>
    </row>
    <row r="70" spans="2:11">
      <c r="B70" s="538" t="str">
        <f>CONCATENATE(C89,"     ",D89)</f>
        <v xml:space="preserve">     </v>
      </c>
      <c r="C70" s="967" t="s">
        <v>592</v>
      </c>
      <c r="D70" s="968"/>
      <c r="E70" s="218">
        <f>E66+E69</f>
        <v>2419</v>
      </c>
      <c r="G70" s="832"/>
      <c r="H70" s="833"/>
      <c r="I70" s="65"/>
      <c r="J70" s="831"/>
    </row>
    <row r="71" spans="2:11">
      <c r="B71" s="538" t="str">
        <f>CONCATENATE(C90,"     ",D90)</f>
        <v xml:space="preserve">     </v>
      </c>
      <c r="C71" s="269"/>
      <c r="D71" s="160" t="s">
        <v>95</v>
      </c>
      <c r="E71" s="71">
        <f>IF(E70-E54&gt;0,E70-E54,0)</f>
        <v>0</v>
      </c>
      <c r="G71" s="834">
        <f>ROUND(C66*0.05+C66,0)</f>
        <v>13403</v>
      </c>
      <c r="H71" s="833" t="str">
        <f>CONCATENATE("Less ",E1-2," Expenditures + 5%")</f>
        <v>Less 2011 Expenditures + 5%</v>
      </c>
      <c r="I71" s="831"/>
      <c r="J71" s="831"/>
    </row>
    <row r="72" spans="2:11">
      <c r="B72" s="160"/>
      <c r="C72" s="379" t="s">
        <v>590</v>
      </c>
      <c r="D72" s="747">
        <f>inputOth!$E$50</f>
        <v>0.06</v>
      </c>
      <c r="E72" s="218">
        <f>ROUND(IF(D72&gt;0,(E71*D72),0),0)</f>
        <v>0</v>
      </c>
      <c r="G72" s="835">
        <f>G69-G71</f>
        <v>-10984</v>
      </c>
      <c r="H72" s="836" t="str">
        <f>CONCATENATE("Projected ",E1+1," carryover (est.)")</f>
        <v>Projected 2014 carryover (est.)</v>
      </c>
      <c r="I72" s="837"/>
      <c r="J72" s="838"/>
    </row>
    <row r="73" spans="2:11" ht="16.5" thickBot="1">
      <c r="B73" s="36"/>
      <c r="C73" s="969" t="str">
        <f>CONCATENATE("Amount of  ",$E$1-1," Ad Valorem Tax")</f>
        <v>Amount of  2012 Ad Valorem Tax</v>
      </c>
      <c r="D73" s="970"/>
      <c r="E73" s="750">
        <f>E71+E72</f>
        <v>0</v>
      </c>
      <c r="G73" s="2"/>
      <c r="H73" s="2"/>
      <c r="I73" s="2"/>
    </row>
    <row r="74" spans="2:11" ht="16.5" thickTop="1">
      <c r="B74" s="36"/>
      <c r="C74" s="36"/>
      <c r="D74" s="36"/>
      <c r="E74" s="36"/>
      <c r="G74" s="962" t="s">
        <v>774</v>
      </c>
      <c r="H74" s="963"/>
      <c r="I74" s="963"/>
      <c r="J74" s="964"/>
    </row>
    <row r="75" spans="2:11">
      <c r="B75" s="160" t="s">
        <v>97</v>
      </c>
      <c r="C75" s="273">
        <v>11</v>
      </c>
      <c r="D75" s="36"/>
      <c r="E75" s="36"/>
      <c r="G75" s="790"/>
      <c r="H75" s="791"/>
      <c r="I75" s="792"/>
      <c r="J75" s="793"/>
    </row>
    <row r="76" spans="2:11">
      <c r="G76" s="794" t="str">
        <f>summ!H21</f>
        <v xml:space="preserve">  </v>
      </c>
      <c r="H76" s="791" t="str">
        <f>CONCATENATE("",E1," Fund Mill Rate")</f>
        <v>2013 Fund Mill Rate</v>
      </c>
      <c r="I76" s="792"/>
      <c r="J76" s="793"/>
    </row>
    <row r="77" spans="2:11">
      <c r="G77" s="795">
        <f>summ!E21</f>
        <v>0.501</v>
      </c>
      <c r="H77" s="791" t="str">
        <f>CONCATENATE("",E1-1," Fund Mill Rate")</f>
        <v>2012 Fund Mill Rate</v>
      </c>
      <c r="I77" s="792"/>
      <c r="J77" s="793"/>
    </row>
    <row r="78" spans="2:11">
      <c r="G78" s="796">
        <f>summ!H52</f>
        <v>58.234000000000002</v>
      </c>
      <c r="H78" s="791" t="str">
        <f>CONCATENATE("Total ",E1," Mill Rate")</f>
        <v>Total 2013 Mill Rate</v>
      </c>
      <c r="I78" s="792"/>
      <c r="J78" s="793"/>
    </row>
    <row r="79" spans="2:11">
      <c r="G79" s="795">
        <f>summ!E52</f>
        <v>53.734000000000002</v>
      </c>
      <c r="H79" s="797" t="str">
        <f>CONCATENATE("Total ",E1-1," Mill Rate")</f>
        <v>Total 2012 Mill Rate</v>
      </c>
      <c r="I79" s="798"/>
      <c r="J79" s="799"/>
    </row>
    <row r="87" spans="3:4" hidden="1">
      <c r="C87" s="537" t="str">
        <f>IF(C30&gt;C32,"See Tab A","")</f>
        <v/>
      </c>
      <c r="D87" s="537" t="str">
        <f>IF(D28&gt;D32,"See Tab C","")</f>
        <v/>
      </c>
    </row>
    <row r="88" spans="3:4" hidden="1">
      <c r="C88" s="537" t="str">
        <f>IF(C31&lt;0,"See Tab B","")</f>
        <v/>
      </c>
      <c r="D88" s="537" t="str">
        <f>IF(D31&lt;0,"See Tab D","")</f>
        <v/>
      </c>
    </row>
    <row r="89" spans="3:4" hidden="1">
      <c r="C89" s="537" t="str">
        <f>IF(C64&gt;C68,"See Tab A","")</f>
        <v/>
      </c>
      <c r="D89" s="537" t="str">
        <f>IF(D64&gt;D68,"See Tab C","")</f>
        <v/>
      </c>
    </row>
    <row r="90" spans="3:4" hidden="1">
      <c r="C90" s="537" t="str">
        <f>IF(C67&lt;0,"See Tab B","")</f>
        <v/>
      </c>
      <c r="D90" s="537" t="str">
        <f>IF(D67&lt;0,"See Tab D","")</f>
        <v/>
      </c>
    </row>
  </sheetData>
  <mergeCells count="13">
    <mergeCell ref="C73:D73"/>
    <mergeCell ref="C69:D69"/>
    <mergeCell ref="C70:D70"/>
    <mergeCell ref="C33:D33"/>
    <mergeCell ref="C34:D34"/>
    <mergeCell ref="C38:D38"/>
    <mergeCell ref="C37:D37"/>
    <mergeCell ref="G74:J74"/>
    <mergeCell ref="G21:J21"/>
    <mergeCell ref="G28:J28"/>
    <mergeCell ref="G38:J38"/>
    <mergeCell ref="G57:J57"/>
    <mergeCell ref="G64:J64"/>
  </mergeCells>
  <phoneticPr fontId="0" type="noConversion"/>
  <conditionalFormatting sqref="E64">
    <cfRule type="cellIs" dxfId="265" priority="3" stopIfTrue="1" operator="greaterThan">
      <formula>$E$66*0.1</formula>
    </cfRule>
  </conditionalFormatting>
  <conditionalFormatting sqref="E69">
    <cfRule type="cellIs" dxfId="264" priority="4" stopIfTrue="1" operator="greaterThan">
      <formula>$E$66/0.95-$E$66</formula>
    </cfRule>
  </conditionalFormatting>
  <conditionalFormatting sqref="E28">
    <cfRule type="cellIs" dxfId="263" priority="5" stopIfTrue="1" operator="greaterThan">
      <formula>$E$30*0.1</formula>
    </cfRule>
  </conditionalFormatting>
  <conditionalFormatting sqref="E33">
    <cfRule type="cellIs" dxfId="262" priority="6" stopIfTrue="1" operator="greaterThan">
      <formula>$E$30/0.95-$E$30</formula>
    </cfRule>
  </conditionalFormatting>
  <conditionalFormatting sqref="C28">
    <cfRule type="cellIs" dxfId="261" priority="7" stopIfTrue="1" operator="greaterThan">
      <formula>$C$30*0.1</formula>
    </cfRule>
  </conditionalFormatting>
  <conditionalFormatting sqref="D28">
    <cfRule type="cellIs" dxfId="260" priority="8" stopIfTrue="1" operator="greaterThan">
      <formula>$D$30*0.1</formula>
    </cfRule>
  </conditionalFormatting>
  <conditionalFormatting sqref="D30">
    <cfRule type="cellIs" dxfId="259" priority="9" stopIfTrue="1" operator="greaterThan">
      <formula>$C$32</formula>
    </cfRule>
  </conditionalFormatting>
  <conditionalFormatting sqref="C30">
    <cfRule type="cellIs" dxfId="258" priority="10" stopIfTrue="1" operator="greaterThan">
      <formula>$C$32</formula>
    </cfRule>
  </conditionalFormatting>
  <conditionalFormatting sqref="C31 C67">
    <cfRule type="cellIs" dxfId="257" priority="11" stopIfTrue="1" operator="lessThan">
      <formula>0</formula>
    </cfRule>
  </conditionalFormatting>
  <conditionalFormatting sqref="C64">
    <cfRule type="cellIs" dxfId="256" priority="12" stopIfTrue="1" operator="greaterThan">
      <formula>$C$66*0.1</formula>
    </cfRule>
  </conditionalFormatting>
  <conditionalFormatting sqref="D64">
    <cfRule type="cellIs" dxfId="255" priority="13" stopIfTrue="1" operator="greaterThan">
      <formula>$D$66*0.1</formula>
    </cfRule>
  </conditionalFormatting>
  <conditionalFormatting sqref="D66">
    <cfRule type="cellIs" dxfId="254" priority="14" stopIfTrue="1" operator="greaterThan">
      <formula>$C$68</formula>
    </cfRule>
  </conditionalFormatting>
  <conditionalFormatting sqref="C66">
    <cfRule type="cellIs" dxfId="253" priority="15" stopIfTrue="1" operator="greaterThan">
      <formula>$C$68</formula>
    </cfRule>
  </conditionalFormatting>
  <conditionalFormatting sqref="D15">
    <cfRule type="cellIs" dxfId="252" priority="16" stopIfTrue="1" operator="greaterThan">
      <formula>$D$17*0.1</formula>
    </cfRule>
  </conditionalFormatting>
  <conditionalFormatting sqref="C15">
    <cfRule type="cellIs" dxfId="251" priority="17" stopIfTrue="1" operator="greaterThan">
      <formula>$C$17*0.1</formula>
    </cfRule>
  </conditionalFormatting>
  <conditionalFormatting sqref="D51">
    <cfRule type="cellIs" dxfId="250" priority="18" stopIfTrue="1" operator="greaterThan">
      <formula>$D$53*0.1</formula>
    </cfRule>
  </conditionalFormatting>
  <conditionalFormatting sqref="C51">
    <cfRule type="cellIs" dxfId="249" priority="19" stopIfTrue="1" operator="greaterThan">
      <formula>$C$53*0.1</formula>
    </cfRule>
  </conditionalFormatting>
  <conditionalFormatting sqref="E51">
    <cfRule type="cellIs" dxfId="248" priority="20" stopIfTrue="1" operator="greaterThan">
      <formula>$E$53*0.1+E73</formula>
    </cfRule>
  </conditionalFormatting>
  <conditionalFormatting sqref="E15">
    <cfRule type="cellIs" dxfId="247" priority="21" stopIfTrue="1" operator="greaterThan">
      <formula>$E$17*0.1+E37</formula>
    </cfRule>
  </conditionalFormatting>
  <conditionalFormatting sqref="D67 D31">
    <cfRule type="cellIs" dxfId="246" priority="2" stopIfTrue="1" operator="lessThan">
      <formula>0</formula>
    </cfRule>
  </conditionalFormatting>
  <printOptions horizontalCentered="1"/>
  <pageMargins left="0.5" right="0.5" top="0.5" bottom="0.5" header="0.3" footer="0.3"/>
  <pageSetup scale="95" orientation="portrait" blackAndWhite="1" horizontalDpi="120" verticalDpi="144"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B1:E60"/>
  <sheetViews>
    <sheetView topLeftCell="C1" zoomScaleNormal="100" workbookViewId="0">
      <selection activeCell="O11" sqref="O11"/>
    </sheetView>
  </sheetViews>
  <sheetFormatPr defaultRowHeight="15.75"/>
  <cols>
    <col min="1" max="1" width="2.44140625" style="34" customWidth="1"/>
    <col min="2" max="2" width="31.109375" style="34" customWidth="1"/>
    <col min="3" max="4" width="15.77734375" style="34" customWidth="1"/>
    <col min="5" max="5" width="16.21875" style="34" customWidth="1"/>
    <col min="6" max="16384" width="8.88671875" style="34"/>
  </cols>
  <sheetData>
    <row r="1" spans="2:5">
      <c r="B1" s="188" t="str">
        <f>(inputPrYr!D2)</f>
        <v>City of Osawatomie</v>
      </c>
      <c r="C1" s="36"/>
      <c r="D1" s="36"/>
      <c r="E1" s="238">
        <f>inputPrYr!C5</f>
        <v>2013</v>
      </c>
    </row>
    <row r="2" spans="2:5">
      <c r="B2" s="36"/>
      <c r="C2" s="36"/>
      <c r="D2" s="36"/>
      <c r="E2" s="160"/>
    </row>
    <row r="3" spans="2:5">
      <c r="B3" s="239" t="s">
        <v>146</v>
      </c>
      <c r="C3" s="280"/>
      <c r="D3" s="280"/>
      <c r="E3" s="280"/>
    </row>
    <row r="4" spans="2:5">
      <c r="B4" s="41" t="s">
        <v>78</v>
      </c>
      <c r="C4" s="416" t="s">
        <v>770</v>
      </c>
      <c r="D4" s="415" t="s">
        <v>771</v>
      </c>
      <c r="E4" s="392" t="s">
        <v>772</v>
      </c>
    </row>
    <row r="5" spans="2:5">
      <c r="B5" s="542" t="str">
        <f>(inputPrYr!B36)</f>
        <v>Street Improvements</v>
      </c>
      <c r="C5" s="417" t="str">
        <f>CONCATENATE("Actual for ",E1-2,"")</f>
        <v>Actual for 2011</v>
      </c>
      <c r="D5" s="417" t="str">
        <f>CONCATENATE("Estimate for ",E1-1,"")</f>
        <v>Estimate for 2012</v>
      </c>
      <c r="E5" s="401" t="str">
        <f>CONCATENATE("Year for ",E1,"")</f>
        <v>Year for 2013</v>
      </c>
    </row>
    <row r="6" spans="2:5">
      <c r="B6" s="244" t="s">
        <v>199</v>
      </c>
      <c r="C6" s="56">
        <v>1000</v>
      </c>
      <c r="D6" s="218">
        <f>C31</f>
        <v>4662.2599999999802</v>
      </c>
      <c r="E6" s="218">
        <f>D31</f>
        <v>79008.419999999984</v>
      </c>
    </row>
    <row r="7" spans="2:5">
      <c r="B7" s="248" t="s">
        <v>201</v>
      </c>
      <c r="C7" s="76"/>
      <c r="D7" s="76"/>
      <c r="E7" s="76"/>
    </row>
    <row r="8" spans="2:5">
      <c r="B8" s="266" t="s">
        <v>179</v>
      </c>
      <c r="C8" s="56">
        <v>117273.42</v>
      </c>
      <c r="D8" s="284">
        <f>inputOth!E55</f>
        <v>114860</v>
      </c>
      <c r="E8" s="218">
        <f>inputOth!E53</f>
        <v>115740</v>
      </c>
    </row>
    <row r="9" spans="2:5">
      <c r="B9" s="285" t="s">
        <v>249</v>
      </c>
      <c r="C9" s="56"/>
      <c r="D9" s="284">
        <f>inputOth!E56</f>
        <v>0</v>
      </c>
      <c r="E9" s="284">
        <f>inputOth!E54</f>
        <v>0</v>
      </c>
    </row>
    <row r="10" spans="2:5">
      <c r="B10" s="265" t="s">
        <v>1056</v>
      </c>
      <c r="C10" s="56">
        <v>5100</v>
      </c>
      <c r="D10" s="56">
        <v>5100</v>
      </c>
      <c r="E10" s="56">
        <v>5100</v>
      </c>
    </row>
    <row r="11" spans="2:5">
      <c r="B11" s="265" t="s">
        <v>1057</v>
      </c>
      <c r="C11" s="56">
        <v>17000</v>
      </c>
      <c r="D11" s="56"/>
      <c r="E11" s="56"/>
    </row>
    <row r="12" spans="2:5">
      <c r="B12" s="265" t="s">
        <v>1058</v>
      </c>
      <c r="C12" s="56"/>
      <c r="D12" s="56">
        <v>65786.16</v>
      </c>
      <c r="E12" s="56"/>
    </row>
    <row r="13" spans="2:5" hidden="1">
      <c r="B13" s="265"/>
      <c r="C13" s="56"/>
      <c r="D13" s="56"/>
      <c r="E13" s="56"/>
    </row>
    <row r="14" spans="2:5" hidden="1">
      <c r="B14" s="253" t="s">
        <v>86</v>
      </c>
      <c r="C14" s="56"/>
      <c r="D14" s="56"/>
      <c r="E14" s="56"/>
    </row>
    <row r="15" spans="2:5" hidden="1">
      <c r="B15" s="150" t="s">
        <v>838</v>
      </c>
      <c r="C15" s="56"/>
      <c r="D15" s="250"/>
      <c r="E15" s="250"/>
    </row>
    <row r="16" spans="2:5" hidden="1">
      <c r="B16" s="244" t="s">
        <v>746</v>
      </c>
      <c r="C16" s="291" t="str">
        <f>IF(C17*0.1&lt;C15,"Exceed 10% Rule","")</f>
        <v/>
      </c>
      <c r="D16" s="255" t="str">
        <f>IF(D17*0.1&lt;D15,"Exceed 10% Rule","")</f>
        <v/>
      </c>
      <c r="E16" s="255" t="str">
        <f>IF(E17*0.1&lt;E15,"Exceed 10% Rule","")</f>
        <v/>
      </c>
    </row>
    <row r="17" spans="2:5">
      <c r="B17" s="256" t="s">
        <v>87</v>
      </c>
      <c r="C17" s="259">
        <f>SUM(C8:C15)</f>
        <v>139373.41999999998</v>
      </c>
      <c r="D17" s="259">
        <f>SUM(D8:D15)</f>
        <v>185746.16</v>
      </c>
      <c r="E17" s="259">
        <f>SUM(E8:E15)</f>
        <v>120840</v>
      </c>
    </row>
    <row r="18" spans="2:5">
      <c r="B18" s="256" t="s">
        <v>88</v>
      </c>
      <c r="C18" s="259">
        <f>C6+C17</f>
        <v>140373.41999999998</v>
      </c>
      <c r="D18" s="259">
        <f>D6+D17</f>
        <v>190408.41999999998</v>
      </c>
      <c r="E18" s="259">
        <f>E6+E17</f>
        <v>199848.41999999998</v>
      </c>
    </row>
    <row r="19" spans="2:5">
      <c r="B19" s="141" t="s">
        <v>90</v>
      </c>
      <c r="C19" s="218"/>
      <c r="D19" s="218"/>
      <c r="E19" s="218"/>
    </row>
    <row r="20" spans="2:5">
      <c r="B20" s="265" t="s">
        <v>1059</v>
      </c>
      <c r="C20" s="56">
        <v>46017.3</v>
      </c>
      <c r="D20" s="56">
        <v>0</v>
      </c>
      <c r="E20" s="56">
        <v>0</v>
      </c>
    </row>
    <row r="21" spans="2:5">
      <c r="B21" s="265" t="s">
        <v>1060</v>
      </c>
      <c r="C21" s="56">
        <v>10367.16</v>
      </c>
      <c r="D21" s="56">
        <v>15000</v>
      </c>
      <c r="E21" s="56">
        <v>15000</v>
      </c>
    </row>
    <row r="22" spans="2:5">
      <c r="B22" s="265" t="s">
        <v>1061</v>
      </c>
      <c r="C22" s="56">
        <v>50958.23</v>
      </c>
      <c r="D22" s="56">
        <v>55000</v>
      </c>
      <c r="E22" s="56">
        <v>55000</v>
      </c>
    </row>
    <row r="23" spans="2:5">
      <c r="B23" s="265" t="s">
        <v>1062</v>
      </c>
      <c r="C23" s="56">
        <v>10125.26</v>
      </c>
      <c r="D23" s="56">
        <v>17000</v>
      </c>
      <c r="E23" s="56">
        <v>17000</v>
      </c>
    </row>
    <row r="24" spans="2:5">
      <c r="B24" s="265" t="s">
        <v>1053</v>
      </c>
      <c r="C24" s="56">
        <v>737.2100000000064</v>
      </c>
      <c r="D24" s="56">
        <v>2000</v>
      </c>
      <c r="E24" s="56">
        <v>2000</v>
      </c>
    </row>
    <row r="25" spans="2:5">
      <c r="B25" s="265" t="s">
        <v>1063</v>
      </c>
      <c r="C25" s="56">
        <v>0</v>
      </c>
      <c r="D25" s="56">
        <v>2400</v>
      </c>
      <c r="E25" s="56">
        <v>0</v>
      </c>
    </row>
    <row r="26" spans="2:5">
      <c r="B26" s="265" t="s">
        <v>1064</v>
      </c>
      <c r="C26" s="56">
        <v>0</v>
      </c>
      <c r="D26" s="56">
        <v>20000</v>
      </c>
      <c r="E26" s="56">
        <v>40000</v>
      </c>
    </row>
    <row r="27" spans="2:5">
      <c r="B27" s="265" t="s">
        <v>1065</v>
      </c>
      <c r="C27" s="56">
        <v>17506</v>
      </c>
      <c r="D27" s="56">
        <v>0</v>
      </c>
      <c r="E27" s="56">
        <v>0</v>
      </c>
    </row>
    <row r="28" spans="2:5" hidden="1">
      <c r="B28" s="266" t="s">
        <v>838</v>
      </c>
      <c r="C28" s="56"/>
      <c r="D28" s="250"/>
      <c r="E28" s="250"/>
    </row>
    <row r="29" spans="2:5" hidden="1">
      <c r="B29" s="266" t="s">
        <v>747</v>
      </c>
      <c r="C29" s="291" t="str">
        <f>IF(C30*0.1&lt;C28,"Exceed 10% Rule","")</f>
        <v/>
      </c>
      <c r="D29" s="255" t="str">
        <f>IF(D30*0.1&lt;D28,"Exceed 10% Rule","")</f>
        <v/>
      </c>
      <c r="E29" s="255" t="str">
        <f>IF(E30*0.1&lt;E28,"Exceed 10% Rule","")</f>
        <v/>
      </c>
    </row>
    <row r="30" spans="2:5">
      <c r="B30" s="256" t="s">
        <v>94</v>
      </c>
      <c r="C30" s="259">
        <f>SUM(C20:C28)</f>
        <v>135711.16</v>
      </c>
      <c r="D30" s="259">
        <f>SUM(D20:D28)</f>
        <v>111400</v>
      </c>
      <c r="E30" s="259">
        <f>SUM(E20:E28)</f>
        <v>129000</v>
      </c>
    </row>
    <row r="31" spans="2:5">
      <c r="B31" s="141" t="s">
        <v>200</v>
      </c>
      <c r="C31" s="71">
        <f>C18-C30</f>
        <v>4662.2599999999802</v>
      </c>
      <c r="D31" s="71">
        <f>D18-D30</f>
        <v>79008.419999999984</v>
      </c>
      <c r="E31" s="71">
        <f>E18-E30</f>
        <v>70848.419999999984</v>
      </c>
    </row>
    <row r="32" spans="2:5">
      <c r="B32" s="127" t="str">
        <f>CONCATENATE("",E1-2,"/",E1-1," Budget Authority Amount:")</f>
        <v>2011/2012 Budget Authority Amount:</v>
      </c>
      <c r="C32" s="231">
        <f>inputOth!B77</f>
        <v>136488.78</v>
      </c>
      <c r="D32" s="231">
        <f>inputPrYr!D36</f>
        <v>120500</v>
      </c>
      <c r="E32" s="371" t="str">
        <f>IF(E31&lt;0,"See Tab E","")</f>
        <v/>
      </c>
    </row>
    <row r="33" spans="2:5">
      <c r="B33" s="127"/>
      <c r="C33" s="269" t="str">
        <f>IF(C30&gt;C32,"See Tab A","")</f>
        <v/>
      </c>
      <c r="D33" s="269" t="str">
        <f>IF(D30&gt;D32,"See Tab C","")</f>
        <v/>
      </c>
      <c r="E33" s="86"/>
    </row>
    <row r="34" spans="2:5">
      <c r="B34" s="127"/>
      <c r="C34" s="269" t="str">
        <f>IF(C31&lt;0,"See Tab B","")</f>
        <v/>
      </c>
      <c r="D34" s="269" t="str">
        <f>IF(D31&lt;0,"See Tab D","")</f>
        <v/>
      </c>
      <c r="E34" s="86"/>
    </row>
    <row r="35" spans="2:5">
      <c r="B35" s="36"/>
      <c r="C35" s="86"/>
      <c r="D35" s="86"/>
      <c r="E35" s="86"/>
    </row>
    <row r="36" spans="2:5">
      <c r="B36" s="41"/>
      <c r="C36" s="286"/>
      <c r="D36" s="286"/>
      <c r="E36" s="286"/>
    </row>
    <row r="37" spans="2:5">
      <c r="B37" s="41" t="s">
        <v>78</v>
      </c>
      <c r="C37" s="271" t="s">
        <v>770</v>
      </c>
      <c r="D37" s="135" t="s">
        <v>771</v>
      </c>
      <c r="E37" s="135" t="s">
        <v>772</v>
      </c>
    </row>
    <row r="38" spans="2:5">
      <c r="B38" s="542" t="str">
        <f>(inputPrYr!B37)</f>
        <v>Refuse</v>
      </c>
      <c r="C38" s="243" t="str">
        <f>C5</f>
        <v>Actual for 2011</v>
      </c>
      <c r="D38" s="243" t="str">
        <f>D5</f>
        <v>Estimate for 2012</v>
      </c>
      <c r="E38" s="243" t="str">
        <f>E5</f>
        <v>Year for 2013</v>
      </c>
    </row>
    <row r="39" spans="2:5">
      <c r="B39" s="244" t="s">
        <v>199</v>
      </c>
      <c r="C39" s="56">
        <v>6472.05</v>
      </c>
      <c r="D39" s="218">
        <f>C55</f>
        <v>4725.2999999999302</v>
      </c>
      <c r="E39" s="218">
        <f>D55</f>
        <v>5025.2999999999302</v>
      </c>
    </row>
    <row r="40" spans="2:5">
      <c r="B40" s="248" t="s">
        <v>201</v>
      </c>
      <c r="C40" s="76"/>
      <c r="D40" s="76"/>
      <c r="E40" s="76"/>
    </row>
    <row r="41" spans="2:5">
      <c r="B41" s="265" t="s">
        <v>1077</v>
      </c>
      <c r="C41" s="56">
        <v>367613.38999999996</v>
      </c>
      <c r="D41" s="56">
        <v>377000</v>
      </c>
      <c r="E41" s="56">
        <v>377000</v>
      </c>
    </row>
    <row r="42" spans="2:5" hidden="1">
      <c r="B42" s="265"/>
      <c r="C42" s="56"/>
      <c r="D42" s="56"/>
      <c r="E42" s="56"/>
    </row>
    <row r="43" spans="2:5" hidden="1">
      <c r="B43" s="253" t="s">
        <v>86</v>
      </c>
      <c r="C43" s="56"/>
      <c r="D43" s="56"/>
      <c r="E43" s="56"/>
    </row>
    <row r="44" spans="2:5" hidden="1">
      <c r="B44" s="150" t="s">
        <v>838</v>
      </c>
      <c r="C44" s="56"/>
      <c r="D44" s="250"/>
      <c r="E44" s="250"/>
    </row>
    <row r="45" spans="2:5" hidden="1">
      <c r="B45" s="244" t="s">
        <v>746</v>
      </c>
      <c r="C45" s="291" t="str">
        <f>IF(C46*0.1&lt;C44,"Exceed 10% Rule","")</f>
        <v/>
      </c>
      <c r="D45" s="255" t="str">
        <f>IF(D46*0.1&lt;D44,"Exceed 10% Rule","")</f>
        <v/>
      </c>
      <c r="E45" s="255" t="str">
        <f>IF(E46*0.1&lt;E44,"Exceed 10% Rule","")</f>
        <v/>
      </c>
    </row>
    <row r="46" spans="2:5">
      <c r="B46" s="256" t="s">
        <v>87</v>
      </c>
      <c r="C46" s="259">
        <f>SUM(C41:C44)</f>
        <v>367613.38999999996</v>
      </c>
      <c r="D46" s="259">
        <f>SUM(D41:D44)</f>
        <v>377000</v>
      </c>
      <c r="E46" s="259">
        <f>SUM(E41:E44)</f>
        <v>377000</v>
      </c>
    </row>
    <row r="47" spans="2:5">
      <c r="B47" s="256" t="s">
        <v>88</v>
      </c>
      <c r="C47" s="259">
        <f>C39+C46</f>
        <v>374085.43999999994</v>
      </c>
      <c r="D47" s="259">
        <f>D39+D46</f>
        <v>381725.29999999993</v>
      </c>
      <c r="E47" s="259">
        <f>E39+E46</f>
        <v>382025.29999999993</v>
      </c>
    </row>
    <row r="48" spans="2:5">
      <c r="B48" s="141" t="s">
        <v>90</v>
      </c>
      <c r="C48" s="218"/>
      <c r="D48" s="218"/>
      <c r="E48" s="218"/>
    </row>
    <row r="49" spans="2:5">
      <c r="B49" s="265" t="s">
        <v>1078</v>
      </c>
      <c r="C49" s="56">
        <v>2024.56</v>
      </c>
      <c r="D49" s="56">
        <v>1400</v>
      </c>
      <c r="E49" s="56">
        <v>1400</v>
      </c>
    </row>
    <row r="50" spans="2:5">
      <c r="B50" s="265" t="s">
        <v>1037</v>
      </c>
      <c r="C50" s="56">
        <v>366703.52</v>
      </c>
      <c r="D50" s="56">
        <v>375000</v>
      </c>
      <c r="E50" s="56">
        <v>375000</v>
      </c>
    </row>
    <row r="51" spans="2:5">
      <c r="B51" s="265" t="s">
        <v>1079</v>
      </c>
      <c r="C51" s="56">
        <v>632.06000000000006</v>
      </c>
      <c r="D51" s="56">
        <v>300</v>
      </c>
      <c r="E51" s="56">
        <v>300</v>
      </c>
    </row>
    <row r="52" spans="2:5" hidden="1">
      <c r="B52" s="266" t="s">
        <v>838</v>
      </c>
      <c r="C52" s="56"/>
      <c r="D52" s="250"/>
      <c r="E52" s="250"/>
    </row>
    <row r="53" spans="2:5" hidden="1">
      <c r="B53" s="266" t="s">
        <v>747</v>
      </c>
      <c r="C53" s="291" t="str">
        <f>IF(C54*0.1&lt;C52,"Exceed 10% Rule","")</f>
        <v/>
      </c>
      <c r="D53" s="255" t="str">
        <f>IF(D54*0.1&lt;D52,"Exceed 10% Rule","")</f>
        <v/>
      </c>
      <c r="E53" s="255" t="str">
        <f>IF(E54*0.1&lt;E52,"Exceed 10% Rule","")</f>
        <v/>
      </c>
    </row>
    <row r="54" spans="2:5">
      <c r="B54" s="256" t="s">
        <v>94</v>
      </c>
      <c r="C54" s="259">
        <f>SUM(C49:C52)</f>
        <v>369360.14</v>
      </c>
      <c r="D54" s="259">
        <f>SUM(D49:D52)</f>
        <v>376700</v>
      </c>
      <c r="E54" s="259">
        <f>SUM(E49:E52)</f>
        <v>376700</v>
      </c>
    </row>
    <row r="55" spans="2:5">
      <c r="B55" s="141" t="s">
        <v>200</v>
      </c>
      <c r="C55" s="71">
        <f>C47-C54</f>
        <v>4725.2999999999302</v>
      </c>
      <c r="D55" s="71">
        <f>D47-D54</f>
        <v>5025.2999999999302</v>
      </c>
      <c r="E55" s="71">
        <f>E47-E54</f>
        <v>5325.2999999999302</v>
      </c>
    </row>
    <row r="56" spans="2:5">
      <c r="B56" s="127" t="str">
        <f>CONCATENATE("",E1-2,"/",E1-1," Budget Authority Amount:")</f>
        <v>2011/2012 Budget Authority Amount:</v>
      </c>
      <c r="C56" s="231">
        <f>inputOth!B78</f>
        <v>381950</v>
      </c>
      <c r="D56" s="231">
        <f>inputPrYr!D37</f>
        <v>376700</v>
      </c>
      <c r="E56" s="371" t="str">
        <f>IF(E55&lt;0,"See Tab E","")</f>
        <v/>
      </c>
    </row>
    <row r="57" spans="2:5">
      <c r="B57" s="127"/>
      <c r="C57" s="269" t="str">
        <f>IF(C54&gt;C56,"See Tab A","")</f>
        <v/>
      </c>
      <c r="D57" s="269" t="str">
        <f>IF(D54&gt;D56,"See Tab C","")</f>
        <v/>
      </c>
      <c r="E57" s="36"/>
    </row>
    <row r="58" spans="2:5">
      <c r="B58" s="127"/>
      <c r="C58" s="269" t="str">
        <f>IF(C55&lt;0,"See Tab B","")</f>
        <v/>
      </c>
      <c r="D58" s="269" t="str">
        <f>IF(D55&lt;0,"See Tab D","")</f>
        <v/>
      </c>
      <c r="E58" s="36"/>
    </row>
    <row r="59" spans="2:5">
      <c r="B59" s="36"/>
      <c r="C59" s="36"/>
      <c r="D59" s="36"/>
      <c r="E59" s="36"/>
    </row>
    <row r="60" spans="2:5">
      <c r="B60" s="160" t="s">
        <v>97</v>
      </c>
      <c r="C60" s="273">
        <v>12</v>
      </c>
      <c r="D60" s="36"/>
      <c r="E60" s="36"/>
    </row>
  </sheetData>
  <phoneticPr fontId="0" type="noConversion"/>
  <conditionalFormatting sqref="C15">
    <cfRule type="cellIs" dxfId="245" priority="3" stopIfTrue="1" operator="greaterThan">
      <formula>$C$17*0.1</formula>
    </cfRule>
  </conditionalFormatting>
  <conditionalFormatting sqref="D15">
    <cfRule type="cellIs" dxfId="244" priority="4" stopIfTrue="1" operator="greaterThan">
      <formula>$D$17*0.1</formula>
    </cfRule>
  </conditionalFormatting>
  <conditionalFormatting sqref="E15">
    <cfRule type="cellIs" dxfId="243" priority="5" stopIfTrue="1" operator="greaterThan">
      <formula>$E$17*0.1</formula>
    </cfRule>
  </conditionalFormatting>
  <conditionalFormatting sqref="C28">
    <cfRule type="cellIs" dxfId="242" priority="6" stopIfTrue="1" operator="greaterThan">
      <formula>$C$30*0.1</formula>
    </cfRule>
  </conditionalFormatting>
  <conditionalFormatting sqref="D28">
    <cfRule type="cellIs" dxfId="241" priority="7" stopIfTrue="1" operator="greaterThan">
      <formula>$D$30*0.1</formula>
    </cfRule>
  </conditionalFormatting>
  <conditionalFormatting sqref="E28">
    <cfRule type="cellIs" dxfId="240" priority="8" stopIfTrue="1" operator="greaterThan">
      <formula>$E$30*0.1</formula>
    </cfRule>
  </conditionalFormatting>
  <conditionalFormatting sqref="C44">
    <cfRule type="cellIs" dxfId="239" priority="9" stopIfTrue="1" operator="greaterThan">
      <formula>$C$46*0.1</formula>
    </cfRule>
  </conditionalFormatting>
  <conditionalFormatting sqref="D44">
    <cfRule type="cellIs" dxfId="238" priority="10" stopIfTrue="1" operator="greaterThan">
      <formula>$D$46*0.1</formula>
    </cfRule>
  </conditionalFormatting>
  <conditionalFormatting sqref="E44">
    <cfRule type="cellIs" dxfId="237" priority="11" stopIfTrue="1" operator="greaterThan">
      <formula>$E$46*0.1</formula>
    </cfRule>
  </conditionalFormatting>
  <conditionalFormatting sqref="C52">
    <cfRule type="cellIs" dxfId="236" priority="12" stopIfTrue="1" operator="greaterThan">
      <formula>$C$54*0.1</formula>
    </cfRule>
  </conditionalFormatting>
  <conditionalFormatting sqref="D52">
    <cfRule type="cellIs" dxfId="235" priority="13" stopIfTrue="1" operator="greaterThan">
      <formula>$D$54*0.1</formula>
    </cfRule>
  </conditionalFormatting>
  <conditionalFormatting sqref="E52">
    <cfRule type="cellIs" dxfId="234" priority="14" stopIfTrue="1" operator="greaterThan">
      <formula>$E$54*0.1</formula>
    </cfRule>
  </conditionalFormatting>
  <conditionalFormatting sqref="D54">
    <cfRule type="cellIs" dxfId="233" priority="15" stopIfTrue="1" operator="greaterThan">
      <formula>$D$56</formula>
    </cfRule>
  </conditionalFormatting>
  <conditionalFormatting sqref="C54">
    <cfRule type="cellIs" dxfId="232" priority="16" stopIfTrue="1" operator="greaterThan">
      <formula>$C$56</formula>
    </cfRule>
  </conditionalFormatting>
  <conditionalFormatting sqref="C55 E55 C31 E31">
    <cfRule type="cellIs" dxfId="231" priority="17" stopIfTrue="1" operator="lessThan">
      <formula>0</formula>
    </cfRule>
  </conditionalFormatting>
  <conditionalFormatting sqref="D30">
    <cfRule type="cellIs" dxfId="230" priority="18" stopIfTrue="1" operator="greaterThan">
      <formula>$D$32</formula>
    </cfRule>
  </conditionalFormatting>
  <conditionalFormatting sqref="C30">
    <cfRule type="cellIs" dxfId="229" priority="19" stopIfTrue="1" operator="greaterThan">
      <formula>$C$32</formula>
    </cfRule>
  </conditionalFormatting>
  <conditionalFormatting sqref="D31">
    <cfRule type="cellIs" dxfId="228" priority="2" stopIfTrue="1" operator="lessThan">
      <formula>0</formula>
    </cfRule>
  </conditionalFormatting>
  <conditionalFormatting sqref="D55">
    <cfRule type="cellIs" dxfId="227" priority="1" stopIfTrue="1" operator="lessThan">
      <formula>0</formula>
    </cfRule>
  </conditionalFormatting>
  <printOptions horizontalCentered="1"/>
  <pageMargins left="0.5" right="0.5" top="0.5" bottom="0.5" header="0.3" footer="0.3"/>
  <pageSetup scale="97" orientation="portrait" blackAndWhite="1" horizontalDpi="120" verticalDpi="144"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128"/>
  <sheetViews>
    <sheetView zoomScaleNormal="100" workbookViewId="0">
      <selection activeCell="D19" sqref="D19"/>
    </sheetView>
  </sheetViews>
  <sheetFormatPr defaultRowHeight="15.75"/>
  <cols>
    <col min="1" max="1" width="15.77734375" style="34" customWidth="1"/>
    <col min="2" max="2" width="20.77734375" style="34" customWidth="1"/>
    <col min="3" max="3" width="9.77734375" style="34" customWidth="1"/>
    <col min="4" max="4" width="15.109375" style="34" customWidth="1"/>
    <col min="5" max="5" width="15.77734375" style="34" customWidth="1"/>
    <col min="6" max="6" width="1.88671875" style="34" customWidth="1"/>
    <col min="7" max="7" width="18.6640625" style="34" customWidth="1"/>
    <col min="8" max="16384" width="8.88671875" style="34"/>
  </cols>
  <sheetData>
    <row r="1" spans="1:8">
      <c r="A1" s="915" t="s">
        <v>45</v>
      </c>
      <c r="B1" s="916"/>
      <c r="C1" s="916"/>
      <c r="D1" s="916"/>
      <c r="E1" s="916"/>
    </row>
    <row r="2" spans="1:8">
      <c r="A2" s="35" t="s">
        <v>843</v>
      </c>
      <c r="B2" s="36"/>
      <c r="C2" s="36"/>
      <c r="D2" s="37" t="s">
        <v>958</v>
      </c>
      <c r="E2" s="38"/>
    </row>
    <row r="3" spans="1:8">
      <c r="A3" s="35" t="s">
        <v>844</v>
      </c>
      <c r="B3" s="36"/>
      <c r="C3" s="36"/>
      <c r="D3" s="39" t="s">
        <v>957</v>
      </c>
      <c r="E3" s="40"/>
    </row>
    <row r="4" spans="1:8">
      <c r="A4" s="41"/>
      <c r="B4" s="36"/>
      <c r="C4" s="36"/>
      <c r="D4" s="42"/>
      <c r="E4" s="36"/>
    </row>
    <row r="5" spans="1:8">
      <c r="A5" s="35" t="s">
        <v>241</v>
      </c>
      <c r="B5" s="36"/>
      <c r="C5" s="43">
        <v>2013</v>
      </c>
      <c r="D5" s="42"/>
      <c r="E5" s="36"/>
    </row>
    <row r="6" spans="1:8">
      <c r="A6" s="36"/>
      <c r="B6" s="36"/>
      <c r="C6" s="36"/>
      <c r="D6" s="36"/>
      <c r="E6" s="36"/>
    </row>
    <row r="7" spans="1:8">
      <c r="A7" s="44" t="s">
        <v>369</v>
      </c>
      <c r="B7" s="45"/>
      <c r="C7" s="45"/>
      <c r="D7" s="45"/>
      <c r="E7" s="45"/>
    </row>
    <row r="8" spans="1:8">
      <c r="A8" s="44" t="s">
        <v>368</v>
      </c>
      <c r="B8" s="45"/>
      <c r="C8" s="45"/>
      <c r="D8" s="45"/>
      <c r="E8" s="45"/>
      <c r="F8" s="36"/>
      <c r="G8" s="917" t="s">
        <v>871</v>
      </c>
      <c r="H8" s="918"/>
    </row>
    <row r="9" spans="1:8">
      <c r="A9" s="44"/>
      <c r="B9" s="45"/>
      <c r="C9" s="45"/>
      <c r="D9" s="45"/>
      <c r="E9" s="45"/>
      <c r="F9" s="36"/>
      <c r="G9" s="919"/>
      <c r="H9" s="918"/>
    </row>
    <row r="10" spans="1:8">
      <c r="A10" s="913" t="s">
        <v>301</v>
      </c>
      <c r="B10" s="914"/>
      <c r="C10" s="914"/>
      <c r="D10" s="914"/>
      <c r="E10" s="914"/>
      <c r="F10" s="36"/>
      <c r="G10" s="919"/>
      <c r="H10" s="918"/>
    </row>
    <row r="11" spans="1:8">
      <c r="A11" s="36"/>
      <c r="B11" s="36"/>
      <c r="C11" s="36"/>
      <c r="D11" s="36"/>
      <c r="E11" s="36"/>
      <c r="F11" s="36"/>
      <c r="G11" s="919"/>
      <c r="H11" s="918"/>
    </row>
    <row r="12" spans="1:8">
      <c r="A12" s="46" t="s">
        <v>302</v>
      </c>
      <c r="B12" s="47"/>
      <c r="C12" s="36"/>
      <c r="D12" s="36"/>
      <c r="E12" s="36"/>
      <c r="F12" s="36"/>
      <c r="G12" s="919"/>
      <c r="H12" s="918"/>
    </row>
    <row r="13" spans="1:8">
      <c r="A13" s="48" t="str">
        <f>CONCATENATE("the ",C5-1," Budget, Certificate Page:")</f>
        <v>the 2012 Budget, Certificate Page:</v>
      </c>
      <c r="B13" s="49"/>
      <c r="C13" s="36"/>
      <c r="D13" s="36"/>
      <c r="E13" s="36"/>
      <c r="F13" s="36"/>
      <c r="G13" s="919"/>
      <c r="H13" s="918"/>
    </row>
    <row r="14" spans="1:8">
      <c r="A14" s="48" t="s">
        <v>371</v>
      </c>
      <c r="B14" s="49"/>
      <c r="C14" s="36"/>
      <c r="D14" s="36"/>
      <c r="E14" s="36"/>
      <c r="F14" s="36"/>
      <c r="G14" s="65"/>
      <c r="H14" s="87"/>
    </row>
    <row r="15" spans="1:8">
      <c r="A15" s="36"/>
      <c r="B15" s="36"/>
      <c r="C15" s="36"/>
      <c r="D15" s="50">
        <f>C5-1</f>
        <v>2012</v>
      </c>
      <c r="E15" s="50">
        <f>C5-2</f>
        <v>2011</v>
      </c>
      <c r="G15" s="190" t="s">
        <v>872</v>
      </c>
      <c r="H15" s="147" t="s">
        <v>96</v>
      </c>
    </row>
    <row r="16" spans="1:8">
      <c r="A16" s="41" t="s">
        <v>46</v>
      </c>
      <c r="B16" s="36"/>
      <c r="C16" s="51" t="s">
        <v>47</v>
      </c>
      <c r="D16" s="52" t="s">
        <v>370</v>
      </c>
      <c r="E16" s="52" t="s">
        <v>37</v>
      </c>
      <c r="G16" s="192" t="str">
        <f>CONCATENATE("",E15," Ad Valorem Tax")</f>
        <v>2011 Ad Valorem Tax</v>
      </c>
      <c r="H16" s="871">
        <v>0.06</v>
      </c>
    </row>
    <row r="17" spans="1:7">
      <c r="A17" s="36"/>
      <c r="B17" s="53" t="s">
        <v>48</v>
      </c>
      <c r="C17" s="147" t="s">
        <v>203</v>
      </c>
      <c r="D17" s="55">
        <v>2291543</v>
      </c>
      <c r="E17" s="55">
        <v>514514</v>
      </c>
      <c r="G17" s="218">
        <f>IF(H16&gt;0,ROUND(E17-(E17*H16),0),0)</f>
        <v>483643</v>
      </c>
    </row>
    <row r="18" spans="1:7">
      <c r="A18" s="36"/>
      <c r="B18" s="53" t="s">
        <v>959</v>
      </c>
      <c r="C18" s="147" t="s">
        <v>242</v>
      </c>
      <c r="D18" s="56">
        <v>544658</v>
      </c>
      <c r="E18" s="56">
        <v>251791</v>
      </c>
      <c r="G18" s="218">
        <f>IF(H16&gt;0,ROUND(E18-(E18*H16),0),0)</f>
        <v>236684</v>
      </c>
    </row>
    <row r="19" spans="1:7">
      <c r="A19" s="36"/>
      <c r="B19" s="53" t="s">
        <v>754</v>
      </c>
      <c r="C19" s="147" t="s">
        <v>755</v>
      </c>
      <c r="D19" s="56">
        <v>109551</v>
      </c>
      <c r="E19" s="56"/>
      <c r="G19" s="218">
        <f>IF(H16&gt;0,ROUND(E19-(E19*H16),0),0)</f>
        <v>0</v>
      </c>
    </row>
    <row r="20" spans="1:7">
      <c r="A20" s="41" t="s">
        <v>49</v>
      </c>
      <c r="B20" s="36"/>
      <c r="C20" s="36"/>
      <c r="D20" s="36"/>
      <c r="E20" s="57"/>
    </row>
    <row r="21" spans="1:7">
      <c r="A21" s="36"/>
      <c r="B21" s="889" t="s">
        <v>961</v>
      </c>
      <c r="C21" s="889" t="s">
        <v>966</v>
      </c>
      <c r="D21" s="56">
        <v>12000</v>
      </c>
      <c r="E21" s="56"/>
      <c r="G21" s="218">
        <f>IF(H16&gt;0,ROUND(E21-(E21*H16),0),0)</f>
        <v>0</v>
      </c>
    </row>
    <row r="22" spans="1:7">
      <c r="A22" s="36"/>
      <c r="B22" s="890" t="s">
        <v>847</v>
      </c>
      <c r="C22" s="890" t="s">
        <v>967</v>
      </c>
      <c r="D22" s="56">
        <v>521318</v>
      </c>
      <c r="E22" s="56">
        <v>458346</v>
      </c>
      <c r="G22" s="218">
        <f>IF(H16&gt;0,ROUND(E22-(E22*H16),0),0)</f>
        <v>430845</v>
      </c>
    </row>
    <row r="23" spans="1:7">
      <c r="A23" s="36"/>
      <c r="B23" s="890" t="s">
        <v>962</v>
      </c>
      <c r="C23" s="891" t="s">
        <v>968</v>
      </c>
      <c r="D23" s="56">
        <v>9520</v>
      </c>
      <c r="E23" s="56"/>
      <c r="G23" s="218">
        <f>IF(H16&gt;0,ROUND(E23-(E23*H16),0),0)</f>
        <v>0</v>
      </c>
    </row>
    <row r="24" spans="1:7">
      <c r="A24" s="36"/>
      <c r="B24" s="890" t="s">
        <v>960</v>
      </c>
      <c r="C24" s="891" t="s">
        <v>967</v>
      </c>
      <c r="D24" s="56">
        <v>12629</v>
      </c>
      <c r="E24" s="56">
        <v>11515</v>
      </c>
      <c r="G24" s="218">
        <f>IF(H16&gt;0,ROUND(E24-(E24*H16),0),0)</f>
        <v>10824</v>
      </c>
    </row>
    <row r="25" spans="1:7">
      <c r="A25" s="36"/>
      <c r="B25" s="890"/>
      <c r="C25" s="378"/>
      <c r="D25" s="56"/>
      <c r="E25" s="56"/>
      <c r="G25" s="218">
        <f>IF(H16&gt;0,ROUND(E25-(E25*H16),0),0)</f>
        <v>0</v>
      </c>
    </row>
    <row r="26" spans="1:7">
      <c r="A26" s="36"/>
      <c r="B26" s="890"/>
      <c r="C26" s="378"/>
      <c r="D26" s="56"/>
      <c r="E26" s="56"/>
      <c r="G26" s="218">
        <f>IF(H16&gt;0,ROUND(E26-(E26*H16),0),0)</f>
        <v>0</v>
      </c>
    </row>
    <row r="27" spans="1:7">
      <c r="A27" s="36"/>
      <c r="B27" s="58"/>
      <c r="C27" s="378"/>
      <c r="D27" s="56"/>
      <c r="E27" s="56"/>
      <c r="G27" s="218">
        <f>IF(H16&gt;0,ROUND(E27-(E27*H16),0),0)</f>
        <v>0</v>
      </c>
    </row>
    <row r="28" spans="1:7">
      <c r="A28" s="36"/>
      <c r="B28" s="58"/>
      <c r="C28" s="378"/>
      <c r="D28" s="56"/>
      <c r="E28" s="56"/>
      <c r="G28" s="218">
        <f>IF(H16&gt;0,ROUND(E28-(E28*H16),0),0)</f>
        <v>0</v>
      </c>
    </row>
    <row r="29" spans="1:7">
      <c r="A29" s="36"/>
      <c r="B29" s="58"/>
      <c r="C29" s="378"/>
      <c r="D29" s="56"/>
      <c r="E29" s="56"/>
      <c r="G29" s="218">
        <f>IF(H16&gt;0,ROUND(E29-(E29*H16),0),0)</f>
        <v>0</v>
      </c>
    </row>
    <row r="30" spans="1:7">
      <c r="A30" s="36"/>
      <c r="B30" s="58"/>
      <c r="C30" s="378"/>
      <c r="D30" s="56"/>
      <c r="E30" s="56"/>
      <c r="G30" s="218">
        <f>IF(H16&gt;0,ROUND(E30-(E30*H16),0),0)</f>
        <v>0</v>
      </c>
    </row>
    <row r="31" spans="1:7">
      <c r="A31" s="59" t="str">
        <f>CONCATENATE("Total Tax Levy Funds for ",C5-1," Budgeted Year")</f>
        <v>Total Tax Levy Funds for 2012 Budgeted Year</v>
      </c>
      <c r="B31" s="60"/>
      <c r="C31" s="61"/>
      <c r="D31" s="62"/>
      <c r="E31" s="63">
        <f>SUM(E17:E30)</f>
        <v>1236166</v>
      </c>
    </row>
    <row r="32" spans="1:7">
      <c r="A32" s="427" t="str">
        <f>CONCATENATE("Fund Not Considered Part of the Max Levy Computation for ",C5," Budgeted Year:")</f>
        <v>Fund Not Considered Part of the Max Levy Computation for 2013 Budgeted Year:</v>
      </c>
      <c r="B32" s="65"/>
      <c r="C32" s="65"/>
      <c r="D32" s="66"/>
      <c r="E32" s="57"/>
    </row>
    <row r="33" spans="1:7">
      <c r="A33" s="64"/>
      <c r="B33" s="428" t="s">
        <v>596</v>
      </c>
      <c r="C33" s="430" t="s">
        <v>597</v>
      </c>
      <c r="D33" s="429">
        <v>174829</v>
      </c>
      <c r="E33" s="429">
        <v>92124</v>
      </c>
      <c r="G33" s="218">
        <f>IF(H16&gt;0,ROUND(E33-(E33*H16),0),0)</f>
        <v>86597</v>
      </c>
    </row>
    <row r="34" spans="1:7">
      <c r="A34" s="64"/>
      <c r="B34" s="65"/>
      <c r="C34" s="65"/>
      <c r="D34" s="66"/>
      <c r="E34" s="57"/>
    </row>
    <row r="35" spans="1:7">
      <c r="A35" s="41" t="s">
        <v>247</v>
      </c>
      <c r="B35" s="36"/>
      <c r="C35" s="36"/>
      <c r="D35" s="36"/>
      <c r="E35" s="36"/>
    </row>
    <row r="36" spans="1:7">
      <c r="A36" s="36"/>
      <c r="B36" s="54" t="s">
        <v>982</v>
      </c>
      <c r="C36" s="36"/>
      <c r="D36" s="56">
        <v>120500</v>
      </c>
      <c r="E36" s="36"/>
    </row>
    <row r="37" spans="1:7">
      <c r="A37" s="36"/>
      <c r="B37" s="889" t="s">
        <v>972</v>
      </c>
      <c r="C37" s="36"/>
      <c r="D37" s="56">
        <v>376700</v>
      </c>
      <c r="E37" s="36"/>
    </row>
    <row r="38" spans="1:7">
      <c r="A38" s="36"/>
      <c r="B38" s="67" t="s">
        <v>976</v>
      </c>
      <c r="C38" s="36"/>
      <c r="D38" s="56">
        <v>282892</v>
      </c>
      <c r="E38" s="36"/>
    </row>
    <row r="39" spans="1:7">
      <c r="A39" s="36"/>
      <c r="B39" s="67" t="s">
        <v>977</v>
      </c>
      <c r="C39" s="36"/>
      <c r="D39" s="56">
        <v>9897</v>
      </c>
      <c r="E39" s="36"/>
    </row>
    <row r="40" spans="1:7">
      <c r="A40" s="36"/>
      <c r="B40" s="889" t="s">
        <v>965</v>
      </c>
      <c r="C40" s="36"/>
      <c r="D40" s="56">
        <v>17750</v>
      </c>
      <c r="E40" s="36"/>
    </row>
    <row r="41" spans="1:7">
      <c r="A41" s="36"/>
      <c r="B41" s="889"/>
      <c r="C41" s="36"/>
      <c r="D41" s="56"/>
      <c r="E41" s="36"/>
    </row>
    <row r="42" spans="1:7">
      <c r="A42" s="36"/>
      <c r="B42" s="889"/>
      <c r="C42" s="36"/>
      <c r="D42" s="56"/>
      <c r="E42" s="36"/>
    </row>
    <row r="43" spans="1:7">
      <c r="A43" s="36"/>
      <c r="B43" s="67"/>
      <c r="C43" s="36"/>
      <c r="D43" s="56"/>
      <c r="E43" s="36"/>
    </row>
    <row r="44" spans="1:7">
      <c r="A44" s="36"/>
      <c r="B44" s="67"/>
      <c r="C44" s="36"/>
      <c r="D44" s="56"/>
      <c r="E44" s="36"/>
    </row>
    <row r="45" spans="1:7">
      <c r="A45" s="36"/>
      <c r="B45" s="67"/>
      <c r="C45" s="36"/>
      <c r="D45" s="56"/>
      <c r="E45" s="36"/>
    </row>
    <row r="46" spans="1:7">
      <c r="A46" s="36"/>
      <c r="B46" s="67"/>
      <c r="C46" s="36"/>
      <c r="D46" s="56"/>
      <c r="E46" s="36"/>
    </row>
    <row r="47" spans="1:7">
      <c r="A47" s="36"/>
      <c r="B47" s="67"/>
      <c r="C47" s="36"/>
      <c r="D47" s="56"/>
      <c r="E47" s="36"/>
    </row>
    <row r="48" spans="1:7">
      <c r="A48" s="36"/>
      <c r="B48" s="67"/>
      <c r="C48" s="36"/>
      <c r="D48" s="56"/>
      <c r="E48" s="36"/>
    </row>
    <row r="49" spans="1:5">
      <c r="A49" s="36"/>
      <c r="B49" s="67"/>
      <c r="C49" s="36"/>
      <c r="D49" s="56"/>
      <c r="E49" s="36"/>
    </row>
    <row r="50" spans="1:5">
      <c r="A50" s="36"/>
      <c r="B50" s="889"/>
      <c r="C50" s="36"/>
      <c r="D50" s="56"/>
      <c r="E50" s="36"/>
    </row>
    <row r="51" spans="1:5">
      <c r="A51" s="36"/>
      <c r="B51" s="67"/>
      <c r="C51" s="36"/>
      <c r="D51" s="56"/>
      <c r="E51" s="36"/>
    </row>
    <row r="52" spans="1:5">
      <c r="A52" s="36" t="s">
        <v>273</v>
      </c>
      <c r="B52" s="68"/>
      <c r="C52" s="36"/>
      <c r="D52" s="36"/>
      <c r="E52" s="36"/>
    </row>
    <row r="53" spans="1:5">
      <c r="A53" s="36">
        <v>1</v>
      </c>
      <c r="B53" s="892" t="s">
        <v>970</v>
      </c>
      <c r="C53" s="36"/>
      <c r="D53" s="56">
        <v>832025</v>
      </c>
      <c r="E53" s="36"/>
    </row>
    <row r="54" spans="1:5">
      <c r="A54" s="36">
        <v>2</v>
      </c>
      <c r="B54" s="892" t="s">
        <v>971</v>
      </c>
      <c r="C54" s="36"/>
      <c r="D54" s="56">
        <v>3765012</v>
      </c>
      <c r="E54" s="36"/>
    </row>
    <row r="55" spans="1:5">
      <c r="A55" s="36">
        <v>3</v>
      </c>
      <c r="B55" s="889" t="s">
        <v>973</v>
      </c>
      <c r="C55" s="36"/>
      <c r="D55" s="56">
        <v>837988</v>
      </c>
      <c r="E55" s="36"/>
    </row>
    <row r="56" spans="1:5">
      <c r="A56" s="36">
        <v>4</v>
      </c>
      <c r="B56" s="892" t="s">
        <v>964</v>
      </c>
      <c r="C56" s="36"/>
      <c r="D56" s="56">
        <v>13674</v>
      </c>
      <c r="E56" s="36"/>
    </row>
    <row r="57" spans="1:5">
      <c r="A57" s="59" t="str">
        <f>CONCATENATE("Total Expenditures for ",C5-1," Budgeted Year")</f>
        <v>Total Expenditures for 2012 Budgeted Year</v>
      </c>
      <c r="B57" s="69"/>
      <c r="C57" s="70"/>
      <c r="D57" s="71">
        <f>SUM(D17:D19,D21:D30,D36:D51,D53:D56)</f>
        <v>9757657</v>
      </c>
      <c r="E57" s="36"/>
    </row>
    <row r="58" spans="1:5">
      <c r="A58" s="36" t="s">
        <v>274</v>
      </c>
      <c r="B58" s="72"/>
      <c r="C58" s="36"/>
      <c r="D58" s="36"/>
      <c r="E58" s="36"/>
    </row>
    <row r="59" spans="1:5">
      <c r="A59" s="36">
        <v>1</v>
      </c>
      <c r="B59" s="889" t="s">
        <v>978</v>
      </c>
      <c r="C59" s="36"/>
      <c r="D59" s="36"/>
      <c r="E59" s="36"/>
    </row>
    <row r="60" spans="1:5">
      <c r="A60" s="36">
        <v>2</v>
      </c>
      <c r="B60" s="889" t="s">
        <v>980</v>
      </c>
      <c r="C60" s="36"/>
      <c r="D60" s="36"/>
      <c r="E60" s="36"/>
    </row>
    <row r="61" spans="1:5">
      <c r="A61" s="36">
        <v>3</v>
      </c>
      <c r="B61" s="889" t="s">
        <v>979</v>
      </c>
      <c r="C61" s="36"/>
      <c r="D61" s="36"/>
      <c r="E61" s="36"/>
    </row>
    <row r="62" spans="1:5">
      <c r="A62" s="36">
        <v>4</v>
      </c>
      <c r="B62" s="889" t="s">
        <v>981</v>
      </c>
      <c r="C62" s="36"/>
      <c r="D62" s="36"/>
      <c r="E62" s="36"/>
    </row>
    <row r="63" spans="1:5">
      <c r="A63" s="36">
        <v>5</v>
      </c>
      <c r="B63" s="889"/>
      <c r="C63" s="36"/>
      <c r="D63" s="36"/>
      <c r="E63" s="36"/>
    </row>
    <row r="64" spans="1:5">
      <c r="A64" s="36" t="s">
        <v>275</v>
      </c>
      <c r="B64" s="68"/>
      <c r="C64" s="36"/>
      <c r="D64" s="36"/>
      <c r="E64" s="36"/>
    </row>
    <row r="65" spans="1:5">
      <c r="A65" s="36">
        <v>1</v>
      </c>
      <c r="B65" s="892" t="s">
        <v>963</v>
      </c>
      <c r="C65" s="36"/>
      <c r="D65" s="36"/>
      <c r="E65" s="36"/>
    </row>
    <row r="66" spans="1:5">
      <c r="A66" s="36">
        <v>2</v>
      </c>
      <c r="B66" s="67" t="s">
        <v>974</v>
      </c>
      <c r="C66" s="36"/>
      <c r="D66" s="36"/>
      <c r="E66" s="36"/>
    </row>
    <row r="67" spans="1:5">
      <c r="A67" s="36">
        <v>3</v>
      </c>
      <c r="B67" s="67" t="s">
        <v>975</v>
      </c>
      <c r="C67" s="36"/>
      <c r="D67" s="36"/>
      <c r="E67" s="36"/>
    </row>
    <row r="68" spans="1:5">
      <c r="A68" s="36">
        <v>4</v>
      </c>
      <c r="B68" s="67" t="s">
        <v>987</v>
      </c>
      <c r="C68" s="36"/>
      <c r="D68" s="36"/>
      <c r="E68" s="36"/>
    </row>
    <row r="69" spans="1:5">
      <c r="A69" s="36">
        <v>5</v>
      </c>
      <c r="B69" s="67"/>
      <c r="C69" s="36"/>
      <c r="D69" s="36"/>
      <c r="E69" s="36"/>
    </row>
    <row r="70" spans="1:5">
      <c r="A70" s="36" t="s">
        <v>276</v>
      </c>
      <c r="B70" s="68"/>
      <c r="C70" s="36"/>
      <c r="D70" s="36"/>
      <c r="E70" s="36"/>
    </row>
    <row r="71" spans="1:5">
      <c r="A71" s="36">
        <v>1</v>
      </c>
      <c r="B71" s="67" t="s">
        <v>983</v>
      </c>
      <c r="C71" s="36"/>
      <c r="D71" s="36"/>
      <c r="E71" s="36"/>
    </row>
    <row r="72" spans="1:5">
      <c r="A72" s="36">
        <v>2</v>
      </c>
      <c r="B72" s="67" t="s">
        <v>984</v>
      </c>
      <c r="C72" s="36"/>
      <c r="D72" s="36"/>
      <c r="E72" s="36"/>
    </row>
    <row r="73" spans="1:5">
      <c r="A73" s="36">
        <v>3</v>
      </c>
      <c r="B73" s="67" t="s">
        <v>985</v>
      </c>
      <c r="C73" s="36"/>
      <c r="D73" s="36"/>
      <c r="E73" s="36"/>
    </row>
    <row r="74" spans="1:5">
      <c r="A74" s="36">
        <v>4</v>
      </c>
      <c r="B74" s="67" t="s">
        <v>986</v>
      </c>
      <c r="C74" s="36"/>
      <c r="D74" s="36"/>
      <c r="E74" s="36"/>
    </row>
    <row r="75" spans="1:5">
      <c r="A75" s="36">
        <v>5</v>
      </c>
      <c r="B75" s="67"/>
      <c r="C75" s="36"/>
      <c r="D75" s="36"/>
      <c r="E75" s="36"/>
    </row>
    <row r="76" spans="1:5">
      <c r="A76" s="36" t="s">
        <v>277</v>
      </c>
      <c r="B76" s="68"/>
      <c r="C76" s="36"/>
      <c r="D76" s="36"/>
      <c r="E76" s="36"/>
    </row>
    <row r="77" spans="1:5">
      <c r="A77" s="36">
        <v>1</v>
      </c>
      <c r="B77" s="889"/>
      <c r="C77" s="36"/>
      <c r="D77" s="36"/>
      <c r="E77" s="36"/>
    </row>
    <row r="78" spans="1:5">
      <c r="A78" s="36">
        <v>2</v>
      </c>
      <c r="B78" s="67"/>
      <c r="C78" s="36"/>
      <c r="D78" s="36"/>
      <c r="E78" s="36"/>
    </row>
    <row r="79" spans="1:5">
      <c r="A79" s="36">
        <v>3</v>
      </c>
      <c r="B79" s="67"/>
      <c r="C79" s="36"/>
      <c r="D79" s="36"/>
      <c r="E79" s="36"/>
    </row>
    <row r="80" spans="1:5">
      <c r="A80" s="36">
        <v>4</v>
      </c>
      <c r="B80" s="67"/>
      <c r="C80" s="36"/>
      <c r="D80" s="36"/>
      <c r="E80" s="36"/>
    </row>
    <row r="81" spans="1:5">
      <c r="A81" s="36">
        <v>5</v>
      </c>
      <c r="B81" s="67"/>
      <c r="C81" s="36"/>
      <c r="D81" s="36"/>
      <c r="E81" s="36"/>
    </row>
    <row r="82" spans="1:5">
      <c r="A82" s="64"/>
      <c r="B82" s="65"/>
      <c r="C82" s="65"/>
      <c r="D82" s="65"/>
      <c r="E82" s="73"/>
    </row>
    <row r="83" spans="1:5">
      <c r="A83" s="36"/>
      <c r="B83" s="36"/>
      <c r="C83" s="36"/>
      <c r="D83" s="36"/>
      <c r="E83" s="36"/>
    </row>
    <row r="84" spans="1:5">
      <c r="A84" s="36"/>
      <c r="B84" s="36"/>
      <c r="C84" s="36"/>
      <c r="D84" s="74" t="str">
        <f>CONCATENATE("",C5-3," Tax Rate")</f>
        <v>2010 Tax Rate</v>
      </c>
      <c r="E84" s="36"/>
    </row>
    <row r="85" spans="1:5">
      <c r="A85" s="48" t="str">
        <f>CONCATENATE("From the ",C5-1," Budget, Budget Summary Page")</f>
        <v>From the 2012 Budget, Budget Summary Page</v>
      </c>
      <c r="B85" s="49"/>
      <c r="C85" s="36"/>
      <c r="D85" s="75" t="str">
        <f>CONCATENATE("(",C5-2," Column)")</f>
        <v>(2011 Column)</v>
      </c>
      <c r="E85" s="36"/>
    </row>
    <row r="86" spans="1:5">
      <c r="A86" s="36"/>
      <c r="B86" s="76" t="str">
        <f>B17</f>
        <v>General</v>
      </c>
      <c r="C86" s="36"/>
      <c r="D86" s="67">
        <v>19.318000000000001</v>
      </c>
      <c r="E86" s="36"/>
    </row>
    <row r="87" spans="1:5">
      <c r="A87" s="36"/>
      <c r="B87" s="76" t="str">
        <f>B18</f>
        <v>Bond &amp; Interest</v>
      </c>
      <c r="C87" s="36"/>
      <c r="D87" s="67">
        <v>8.5289999999999999</v>
      </c>
      <c r="E87" s="36"/>
    </row>
    <row r="88" spans="1:5">
      <c r="A88" s="36"/>
      <c r="B88" s="76" t="str">
        <f>B19</f>
        <v>Library</v>
      </c>
      <c r="C88" s="36"/>
      <c r="D88" s="67"/>
      <c r="E88" s="36"/>
    </row>
    <row r="89" spans="1:5">
      <c r="A89" s="36"/>
      <c r="B89" s="76" t="str">
        <f>B21</f>
        <v>Industrial</v>
      </c>
      <c r="C89" s="36"/>
      <c r="D89" s="67"/>
      <c r="E89" s="36"/>
    </row>
    <row r="90" spans="1:5">
      <c r="A90" s="36"/>
      <c r="B90" s="76" t="str">
        <f t="shared" ref="B90:B98" si="0">B22</f>
        <v>Employee Benefits</v>
      </c>
      <c r="C90" s="36"/>
      <c r="D90" s="67">
        <v>20.899000000000001</v>
      </c>
      <c r="E90" s="36"/>
    </row>
    <row r="91" spans="1:5">
      <c r="A91" s="36"/>
      <c r="B91" s="76" t="str">
        <f t="shared" si="0"/>
        <v>Public Safety Equipment</v>
      </c>
      <c r="C91" s="36"/>
      <c r="D91" s="67"/>
      <c r="E91" s="36"/>
    </row>
    <row r="92" spans="1:5">
      <c r="A92" s="36"/>
      <c r="B92" s="76" t="str">
        <f t="shared" si="0"/>
        <v>Recreation Employee Benefits</v>
      </c>
      <c r="C92" s="36"/>
      <c r="D92" s="67">
        <v>0.5</v>
      </c>
      <c r="E92" s="36"/>
    </row>
    <row r="93" spans="1:5">
      <c r="A93" s="36"/>
      <c r="B93" s="76">
        <f t="shared" si="0"/>
        <v>0</v>
      </c>
      <c r="C93" s="36"/>
      <c r="D93" s="67"/>
      <c r="E93" s="36"/>
    </row>
    <row r="94" spans="1:5">
      <c r="A94" s="36"/>
      <c r="B94" s="76">
        <f t="shared" si="0"/>
        <v>0</v>
      </c>
      <c r="C94" s="36"/>
      <c r="D94" s="67"/>
      <c r="E94" s="36"/>
    </row>
    <row r="95" spans="1:5">
      <c r="A95" s="36"/>
      <c r="B95" s="76">
        <f t="shared" si="0"/>
        <v>0</v>
      </c>
      <c r="C95" s="36"/>
      <c r="D95" s="67"/>
      <c r="E95" s="36"/>
    </row>
    <row r="96" spans="1:5">
      <c r="A96" s="36"/>
      <c r="B96" s="76">
        <f t="shared" si="0"/>
        <v>0</v>
      </c>
      <c r="C96" s="36"/>
      <c r="D96" s="67"/>
      <c r="E96" s="36"/>
    </row>
    <row r="97" spans="1:5">
      <c r="A97" s="36"/>
      <c r="B97" s="76">
        <f t="shared" si="0"/>
        <v>0</v>
      </c>
      <c r="C97" s="36"/>
      <c r="D97" s="67"/>
      <c r="E97" s="36"/>
    </row>
    <row r="98" spans="1:5">
      <c r="A98" s="36"/>
      <c r="B98" s="76">
        <f t="shared" si="0"/>
        <v>0</v>
      </c>
      <c r="C98" s="36"/>
      <c r="D98" s="67"/>
      <c r="E98" s="36"/>
    </row>
    <row r="99" spans="1:5">
      <c r="A99" s="36"/>
      <c r="B99" s="150" t="str">
        <f>B33</f>
        <v>Recreation</v>
      </c>
      <c r="C99" s="144"/>
      <c r="D99" s="67">
        <v>4</v>
      </c>
      <c r="E99" s="36"/>
    </row>
    <row r="100" spans="1:5">
      <c r="A100" s="59" t="s">
        <v>50</v>
      </c>
      <c r="B100" s="60"/>
      <c r="C100" s="70"/>
      <c r="D100" s="77">
        <f>SUM(D86:D99)</f>
        <v>53.246000000000002</v>
      </c>
      <c r="E100" s="36"/>
    </row>
    <row r="101" spans="1:5">
      <c r="A101" s="36"/>
      <c r="B101" s="36"/>
      <c r="C101" s="36"/>
      <c r="D101" s="36"/>
      <c r="E101" s="36"/>
    </row>
    <row r="102" spans="1:5">
      <c r="A102" s="78" t="str">
        <f>CONCATENATE("Total Tax Levied (",C5-2," budget column)")</f>
        <v>Total Tax Levied (2011 budget column)</v>
      </c>
      <c r="B102" s="79"/>
      <c r="C102" s="60"/>
      <c r="D102" s="70"/>
      <c r="E102" s="56">
        <v>1272920</v>
      </c>
    </row>
    <row r="103" spans="1:5">
      <c r="A103" s="80" t="str">
        <f>CONCATENATE("Assessed Valuation  (",C5-2," budget column)")</f>
        <v>Assessed Valuation  (2011 budget column)</v>
      </c>
      <c r="B103" s="81"/>
      <c r="C103" s="61"/>
      <c r="D103" s="82"/>
      <c r="E103" s="56">
        <v>23905507</v>
      </c>
    </row>
    <row r="104" spans="1:5">
      <c r="A104" s="64"/>
      <c r="B104" s="65"/>
      <c r="C104" s="65"/>
      <c r="D104" s="65"/>
      <c r="E104" s="73"/>
    </row>
    <row r="105" spans="1:5">
      <c r="A105" s="83" t="str">
        <f>CONCATENATE("From the ",C5-1," Budget, Budget Summary Page")</f>
        <v>From the 2012 Budget, Budget Summary Page</v>
      </c>
      <c r="B105" s="84"/>
      <c r="C105" s="36"/>
      <c r="D105" s="85"/>
      <c r="E105" s="86"/>
    </row>
    <row r="106" spans="1:5">
      <c r="A106" s="47" t="s">
        <v>828</v>
      </c>
      <c r="B106" s="47"/>
      <c r="C106" s="87"/>
      <c r="D106" s="88">
        <f>C5-3</f>
        <v>2010</v>
      </c>
      <c r="E106" s="89">
        <f>C5-2</f>
        <v>2011</v>
      </c>
    </row>
    <row r="107" spans="1:5">
      <c r="A107" s="90" t="s">
        <v>243</v>
      </c>
      <c r="B107" s="90"/>
      <c r="C107" s="91"/>
      <c r="D107" s="92">
        <v>6410000</v>
      </c>
      <c r="E107" s="92">
        <v>6121000</v>
      </c>
    </row>
    <row r="108" spans="1:5">
      <c r="A108" s="93" t="s">
        <v>244</v>
      </c>
      <c r="B108" s="93"/>
      <c r="C108" s="94"/>
      <c r="D108" s="92">
        <v>0</v>
      </c>
      <c r="E108" s="92">
        <v>0</v>
      </c>
    </row>
    <row r="109" spans="1:5">
      <c r="A109" s="93" t="s">
        <v>245</v>
      </c>
      <c r="B109" s="93"/>
      <c r="C109" s="94"/>
      <c r="D109" s="92">
        <v>2784476</v>
      </c>
      <c r="E109" s="92">
        <v>2336772</v>
      </c>
    </row>
    <row r="110" spans="1:5">
      <c r="A110" s="93" t="s">
        <v>246</v>
      </c>
      <c r="B110" s="93"/>
      <c r="C110" s="94"/>
      <c r="D110" s="92">
        <v>238970</v>
      </c>
      <c r="E110" s="92">
        <v>192452</v>
      </c>
    </row>
    <row r="111" spans="1:5">
      <c r="A111" s="95"/>
      <c r="B111" s="95"/>
      <c r="C111" s="95"/>
      <c r="D111" s="95"/>
      <c r="E111" s="95"/>
    </row>
    <row r="112" spans="1:5">
      <c r="A112" s="95"/>
      <c r="B112" s="95"/>
      <c r="C112" s="95"/>
      <c r="D112" s="95"/>
      <c r="E112" s="95"/>
    </row>
    <row r="113" spans="1:5">
      <c r="A113" s="95"/>
      <c r="B113" s="95"/>
      <c r="C113" s="95"/>
      <c r="D113" s="95"/>
      <c r="E113" s="95"/>
    </row>
    <row r="114" spans="1:5">
      <c r="A114" s="95"/>
      <c r="B114" s="95"/>
      <c r="C114" s="95"/>
      <c r="D114" s="95"/>
      <c r="E114" s="95"/>
    </row>
    <row r="115" spans="1:5">
      <c r="A115" s="95"/>
      <c r="B115" s="95"/>
      <c r="C115" s="95"/>
      <c r="D115" s="95"/>
      <c r="E115" s="95"/>
    </row>
    <row r="116" spans="1:5">
      <c r="A116" s="95"/>
      <c r="B116" s="95"/>
      <c r="C116" s="95"/>
      <c r="D116" s="95"/>
      <c r="E116" s="95"/>
    </row>
    <row r="117" spans="1:5" s="95" customFormat="1" ht="15"/>
    <row r="118" spans="1:5">
      <c r="A118" s="95"/>
      <c r="B118" s="95"/>
      <c r="C118" s="95"/>
      <c r="D118" s="95"/>
      <c r="E118" s="95"/>
    </row>
    <row r="119" spans="1:5">
      <c r="A119" s="95"/>
      <c r="B119" s="95"/>
      <c r="C119" s="95"/>
      <c r="D119" s="95"/>
      <c r="E119" s="95"/>
    </row>
    <row r="120" spans="1:5">
      <c r="A120" s="95"/>
      <c r="B120" s="95"/>
      <c r="C120" s="95"/>
      <c r="D120" s="95"/>
      <c r="E120" s="95"/>
    </row>
    <row r="121" spans="1:5">
      <c r="A121" s="95"/>
      <c r="B121" s="95"/>
      <c r="C121" s="95"/>
      <c r="D121" s="95"/>
      <c r="E121" s="95"/>
    </row>
    <row r="122" spans="1:5">
      <c r="A122" s="95"/>
      <c r="B122" s="95"/>
      <c r="C122" s="95"/>
      <c r="D122" s="95"/>
      <c r="E122" s="95"/>
    </row>
    <row r="123" spans="1:5">
      <c r="A123" s="95"/>
      <c r="B123" s="95"/>
      <c r="C123" s="95"/>
      <c r="D123" s="95"/>
      <c r="E123" s="95"/>
    </row>
    <row r="124" spans="1:5">
      <c r="A124" s="95"/>
      <c r="B124" s="95"/>
      <c r="C124" s="95"/>
      <c r="D124" s="95"/>
      <c r="E124" s="95"/>
    </row>
    <row r="125" spans="1:5">
      <c r="A125" s="95"/>
      <c r="B125" s="95"/>
      <c r="C125" s="95"/>
      <c r="D125" s="95"/>
      <c r="E125" s="95"/>
    </row>
    <row r="126" spans="1:5">
      <c r="A126" s="95"/>
      <c r="B126" s="95"/>
      <c r="C126" s="95"/>
      <c r="D126" s="95"/>
      <c r="E126" s="95"/>
    </row>
    <row r="127" spans="1:5">
      <c r="A127" s="95"/>
      <c r="B127" s="95"/>
      <c r="C127" s="95"/>
      <c r="D127" s="95"/>
      <c r="E127" s="95"/>
    </row>
    <row r="128" spans="1:5">
      <c r="A128" s="95"/>
      <c r="B128" s="95"/>
      <c r="C128" s="95"/>
      <c r="D128" s="95"/>
      <c r="E128" s="95"/>
    </row>
  </sheetData>
  <sheetProtection sheet="1"/>
  <mergeCells count="3">
    <mergeCell ref="A10:E10"/>
    <mergeCell ref="A1:E1"/>
    <mergeCell ref="G8:H13"/>
  </mergeCells>
  <phoneticPr fontId="0" type="noConversion"/>
  <pageMargins left="0.5" right="0.5" top="1" bottom="0.5" header="0.5" footer="0.25"/>
  <pageSetup scale="69"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0"/>
  <sheetViews>
    <sheetView topLeftCell="C1" zoomScaleNormal="100" workbookViewId="0">
      <selection activeCell="O11" sqref="O11"/>
    </sheetView>
  </sheetViews>
  <sheetFormatPr defaultRowHeight="15.75"/>
  <cols>
    <col min="1" max="1" width="2.44140625" style="34" customWidth="1"/>
    <col min="2" max="2" width="31.109375" style="34" customWidth="1"/>
    <col min="3" max="4" width="15.77734375" style="34" customWidth="1"/>
    <col min="5" max="5" width="16.33203125" style="34" customWidth="1"/>
    <col min="6" max="16384" width="8.88671875" style="34"/>
  </cols>
  <sheetData>
    <row r="1" spans="2:5">
      <c r="B1" s="188" t="str">
        <f>(inputPrYr!D2)</f>
        <v>City of Osawatomie</v>
      </c>
      <c r="C1" s="36"/>
      <c r="D1" s="36"/>
      <c r="E1" s="238">
        <f>inputPrYr!C5</f>
        <v>2013</v>
      </c>
    </row>
    <row r="2" spans="2:5">
      <c r="B2" s="36"/>
      <c r="C2" s="36"/>
      <c r="D2" s="36"/>
      <c r="E2" s="160"/>
    </row>
    <row r="3" spans="2:5">
      <c r="B3" s="239" t="s">
        <v>146</v>
      </c>
      <c r="C3" s="280"/>
      <c r="D3" s="280"/>
      <c r="E3" s="280"/>
    </row>
    <row r="4" spans="2:5">
      <c r="B4" s="41" t="s">
        <v>78</v>
      </c>
      <c r="C4" s="416" t="s">
        <v>770</v>
      </c>
      <c r="D4" s="415" t="s">
        <v>771</v>
      </c>
      <c r="E4" s="392" t="s">
        <v>772</v>
      </c>
    </row>
    <row r="5" spans="2:5">
      <c r="B5" s="542" t="str">
        <f>(inputPrYr!B38)</f>
        <v>Golf Course</v>
      </c>
      <c r="C5" s="417" t="str">
        <f>CONCATENATE("Actual for ",E1-2,"")</f>
        <v>Actual for 2011</v>
      </c>
      <c r="D5" s="417" t="str">
        <f>CONCATENATE("Estimate for ",E1-1,"")</f>
        <v>Estimate for 2012</v>
      </c>
      <c r="E5" s="401" t="str">
        <f>CONCATENATE("Year for ",E1,"")</f>
        <v>Year for 2013</v>
      </c>
    </row>
    <row r="6" spans="2:5">
      <c r="B6" s="244" t="s">
        <v>199</v>
      </c>
      <c r="C6" s="56">
        <v>-33</v>
      </c>
      <c r="D6" s="218">
        <f>C32</f>
        <v>3328.0299999999697</v>
      </c>
      <c r="E6" s="218">
        <f>D32</f>
        <v>12068.654499999975</v>
      </c>
    </row>
    <row r="7" spans="2:5">
      <c r="B7" s="248" t="s">
        <v>201</v>
      </c>
      <c r="C7" s="76"/>
      <c r="D7" s="76"/>
      <c r="E7" s="76"/>
    </row>
    <row r="8" spans="2:5">
      <c r="B8" s="265" t="s">
        <v>1081</v>
      </c>
      <c r="C8" s="56">
        <v>57653.01</v>
      </c>
      <c r="D8" s="56">
        <v>59600</v>
      </c>
      <c r="E8" s="56">
        <v>59600</v>
      </c>
    </row>
    <row r="9" spans="2:5">
      <c r="B9" s="265" t="s">
        <v>1082</v>
      </c>
      <c r="C9" s="56">
        <v>83137.850000000006</v>
      </c>
      <c r="D9" s="56">
        <v>76100</v>
      </c>
      <c r="E9" s="56">
        <v>78383</v>
      </c>
    </row>
    <row r="10" spans="2:5">
      <c r="B10" s="265" t="s">
        <v>1083</v>
      </c>
      <c r="C10" s="56">
        <v>36408.839999999997</v>
      </c>
      <c r="D10" s="56">
        <v>39700</v>
      </c>
      <c r="E10" s="56">
        <v>39700</v>
      </c>
    </row>
    <row r="11" spans="2:5">
      <c r="B11" s="265" t="s">
        <v>1084</v>
      </c>
      <c r="C11" s="56">
        <v>37558.42</v>
      </c>
      <c r="D11" s="56">
        <v>37000</v>
      </c>
      <c r="E11" s="56">
        <v>37000</v>
      </c>
    </row>
    <row r="12" spans="2:5">
      <c r="B12" s="265" t="s">
        <v>838</v>
      </c>
      <c r="C12" s="56">
        <v>2683.61</v>
      </c>
      <c r="D12" s="56">
        <v>2500</v>
      </c>
      <c r="E12" s="56">
        <v>2500</v>
      </c>
    </row>
    <row r="13" spans="2:5">
      <c r="B13" s="265" t="s">
        <v>1057</v>
      </c>
      <c r="C13" s="56">
        <v>65000</v>
      </c>
      <c r="D13" s="56">
        <v>45000</v>
      </c>
      <c r="E13" s="56">
        <v>30000</v>
      </c>
    </row>
    <row r="14" spans="2:5" hidden="1">
      <c r="B14" s="253" t="s">
        <v>86</v>
      </c>
      <c r="C14" s="56"/>
      <c r="D14" s="56"/>
      <c r="E14" s="56"/>
    </row>
    <row r="15" spans="2:5" hidden="1">
      <c r="B15" s="150" t="s">
        <v>838</v>
      </c>
      <c r="C15" s="56"/>
      <c r="D15" s="250"/>
      <c r="E15" s="250"/>
    </row>
    <row r="16" spans="2:5" hidden="1">
      <c r="B16" s="244" t="s">
        <v>746</v>
      </c>
      <c r="C16" s="291" t="str">
        <f>IF(C17*0.1&lt;C15,"Exceed 10% Rule","")</f>
        <v/>
      </c>
      <c r="D16" s="255" t="str">
        <f>IF(D17*0.1&lt;D15,"Exceed 10% Rule","")</f>
        <v/>
      </c>
      <c r="E16" s="255" t="str">
        <f>IF(E17*0.1&lt;E15,"Exceed 10% Rule","")</f>
        <v/>
      </c>
    </row>
    <row r="17" spans="2:5">
      <c r="B17" s="256" t="s">
        <v>87</v>
      </c>
      <c r="C17" s="259">
        <f>SUM(C8:C15)</f>
        <v>282441.73</v>
      </c>
      <c r="D17" s="259">
        <f>SUM(D8:D15)</f>
        <v>259900</v>
      </c>
      <c r="E17" s="259">
        <f>SUM(E8:E15)</f>
        <v>247183</v>
      </c>
    </row>
    <row r="18" spans="2:5">
      <c r="B18" s="256" t="s">
        <v>88</v>
      </c>
      <c r="C18" s="259">
        <f>C6+C17</f>
        <v>282408.73</v>
      </c>
      <c r="D18" s="259">
        <f>D6+D17</f>
        <v>263228.02999999997</v>
      </c>
      <c r="E18" s="259">
        <f>E6+E17</f>
        <v>259251.65449999998</v>
      </c>
    </row>
    <row r="19" spans="2:5">
      <c r="B19" s="141" t="s">
        <v>90</v>
      </c>
      <c r="C19" s="218"/>
      <c r="D19" s="218"/>
      <c r="E19" s="218"/>
    </row>
    <row r="20" spans="2:5">
      <c r="B20" s="265" t="s">
        <v>248</v>
      </c>
      <c r="C20" s="56">
        <v>140264.04</v>
      </c>
      <c r="D20" s="56">
        <v>121143.59999999999</v>
      </c>
      <c r="E20" s="56">
        <v>127348.40000000001</v>
      </c>
    </row>
    <row r="21" spans="2:5">
      <c r="B21" s="265" t="s">
        <v>1085</v>
      </c>
      <c r="C21" s="56">
        <v>15649.31</v>
      </c>
      <c r="D21" s="56">
        <v>16431.7755</v>
      </c>
      <c r="E21" s="56">
        <v>17253.364275</v>
      </c>
    </row>
    <row r="22" spans="2:5">
      <c r="B22" s="265" t="s">
        <v>1086</v>
      </c>
      <c r="C22" s="56">
        <v>5068.22</v>
      </c>
      <c r="D22" s="56">
        <v>5250</v>
      </c>
      <c r="E22" s="56">
        <v>5250</v>
      </c>
    </row>
    <row r="23" spans="2:5">
      <c r="B23" s="265" t="s">
        <v>1087</v>
      </c>
      <c r="C23" s="56">
        <v>14583.449999999999</v>
      </c>
      <c r="D23" s="56">
        <v>17000</v>
      </c>
      <c r="E23" s="56">
        <v>17510</v>
      </c>
    </row>
    <row r="24" spans="2:5">
      <c r="B24" s="265" t="s">
        <v>1088</v>
      </c>
      <c r="C24" s="56">
        <v>13308.19</v>
      </c>
      <c r="D24" s="56">
        <v>9500</v>
      </c>
      <c r="E24" s="56">
        <v>9785</v>
      </c>
    </row>
    <row r="25" spans="2:5">
      <c r="B25" s="265" t="s">
        <v>1084</v>
      </c>
      <c r="C25" s="56">
        <v>21025.350000000002</v>
      </c>
      <c r="D25" s="56">
        <v>20000</v>
      </c>
      <c r="E25" s="56">
        <v>20000</v>
      </c>
    </row>
    <row r="26" spans="2:5">
      <c r="B26" s="265" t="s">
        <v>1089</v>
      </c>
      <c r="C26" s="56">
        <v>2817.41</v>
      </c>
      <c r="D26" s="56">
        <v>4000</v>
      </c>
      <c r="E26" s="56">
        <v>4000</v>
      </c>
    </row>
    <row r="27" spans="2:5">
      <c r="B27" s="265" t="s">
        <v>19</v>
      </c>
      <c r="C27" s="56">
        <v>45831.7</v>
      </c>
      <c r="D27" s="56">
        <v>30584</v>
      </c>
      <c r="E27" s="56">
        <v>19693</v>
      </c>
    </row>
    <row r="28" spans="2:5">
      <c r="B28" s="265" t="s">
        <v>1090</v>
      </c>
      <c r="C28" s="56">
        <v>20533.02999999997</v>
      </c>
      <c r="D28" s="56">
        <v>27250</v>
      </c>
      <c r="E28" s="56">
        <v>28250</v>
      </c>
    </row>
    <row r="29" spans="2:5" hidden="1">
      <c r="B29" s="266" t="s">
        <v>838</v>
      </c>
      <c r="C29" s="56"/>
      <c r="D29" s="250"/>
      <c r="E29" s="250"/>
    </row>
    <row r="30" spans="2:5" hidden="1">
      <c r="B30" s="266" t="s">
        <v>747</v>
      </c>
      <c r="C30" s="291" t="str">
        <f>IF(C31*0.1&lt;C29,"Exceed 10% Rule","")</f>
        <v/>
      </c>
      <c r="D30" s="255" t="str">
        <f>IF(D31*0.1&lt;D29,"Exceed 10% Rule","")</f>
        <v/>
      </c>
      <c r="E30" s="255" t="str">
        <f>IF(E31*0.1&lt;E29,"Exceed 10% Rule","")</f>
        <v/>
      </c>
    </row>
    <row r="31" spans="2:5">
      <c r="B31" s="256" t="s">
        <v>94</v>
      </c>
      <c r="C31" s="259">
        <f>SUM(C20:C29)</f>
        <v>279080.7</v>
      </c>
      <c r="D31" s="259">
        <f>SUM(D20:D29)</f>
        <v>251159.37549999999</v>
      </c>
      <c r="E31" s="259">
        <f>SUM(E20:E29)</f>
        <v>249089.76427500002</v>
      </c>
    </row>
    <row r="32" spans="2:5">
      <c r="B32" s="141" t="s">
        <v>200</v>
      </c>
      <c r="C32" s="71">
        <f>C18-C31</f>
        <v>3328.0299999999697</v>
      </c>
      <c r="D32" s="71">
        <f>D18-D31</f>
        <v>12068.654499999975</v>
      </c>
      <c r="E32" s="71">
        <f>E18-E31</f>
        <v>10161.890224999952</v>
      </c>
    </row>
    <row r="33" spans="2:5">
      <c r="B33" s="127" t="str">
        <f>CONCATENATE("",E1-2,"/",E1-1," Budget Authority Amount:")</f>
        <v>2011/2012 Budget Authority Amount:</v>
      </c>
      <c r="C33" s="231">
        <f>inputOth!B79</f>
        <v>313307</v>
      </c>
      <c r="D33" s="231">
        <f>inputPrYr!D38</f>
        <v>282892</v>
      </c>
      <c r="E33" s="371" t="str">
        <f>IF(E32&lt;0,"See Tab E","")</f>
        <v/>
      </c>
    </row>
    <row r="34" spans="2:5">
      <c r="B34" s="127"/>
      <c r="C34" s="269" t="str">
        <f>IF(C31&gt;C33,"See Tab A","")</f>
        <v/>
      </c>
      <c r="D34" s="269" t="str">
        <f>IF(D31&gt;D33,"See Tab C","")</f>
        <v/>
      </c>
      <c r="E34" s="86"/>
    </row>
    <row r="35" spans="2:5">
      <c r="B35" s="127"/>
      <c r="C35" s="269" t="str">
        <f>IF(C32&lt;0,"See Tab B","")</f>
        <v/>
      </c>
      <c r="D35" s="269" t="str">
        <f>IF(D32&lt;0,"See Tab D","")</f>
        <v/>
      </c>
      <c r="E35" s="86"/>
    </row>
    <row r="36" spans="2:5">
      <c r="B36" s="36"/>
      <c r="C36" s="86"/>
      <c r="D36" s="86"/>
      <c r="E36" s="86"/>
    </row>
    <row r="37" spans="2:5">
      <c r="B37" s="41"/>
      <c r="C37" s="286"/>
      <c r="D37" s="286"/>
      <c r="E37" s="286"/>
    </row>
    <row r="38" spans="2:5">
      <c r="B38" s="41" t="s">
        <v>78</v>
      </c>
      <c r="C38" s="271" t="s">
        <v>770</v>
      </c>
      <c r="D38" s="135" t="s">
        <v>771</v>
      </c>
      <c r="E38" s="135" t="s">
        <v>772</v>
      </c>
    </row>
    <row r="39" spans="2:5">
      <c r="B39" s="542" t="str">
        <f>(inputPrYr!B39)</f>
        <v>Special Revenue (911)</v>
      </c>
      <c r="C39" s="243" t="str">
        <f>C5</f>
        <v>Actual for 2011</v>
      </c>
      <c r="D39" s="243" t="str">
        <f>D5</f>
        <v>Estimate for 2012</v>
      </c>
      <c r="E39" s="243" t="str">
        <f>E5</f>
        <v>Year for 2013</v>
      </c>
    </row>
    <row r="40" spans="2:5">
      <c r="B40" s="244" t="s">
        <v>199</v>
      </c>
      <c r="C40" s="56">
        <v>9897</v>
      </c>
      <c r="D40" s="218">
        <f>C55</f>
        <v>9897</v>
      </c>
      <c r="E40" s="218">
        <f>D55</f>
        <v>9897</v>
      </c>
    </row>
    <row r="41" spans="2:5">
      <c r="B41" s="248" t="s">
        <v>201</v>
      </c>
      <c r="C41" s="76"/>
      <c r="D41" s="76"/>
      <c r="E41" s="76"/>
    </row>
    <row r="42" spans="2:5">
      <c r="B42" s="265"/>
      <c r="C42" s="56"/>
      <c r="D42" s="56"/>
      <c r="E42" s="56"/>
    </row>
    <row r="43" spans="2:5">
      <c r="B43" s="265"/>
      <c r="C43" s="56"/>
      <c r="D43" s="56"/>
      <c r="E43" s="56"/>
    </row>
    <row r="44" spans="2:5" hidden="1">
      <c r="B44" s="253" t="s">
        <v>86</v>
      </c>
      <c r="C44" s="56"/>
      <c r="D44" s="56"/>
      <c r="E44" s="56"/>
    </row>
    <row r="45" spans="2:5" hidden="1">
      <c r="B45" s="150" t="s">
        <v>838</v>
      </c>
      <c r="C45" s="56"/>
      <c r="D45" s="250"/>
      <c r="E45" s="250"/>
    </row>
    <row r="46" spans="2:5" hidden="1">
      <c r="B46" s="244" t="s">
        <v>746</v>
      </c>
      <c r="C46" s="291" t="str">
        <f>IF(C47*0.1&lt;C45,"Exceed 10% Rule","")</f>
        <v/>
      </c>
      <c r="D46" s="255" t="str">
        <f>IF(D47*0.1&lt;D45,"Exceed 10% Rule","")</f>
        <v/>
      </c>
      <c r="E46" s="255" t="str">
        <f>IF(E47*0.1&lt;E45,"Exceed 10% Rule","")</f>
        <v/>
      </c>
    </row>
    <row r="47" spans="2:5">
      <c r="B47" s="256" t="s">
        <v>87</v>
      </c>
      <c r="C47" s="259">
        <f>SUM(C42:C45)</f>
        <v>0</v>
      </c>
      <c r="D47" s="259">
        <f>SUM(D42:D45)</f>
        <v>0</v>
      </c>
      <c r="E47" s="259">
        <f>SUM(E42:E45)</f>
        <v>0</v>
      </c>
    </row>
    <row r="48" spans="2:5">
      <c r="B48" s="256" t="s">
        <v>88</v>
      </c>
      <c r="C48" s="259">
        <f>C40+C47</f>
        <v>9897</v>
      </c>
      <c r="D48" s="259">
        <f>D40+D47</f>
        <v>9897</v>
      </c>
      <c r="E48" s="259">
        <f>E40+E47</f>
        <v>9897</v>
      </c>
    </row>
    <row r="49" spans="2:5">
      <c r="B49" s="141" t="s">
        <v>90</v>
      </c>
      <c r="C49" s="218"/>
      <c r="D49" s="218"/>
      <c r="E49" s="218"/>
    </row>
    <row r="50" spans="2:5">
      <c r="B50" s="265" t="s">
        <v>1091</v>
      </c>
      <c r="C50" s="56"/>
      <c r="D50" s="56"/>
      <c r="E50" s="56">
        <v>9897</v>
      </c>
    </row>
    <row r="51" spans="2:5">
      <c r="B51" s="265"/>
      <c r="C51" s="56"/>
      <c r="D51" s="56"/>
      <c r="E51" s="56"/>
    </row>
    <row r="52" spans="2:5" hidden="1">
      <c r="B52" s="266" t="s">
        <v>838</v>
      </c>
      <c r="C52" s="56"/>
      <c r="D52" s="250"/>
      <c r="E52" s="250"/>
    </row>
    <row r="53" spans="2:5" hidden="1">
      <c r="B53" s="266" t="s">
        <v>747</v>
      </c>
      <c r="C53" s="291" t="str">
        <f>IF(C54*0.1&lt;C52,"Exceed 10% Rule","")</f>
        <v/>
      </c>
      <c r="D53" s="255" t="str">
        <f>IF(D54*0.1&lt;D52,"Exceed 10% Rule","")</f>
        <v/>
      </c>
      <c r="E53" s="255" t="str">
        <f>IF(E54*0.1&lt;E52,"Exceed 10% Rule","")</f>
        <v/>
      </c>
    </row>
    <row r="54" spans="2:5">
      <c r="B54" s="256" t="s">
        <v>94</v>
      </c>
      <c r="C54" s="259">
        <f>SUM(C50:C52)</f>
        <v>0</v>
      </c>
      <c r="D54" s="259">
        <f>SUM(D50:D52)</f>
        <v>0</v>
      </c>
      <c r="E54" s="259">
        <f>SUM(E50:E52)</f>
        <v>9897</v>
      </c>
    </row>
    <row r="55" spans="2:5">
      <c r="B55" s="141" t="s">
        <v>200</v>
      </c>
      <c r="C55" s="71">
        <f>C48-C54</f>
        <v>9897</v>
      </c>
      <c r="D55" s="71">
        <f>D48-D54</f>
        <v>9897</v>
      </c>
      <c r="E55" s="71">
        <f>E48-E54</f>
        <v>0</v>
      </c>
    </row>
    <row r="56" spans="2:5">
      <c r="B56" s="127" t="str">
        <f>CONCATENATE("",E1-2,"/",E1-1," Budget Authority Amount:")</f>
        <v>2011/2012 Budget Authority Amount:</v>
      </c>
      <c r="C56" s="231">
        <f>inputOth!B80</f>
        <v>11979</v>
      </c>
      <c r="D56" s="231">
        <f>inputPrYr!D39</f>
        <v>9897</v>
      </c>
      <c r="E56" s="371" t="str">
        <f>IF(E55&lt;0,"See Tab E","")</f>
        <v/>
      </c>
    </row>
    <row r="57" spans="2:5">
      <c r="B57" s="127"/>
      <c r="C57" s="269" t="str">
        <f>IF(C54&gt;C56,"See Tab A","")</f>
        <v/>
      </c>
      <c r="D57" s="269" t="str">
        <f>IF(D54&gt;D56,"See Tab C","")</f>
        <v/>
      </c>
      <c r="E57" s="36"/>
    </row>
    <row r="58" spans="2:5">
      <c r="B58" s="127"/>
      <c r="C58" s="269" t="str">
        <f>IF(C55&lt;0,"See Tab B","")</f>
        <v/>
      </c>
      <c r="D58" s="269" t="str">
        <f>IF(D55&lt;0,"See Tab D","")</f>
        <v/>
      </c>
      <c r="E58" s="36"/>
    </row>
    <row r="59" spans="2:5">
      <c r="B59" s="36"/>
      <c r="C59" s="36"/>
      <c r="D59" s="36"/>
      <c r="E59" s="36"/>
    </row>
    <row r="60" spans="2:5">
      <c r="B60" s="160" t="s">
        <v>97</v>
      </c>
      <c r="C60" s="273">
        <v>13</v>
      </c>
      <c r="D60" s="36"/>
      <c r="E60" s="36"/>
    </row>
  </sheetData>
  <phoneticPr fontId="0" type="noConversion"/>
  <conditionalFormatting sqref="C15">
    <cfRule type="cellIs" dxfId="226" priority="3" stopIfTrue="1" operator="greaterThan">
      <formula>$C$17*0.1</formula>
    </cfRule>
  </conditionalFormatting>
  <conditionalFormatting sqref="D15">
    <cfRule type="cellIs" dxfId="225" priority="4" stopIfTrue="1" operator="greaterThan">
      <formula>$D$17*0.1</formula>
    </cfRule>
  </conditionalFormatting>
  <conditionalFormatting sqref="E15">
    <cfRule type="cellIs" dxfId="224" priority="5" stopIfTrue="1" operator="greaterThan">
      <formula>$E$17*0.1</formula>
    </cfRule>
  </conditionalFormatting>
  <conditionalFormatting sqref="C29">
    <cfRule type="cellIs" dxfId="223" priority="6" stopIfTrue="1" operator="greaterThan">
      <formula>$C$31*0.1</formula>
    </cfRule>
  </conditionalFormatting>
  <conditionalFormatting sqref="D29">
    <cfRule type="cellIs" dxfId="222" priority="7" stopIfTrue="1" operator="greaterThan">
      <formula>$D$31*0.1</formula>
    </cfRule>
  </conditionalFormatting>
  <conditionalFormatting sqref="E29">
    <cfRule type="cellIs" dxfId="221" priority="8" stopIfTrue="1" operator="greaterThan">
      <formula>$E$31*0.1</formula>
    </cfRule>
  </conditionalFormatting>
  <conditionalFormatting sqref="C45">
    <cfRule type="cellIs" dxfId="220" priority="9" stopIfTrue="1" operator="greaterThan">
      <formula>$C$47*0.1</formula>
    </cfRule>
  </conditionalFormatting>
  <conditionalFormatting sqref="D45">
    <cfRule type="cellIs" dxfId="219" priority="10" stopIfTrue="1" operator="greaterThan">
      <formula>$D$47*0.1</formula>
    </cfRule>
  </conditionalFormatting>
  <conditionalFormatting sqref="E45">
    <cfRule type="cellIs" dxfId="218" priority="11" stopIfTrue="1" operator="greaterThan">
      <formula>$E$47*0.1</formula>
    </cfRule>
  </conditionalFormatting>
  <conditionalFormatting sqref="C52">
    <cfRule type="cellIs" dxfId="217" priority="12" stopIfTrue="1" operator="greaterThan">
      <formula>$C$54*0.1</formula>
    </cfRule>
  </conditionalFormatting>
  <conditionalFormatting sqref="D52">
    <cfRule type="cellIs" dxfId="216" priority="13" stopIfTrue="1" operator="greaterThan">
      <formula>$D$54*0.1</formula>
    </cfRule>
  </conditionalFormatting>
  <conditionalFormatting sqref="E52">
    <cfRule type="cellIs" dxfId="215" priority="14" stopIfTrue="1" operator="greaterThan">
      <formula>$E$54*0.1</formula>
    </cfRule>
  </conditionalFormatting>
  <conditionalFormatting sqref="D54">
    <cfRule type="cellIs" dxfId="214" priority="15" stopIfTrue="1" operator="greaterThan">
      <formula>$D$56</formula>
    </cfRule>
  </conditionalFormatting>
  <conditionalFormatting sqref="C54">
    <cfRule type="cellIs" dxfId="213" priority="16" stopIfTrue="1" operator="greaterThan">
      <formula>$C$56</formula>
    </cfRule>
  </conditionalFormatting>
  <conditionalFormatting sqref="C55 E55 C32 E32">
    <cfRule type="cellIs" dxfId="212" priority="17" stopIfTrue="1" operator="lessThan">
      <formula>0</formula>
    </cfRule>
  </conditionalFormatting>
  <conditionalFormatting sqref="D31">
    <cfRule type="cellIs" dxfId="211" priority="18" stopIfTrue="1" operator="greaterThan">
      <formula>$D$33</formula>
    </cfRule>
  </conditionalFormatting>
  <conditionalFormatting sqref="C31">
    <cfRule type="cellIs" dxfId="210" priority="19" stopIfTrue="1" operator="greaterThan">
      <formula>$C$33</formula>
    </cfRule>
  </conditionalFormatting>
  <conditionalFormatting sqref="D55">
    <cfRule type="cellIs" dxfId="209" priority="2" stopIfTrue="1" operator="lessThan">
      <formula>0</formula>
    </cfRule>
  </conditionalFormatting>
  <conditionalFormatting sqref="D32">
    <cfRule type="cellIs" dxfId="208" priority="1" stopIfTrue="1" operator="lessThan">
      <formula>0</formula>
    </cfRule>
  </conditionalFormatting>
  <printOptions horizontalCentered="1"/>
  <pageMargins left="0.5" right="0.5" top="0.5" bottom="0.5" header="0.3" footer="0.3"/>
  <pageSetup scale="93" orientation="portrait" blackAndWhite="1" horizontalDpi="120" verticalDpi="144"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topLeftCell="C1" zoomScaleNormal="100" workbookViewId="0">
      <selection activeCell="O11" sqref="O11"/>
    </sheetView>
  </sheetViews>
  <sheetFormatPr defaultRowHeight="15.75"/>
  <cols>
    <col min="1" max="1" width="2.44140625" style="34" customWidth="1"/>
    <col min="2" max="2" width="31.109375" style="34" customWidth="1"/>
    <col min="3" max="4" width="15.77734375" style="34" customWidth="1"/>
    <col min="5" max="5" width="16.109375" style="34" customWidth="1"/>
    <col min="6" max="16384" width="8.88671875" style="34"/>
  </cols>
  <sheetData>
    <row r="1" spans="2:5">
      <c r="B1" s="188" t="str">
        <f>(inputPrYr!D2)</f>
        <v>City of Osawatomie</v>
      </c>
      <c r="C1" s="36"/>
      <c r="D1" s="36"/>
      <c r="E1" s="238">
        <f>inputPrYr!C5</f>
        <v>2013</v>
      </c>
    </row>
    <row r="2" spans="2:5">
      <c r="B2" s="36"/>
      <c r="C2" s="36"/>
      <c r="D2" s="36"/>
      <c r="E2" s="160"/>
    </row>
    <row r="3" spans="2:5">
      <c r="B3" s="239" t="s">
        <v>146</v>
      </c>
      <c r="C3" s="280"/>
      <c r="D3" s="280"/>
      <c r="E3" s="280"/>
    </row>
    <row r="4" spans="2:5">
      <c r="B4" s="41" t="s">
        <v>78</v>
      </c>
      <c r="C4" s="416" t="s">
        <v>770</v>
      </c>
      <c r="D4" s="415" t="s">
        <v>771</v>
      </c>
      <c r="E4" s="392" t="s">
        <v>772</v>
      </c>
    </row>
    <row r="5" spans="2:5">
      <c r="B5" s="542" t="str">
        <f>(inputPrYr!B40)</f>
        <v>Tourism</v>
      </c>
      <c r="C5" s="417" t="str">
        <f>CONCATENATE("Actual for ",E1-2,"")</f>
        <v>Actual for 2011</v>
      </c>
      <c r="D5" s="417" t="str">
        <f>CONCATENATE("Estimate for ",E1-1,"")</f>
        <v>Estimate for 2012</v>
      </c>
      <c r="E5" s="401" t="str">
        <f>CONCATENATE("Year for ",E1,"")</f>
        <v>Year for 2013</v>
      </c>
    </row>
    <row r="6" spans="2:5">
      <c r="B6" s="244" t="s">
        <v>199</v>
      </c>
      <c r="C6" s="56">
        <v>6225.25</v>
      </c>
      <c r="D6" s="218">
        <f>C36</f>
        <v>3722.5299999999952</v>
      </c>
      <c r="E6" s="218">
        <f>D36</f>
        <v>7932.5299999999988</v>
      </c>
    </row>
    <row r="7" spans="2:5">
      <c r="B7" s="248" t="s">
        <v>201</v>
      </c>
      <c r="C7" s="76"/>
      <c r="D7" s="76"/>
      <c r="E7" s="76"/>
    </row>
    <row r="8" spans="2:5">
      <c r="B8" s="265" t="s">
        <v>1068</v>
      </c>
      <c r="C8" s="56">
        <v>4509.6399999999994</v>
      </c>
      <c r="D8" s="56">
        <v>5000</v>
      </c>
      <c r="E8" s="56">
        <v>5000</v>
      </c>
    </row>
    <row r="9" spans="2:5">
      <c r="B9" s="265" t="s">
        <v>1069</v>
      </c>
      <c r="C9" s="56">
        <v>250</v>
      </c>
      <c r="D9" s="56">
        <v>150</v>
      </c>
      <c r="E9" s="56">
        <v>150</v>
      </c>
    </row>
    <row r="10" spans="2:5">
      <c r="B10" s="265" t="s">
        <v>1007</v>
      </c>
      <c r="C10" s="56">
        <v>63.18</v>
      </c>
      <c r="D10" s="56">
        <v>0</v>
      </c>
      <c r="E10" s="56">
        <v>0</v>
      </c>
    </row>
    <row r="11" spans="2:5">
      <c r="B11" s="265" t="s">
        <v>1070</v>
      </c>
      <c r="C11" s="56"/>
      <c r="D11" s="56">
        <v>12000</v>
      </c>
      <c r="E11" s="56">
        <v>12000</v>
      </c>
    </row>
    <row r="12" spans="2:5">
      <c r="B12" s="265" t="s">
        <v>1071</v>
      </c>
      <c r="C12" s="56">
        <v>0</v>
      </c>
      <c r="D12" s="56">
        <v>110</v>
      </c>
      <c r="E12" s="56">
        <v>0</v>
      </c>
    </row>
    <row r="13" spans="2:5">
      <c r="B13" s="265" t="s">
        <v>1072</v>
      </c>
      <c r="C13" s="56">
        <v>2123.94</v>
      </c>
      <c r="D13" s="56">
        <v>500</v>
      </c>
      <c r="E13" s="56">
        <v>500</v>
      </c>
    </row>
    <row r="14" spans="2:5">
      <c r="B14" s="265" t="s">
        <v>1073</v>
      </c>
      <c r="C14" s="56">
        <v>220.5</v>
      </c>
      <c r="D14" s="56">
        <v>200</v>
      </c>
      <c r="E14" s="56">
        <v>200</v>
      </c>
    </row>
    <row r="15" spans="2:5">
      <c r="B15" s="265" t="s">
        <v>1044</v>
      </c>
      <c r="C15" s="56">
        <v>7821.52</v>
      </c>
      <c r="D15" s="56">
        <v>4000</v>
      </c>
      <c r="E15" s="56">
        <v>4000</v>
      </c>
    </row>
    <row r="16" spans="2:5">
      <c r="B16" s="265" t="s">
        <v>1074</v>
      </c>
      <c r="C16" s="56">
        <v>39</v>
      </c>
      <c r="D16" s="56">
        <v>500</v>
      </c>
      <c r="E16" s="56">
        <v>500</v>
      </c>
    </row>
    <row r="17" spans="2:5">
      <c r="B17" s="265" t="s">
        <v>1075</v>
      </c>
      <c r="C17" s="56"/>
      <c r="D17" s="56">
        <v>28000</v>
      </c>
      <c r="E17" s="56">
        <v>30000</v>
      </c>
    </row>
    <row r="18" spans="2:5" ht="15.6" hidden="1" customHeight="1">
      <c r="B18" s="253" t="s">
        <v>86</v>
      </c>
      <c r="C18" s="56"/>
      <c r="D18" s="56"/>
      <c r="E18" s="56"/>
    </row>
    <row r="19" spans="2:5" ht="15.6" hidden="1" customHeight="1">
      <c r="B19" s="150" t="s">
        <v>838</v>
      </c>
      <c r="C19" s="56"/>
      <c r="D19" s="250"/>
      <c r="E19" s="250"/>
    </row>
    <row r="20" spans="2:5" ht="15.6" hidden="1" customHeight="1">
      <c r="B20" s="244" t="s">
        <v>746</v>
      </c>
      <c r="C20" s="291" t="str">
        <f>IF(C21*0.1&lt;C19,"Exceed 10% Rule","")</f>
        <v/>
      </c>
      <c r="D20" s="255" t="str">
        <f>IF(D21*0.1&lt;D19,"Exceed 10% Rule","")</f>
        <v/>
      </c>
      <c r="E20" s="255" t="str">
        <f>IF(E21*0.1&lt;E19,"Exceed 10% Rule","")</f>
        <v/>
      </c>
    </row>
    <row r="21" spans="2:5">
      <c r="B21" s="256" t="s">
        <v>87</v>
      </c>
      <c r="C21" s="259">
        <f>SUM(C8:C19)</f>
        <v>15027.78</v>
      </c>
      <c r="D21" s="259">
        <f>SUM(D8:D19)</f>
        <v>50460</v>
      </c>
      <c r="E21" s="259">
        <f>SUM(E8:E19)</f>
        <v>52350</v>
      </c>
    </row>
    <row r="22" spans="2:5">
      <c r="B22" s="256" t="s">
        <v>88</v>
      </c>
      <c r="C22" s="259">
        <f>C6+C21</f>
        <v>21253.03</v>
      </c>
      <c r="D22" s="259">
        <f>D6+D21</f>
        <v>54182.53</v>
      </c>
      <c r="E22" s="259">
        <f>E6+E21</f>
        <v>60282.53</v>
      </c>
    </row>
    <row r="23" spans="2:5">
      <c r="B23" s="141" t="s">
        <v>90</v>
      </c>
      <c r="C23" s="218"/>
      <c r="D23" s="218"/>
      <c r="E23" s="218"/>
    </row>
    <row r="24" spans="2:5">
      <c r="B24" s="265" t="s">
        <v>1152</v>
      </c>
      <c r="C24" s="56">
        <v>160</v>
      </c>
      <c r="D24" s="56">
        <v>150</v>
      </c>
      <c r="E24" s="56">
        <v>150</v>
      </c>
    </row>
    <row r="25" spans="2:5">
      <c r="B25" s="265" t="s">
        <v>1153</v>
      </c>
      <c r="C25" s="56">
        <v>2478.36</v>
      </c>
      <c r="D25" s="56">
        <v>1500</v>
      </c>
      <c r="E25" s="56">
        <v>1500</v>
      </c>
    </row>
    <row r="26" spans="2:5">
      <c r="B26" s="265" t="s">
        <v>1154</v>
      </c>
      <c r="C26" s="56">
        <v>150</v>
      </c>
      <c r="D26" s="56">
        <v>200</v>
      </c>
      <c r="E26" s="56">
        <v>200</v>
      </c>
    </row>
    <row r="27" spans="2:5">
      <c r="B27" s="265" t="s">
        <v>1155</v>
      </c>
      <c r="C27" s="56">
        <v>3820.5</v>
      </c>
      <c r="D27" s="56">
        <v>2000</v>
      </c>
      <c r="E27" s="56">
        <v>2000</v>
      </c>
    </row>
    <row r="28" spans="2:5">
      <c r="B28" s="265" t="s">
        <v>1156</v>
      </c>
      <c r="C28" s="56">
        <v>5314.31</v>
      </c>
      <c r="D28" s="56">
        <v>4000</v>
      </c>
      <c r="E28" s="56">
        <v>4000</v>
      </c>
    </row>
    <row r="29" spans="2:5">
      <c r="B29" s="265" t="s">
        <v>1079</v>
      </c>
      <c r="C29" s="56">
        <v>220.28</v>
      </c>
      <c r="D29" s="56">
        <v>400</v>
      </c>
      <c r="E29" s="56">
        <v>400</v>
      </c>
    </row>
    <row r="30" spans="2:5">
      <c r="B30" s="265" t="s">
        <v>1053</v>
      </c>
      <c r="C30" s="56">
        <v>3165.4900000000002</v>
      </c>
      <c r="D30" s="56">
        <v>3000</v>
      </c>
      <c r="E30" s="56">
        <v>3000</v>
      </c>
    </row>
    <row r="31" spans="2:5">
      <c r="B31" s="265" t="s">
        <v>1076</v>
      </c>
      <c r="C31" s="56"/>
      <c r="D31" s="56">
        <v>35000</v>
      </c>
      <c r="E31" s="56">
        <v>35000</v>
      </c>
    </row>
    <row r="32" spans="2:5">
      <c r="B32" s="265" t="s">
        <v>986</v>
      </c>
      <c r="C32" s="56">
        <v>2221.56</v>
      </c>
      <c r="D32" s="56"/>
      <c r="E32" s="56"/>
    </row>
    <row r="33" spans="2:5" ht="15.6" hidden="1" customHeight="1">
      <c r="B33" s="266" t="s">
        <v>838</v>
      </c>
      <c r="C33" s="56"/>
      <c r="D33" s="250"/>
      <c r="E33" s="250"/>
    </row>
    <row r="34" spans="2:5" ht="15.6" hidden="1" customHeight="1">
      <c r="B34" s="266" t="s">
        <v>747</v>
      </c>
      <c r="C34" s="291" t="str">
        <f>IF(C35*0.1&lt;C33,"Exceed 10% Rule","")</f>
        <v/>
      </c>
      <c r="D34" s="255" t="str">
        <f>IF(D35*0.1&lt;D33,"Exceed 10% Rule","")</f>
        <v/>
      </c>
      <c r="E34" s="255" t="str">
        <f>IF(E35*0.1&lt;E33,"Exceed 10% Rule","")</f>
        <v/>
      </c>
    </row>
    <row r="35" spans="2:5">
      <c r="B35" s="256" t="s">
        <v>94</v>
      </c>
      <c r="C35" s="259">
        <f>SUM(C24:C33)</f>
        <v>17530.500000000004</v>
      </c>
      <c r="D35" s="259">
        <f>SUM(D24:D33)</f>
        <v>46250</v>
      </c>
      <c r="E35" s="259">
        <f>SUM(E24:E33)</f>
        <v>46250</v>
      </c>
    </row>
    <row r="36" spans="2:5">
      <c r="B36" s="141" t="s">
        <v>200</v>
      </c>
      <c r="C36" s="71">
        <f>C22-C35</f>
        <v>3722.5299999999952</v>
      </c>
      <c r="D36" s="71">
        <f>D22-D35</f>
        <v>7932.5299999999988</v>
      </c>
      <c r="E36" s="71">
        <f>E22-E35</f>
        <v>14032.529999999999</v>
      </c>
    </row>
    <row r="37" spans="2:5">
      <c r="B37" s="127" t="str">
        <f>CONCATENATE("",E1-2,"/",E1-1," Budget Authority Amount:")</f>
        <v>2011/2012 Budget Authority Amount:</v>
      </c>
      <c r="C37" s="231">
        <f>inputOth!B81</f>
        <v>26150</v>
      </c>
      <c r="D37" s="231">
        <f>inputPrYr!D40</f>
        <v>17750</v>
      </c>
      <c r="E37" s="371" t="str">
        <f>IF(E36&lt;0,"See Tab E","")</f>
        <v/>
      </c>
    </row>
    <row r="38" spans="2:5">
      <c r="B38" s="127"/>
      <c r="C38" s="269" t="str">
        <f>IF(C35&gt;C37,"See Tab A","")</f>
        <v/>
      </c>
      <c r="D38" s="269" t="str">
        <f>IF(D35&gt;D37,"See Tab C","")</f>
        <v>See Tab C</v>
      </c>
      <c r="E38" s="86"/>
    </row>
    <row r="39" spans="2:5" hidden="1">
      <c r="B39" s="127"/>
      <c r="C39" s="269" t="str">
        <f>IF(C36&lt;0,"See Tab B","")</f>
        <v/>
      </c>
      <c r="D39" s="269" t="str">
        <f>IF(D36&lt;0,"See Tab D","")</f>
        <v/>
      </c>
      <c r="E39" s="86"/>
    </row>
    <row r="40" spans="2:5" hidden="1">
      <c r="B40" s="36"/>
      <c r="C40" s="86"/>
      <c r="D40" s="86"/>
      <c r="E40" s="86"/>
    </row>
    <row r="41" spans="2:5" hidden="1">
      <c r="B41" s="41"/>
      <c r="C41" s="286"/>
      <c r="D41" s="286"/>
      <c r="E41" s="286"/>
    </row>
    <row r="42" spans="2:5" hidden="1">
      <c r="B42" s="41" t="s">
        <v>78</v>
      </c>
      <c r="C42" s="271" t="s">
        <v>770</v>
      </c>
      <c r="D42" s="135" t="s">
        <v>771</v>
      </c>
      <c r="E42" s="135" t="s">
        <v>772</v>
      </c>
    </row>
    <row r="43" spans="2:5" hidden="1">
      <c r="B43" s="542">
        <f>(inputPrYr!B41)</f>
        <v>0</v>
      </c>
      <c r="C43" s="243" t="str">
        <f>C5</f>
        <v>Actual for 2011</v>
      </c>
      <c r="D43" s="243" t="str">
        <f>D5</f>
        <v>Estimate for 2012</v>
      </c>
      <c r="E43" s="243" t="str">
        <f>E5</f>
        <v>Year for 2013</v>
      </c>
    </row>
    <row r="44" spans="2:5" hidden="1">
      <c r="B44" s="244" t="s">
        <v>199</v>
      </c>
      <c r="C44" s="56"/>
      <c r="D44" s="218">
        <f>C60</f>
        <v>0</v>
      </c>
      <c r="E44" s="218">
        <f>D60</f>
        <v>0</v>
      </c>
    </row>
    <row r="45" spans="2:5" hidden="1">
      <c r="B45" s="248" t="s">
        <v>201</v>
      </c>
      <c r="C45" s="76"/>
      <c r="D45" s="76"/>
      <c r="E45" s="76"/>
    </row>
    <row r="46" spans="2:5" hidden="1">
      <c r="B46" s="265"/>
      <c r="C46" s="56"/>
      <c r="D46" s="56"/>
      <c r="E46" s="56"/>
    </row>
    <row r="47" spans="2:5" hidden="1">
      <c r="B47" s="265"/>
      <c r="C47" s="56"/>
      <c r="D47" s="56"/>
      <c r="E47" s="56"/>
    </row>
    <row r="48" spans="2:5" hidden="1">
      <c r="B48" s="253" t="s">
        <v>86</v>
      </c>
      <c r="C48" s="56"/>
      <c r="D48" s="56"/>
      <c r="E48" s="56"/>
    </row>
    <row r="49" spans="2:5" hidden="1">
      <c r="B49" s="150" t="s">
        <v>838</v>
      </c>
      <c r="C49" s="56"/>
      <c r="D49" s="250"/>
      <c r="E49" s="250"/>
    </row>
    <row r="50" spans="2:5" hidden="1">
      <c r="B50" s="244" t="s">
        <v>746</v>
      </c>
      <c r="C50" s="291" t="str">
        <f>IF(C51*0.1&lt;C49,"Exceed 10% Rule","")</f>
        <v/>
      </c>
      <c r="D50" s="255" t="str">
        <f>IF(D51*0.1&lt;D49,"Exceed 10% Rule","")</f>
        <v/>
      </c>
      <c r="E50" s="255" t="str">
        <f>IF(E51*0.1&lt;E49,"Exceed 10% Rule","")</f>
        <v/>
      </c>
    </row>
    <row r="51" spans="2:5" hidden="1">
      <c r="B51" s="256" t="s">
        <v>87</v>
      </c>
      <c r="C51" s="259">
        <f>SUM(C46:C49)</f>
        <v>0</v>
      </c>
      <c r="D51" s="259">
        <f>SUM(D46:D49)</f>
        <v>0</v>
      </c>
      <c r="E51" s="259">
        <f>SUM(E46:E49)</f>
        <v>0</v>
      </c>
    </row>
    <row r="52" spans="2:5" hidden="1">
      <c r="B52" s="256" t="s">
        <v>88</v>
      </c>
      <c r="C52" s="259">
        <f>C44+C51</f>
        <v>0</v>
      </c>
      <c r="D52" s="259">
        <f>D44+D51</f>
        <v>0</v>
      </c>
      <c r="E52" s="259">
        <f>E44+E51</f>
        <v>0</v>
      </c>
    </row>
    <row r="53" spans="2:5" hidden="1">
      <c r="B53" s="141" t="s">
        <v>90</v>
      </c>
      <c r="C53" s="218"/>
      <c r="D53" s="218"/>
      <c r="E53" s="218"/>
    </row>
    <row r="54" spans="2:5" hidden="1">
      <c r="B54" s="265"/>
      <c r="C54" s="56"/>
      <c r="D54" s="56"/>
      <c r="E54" s="56"/>
    </row>
    <row r="55" spans="2:5" hidden="1">
      <c r="B55" s="265"/>
      <c r="C55" s="56"/>
      <c r="D55" s="56"/>
      <c r="E55" s="56"/>
    </row>
    <row r="56" spans="2:5" hidden="1">
      <c r="B56" s="265"/>
      <c r="C56" s="56"/>
      <c r="D56" s="56"/>
      <c r="E56" s="56"/>
    </row>
    <row r="57" spans="2:5" hidden="1">
      <c r="B57" s="266" t="s">
        <v>838</v>
      </c>
      <c r="C57" s="56"/>
      <c r="D57" s="250"/>
      <c r="E57" s="250"/>
    </row>
    <row r="58" spans="2:5" hidden="1">
      <c r="B58" s="287" t="s">
        <v>747</v>
      </c>
      <c r="C58" s="291" t="str">
        <f>IF(C59*0.1&lt;C57,"Exceed 10% Rule","")</f>
        <v/>
      </c>
      <c r="D58" s="255" t="str">
        <f>IF(D59*0.1&lt;D57,"Exceed 10% Rule","")</f>
        <v/>
      </c>
      <c r="E58" s="255" t="str">
        <f>IF(E59*0.1&lt;E57,"Exceed 10% Rule","")</f>
        <v/>
      </c>
    </row>
    <row r="59" spans="2:5" hidden="1">
      <c r="B59" s="256" t="s">
        <v>94</v>
      </c>
      <c r="C59" s="259">
        <f>SUM(C54:C57)</f>
        <v>0</v>
      </c>
      <c r="D59" s="259">
        <f>SUM(D54:D57)</f>
        <v>0</v>
      </c>
      <c r="E59" s="259">
        <f>SUM(E54:E57)</f>
        <v>0</v>
      </c>
    </row>
    <row r="60" spans="2:5" hidden="1">
      <c r="B60" s="141" t="s">
        <v>200</v>
      </c>
      <c r="C60" s="71">
        <f>C52-C59</f>
        <v>0</v>
      </c>
      <c r="D60" s="71">
        <f>D52-D59</f>
        <v>0</v>
      </c>
      <c r="E60" s="71">
        <f>E52-E59</f>
        <v>0</v>
      </c>
    </row>
    <row r="61" spans="2:5" hidden="1">
      <c r="B61" s="127" t="str">
        <f>CONCATENATE("",E1-2,"/",E1-1," Budget Authority Amount:")</f>
        <v>2011/2012 Budget Authority Amount:</v>
      </c>
      <c r="C61" s="231">
        <f>inputOth!B82</f>
        <v>0</v>
      </c>
      <c r="D61" s="231">
        <f>inputPrYr!D41</f>
        <v>0</v>
      </c>
      <c r="E61" s="371" t="str">
        <f>IF(E60&lt;0,"See Tab E","")</f>
        <v/>
      </c>
    </row>
    <row r="62" spans="2:5">
      <c r="B62" s="127"/>
      <c r="C62" s="269" t="str">
        <f>IF(C59&gt;C61,"See Tab A","")</f>
        <v/>
      </c>
      <c r="D62" s="269" t="str">
        <f>IF(D59&gt;D61,"See Tab C","")</f>
        <v/>
      </c>
      <c r="E62" s="36"/>
    </row>
    <row r="63" spans="2:5">
      <c r="B63" s="127"/>
      <c r="C63" s="269" t="str">
        <f>IF(C60&lt;0,"See Tab B","")</f>
        <v/>
      </c>
      <c r="D63" s="269" t="str">
        <f>IF(D60&lt;0,"See Tab D","")</f>
        <v/>
      </c>
      <c r="E63" s="36"/>
    </row>
    <row r="64" spans="2:5">
      <c r="B64" s="36"/>
      <c r="C64" s="36"/>
      <c r="D64" s="36"/>
      <c r="E64" s="36"/>
    </row>
    <row r="65" spans="2:5">
      <c r="B65" s="160" t="s">
        <v>97</v>
      </c>
      <c r="C65" s="273">
        <v>14</v>
      </c>
      <c r="D65" s="36"/>
      <c r="E65" s="36"/>
    </row>
  </sheetData>
  <phoneticPr fontId="0" type="noConversion"/>
  <conditionalFormatting sqref="C19">
    <cfRule type="cellIs" dxfId="207" priority="3" stopIfTrue="1" operator="greaterThan">
      <formula>$C$21*0.1</formula>
    </cfRule>
  </conditionalFormatting>
  <conditionalFormatting sqref="D19">
    <cfRule type="cellIs" dxfId="206" priority="4" stopIfTrue="1" operator="greaterThan">
      <formula>$D$21*0.1</formula>
    </cfRule>
  </conditionalFormatting>
  <conditionalFormatting sqref="E19">
    <cfRule type="cellIs" dxfId="205" priority="5" stopIfTrue="1" operator="greaterThan">
      <formula>$E$21*0.1</formula>
    </cfRule>
  </conditionalFormatting>
  <conditionalFormatting sqref="C33">
    <cfRule type="cellIs" dxfId="204" priority="6" stopIfTrue="1" operator="greaterThan">
      <formula>$C$35*0.1</formula>
    </cfRule>
  </conditionalFormatting>
  <conditionalFormatting sqref="D33">
    <cfRule type="cellIs" dxfId="203" priority="7" stopIfTrue="1" operator="greaterThan">
      <formula>$D$35*0.1</formula>
    </cfRule>
  </conditionalFormatting>
  <conditionalFormatting sqref="E33">
    <cfRule type="cellIs" dxfId="202" priority="8" stopIfTrue="1" operator="greaterThan">
      <formula>$E$35*0.1</formula>
    </cfRule>
  </conditionalFormatting>
  <conditionalFormatting sqref="C49">
    <cfRule type="cellIs" dxfId="201" priority="9" stopIfTrue="1" operator="greaterThan">
      <formula>$C$51*0.1</formula>
    </cfRule>
  </conditionalFormatting>
  <conditionalFormatting sqref="D49">
    <cfRule type="cellIs" dxfId="200" priority="10" stopIfTrue="1" operator="greaterThan">
      <formula>$D$51*0.1</formula>
    </cfRule>
  </conditionalFormatting>
  <conditionalFormatting sqref="E49">
    <cfRule type="cellIs" dxfId="199" priority="11" stopIfTrue="1" operator="greaterThan">
      <formula>$E$51*0.1</formula>
    </cfRule>
  </conditionalFormatting>
  <conditionalFormatting sqref="C57">
    <cfRule type="cellIs" dxfId="198" priority="12" stopIfTrue="1" operator="greaterThan">
      <formula>$C$59*0.1</formula>
    </cfRule>
  </conditionalFormatting>
  <conditionalFormatting sqref="D57">
    <cfRule type="cellIs" dxfId="197" priority="13" stopIfTrue="1" operator="greaterThan">
      <formula>$D$59*0.1</formula>
    </cfRule>
  </conditionalFormatting>
  <conditionalFormatting sqref="E57">
    <cfRule type="cellIs" dxfId="196" priority="14" stopIfTrue="1" operator="greaterThan">
      <formula>$E$59*0.1</formula>
    </cfRule>
  </conditionalFormatting>
  <conditionalFormatting sqref="D59">
    <cfRule type="cellIs" dxfId="195" priority="15" stopIfTrue="1" operator="greaterThan">
      <formula>$D$61</formula>
    </cfRule>
  </conditionalFormatting>
  <conditionalFormatting sqref="C59">
    <cfRule type="cellIs" dxfId="194" priority="16" stopIfTrue="1" operator="greaterThan">
      <formula>$C$61</formula>
    </cfRule>
  </conditionalFormatting>
  <conditionalFormatting sqref="C60 E60 C36 E36">
    <cfRule type="cellIs" dxfId="193" priority="17" stopIfTrue="1" operator="lessThan">
      <formula>0</formula>
    </cfRule>
  </conditionalFormatting>
  <conditionalFormatting sqref="D35">
    <cfRule type="cellIs" dxfId="192" priority="18" stopIfTrue="1" operator="greaterThan">
      <formula>$D$37</formula>
    </cfRule>
  </conditionalFormatting>
  <conditionalFormatting sqref="C35">
    <cfRule type="cellIs" dxfId="191" priority="19" stopIfTrue="1" operator="greaterThan">
      <formula>$C$37</formula>
    </cfRule>
  </conditionalFormatting>
  <conditionalFormatting sqref="D60">
    <cfRule type="cellIs" dxfId="190" priority="2" stopIfTrue="1" operator="lessThan">
      <formula>0</formula>
    </cfRule>
  </conditionalFormatting>
  <conditionalFormatting sqref="D36">
    <cfRule type="cellIs" dxfId="189" priority="1" stopIfTrue="1" operator="lessThan">
      <formula>0</formula>
    </cfRule>
  </conditionalFormatting>
  <printOptions horizontalCentered="1"/>
  <pageMargins left="0.5" right="0.5" top="0.5" bottom="0.5" header="0.3" footer="0.3"/>
  <pageSetup orientation="portrait" blackAndWhite="1" horizontalDpi="120" verticalDpi="144"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B1:E60"/>
  <sheetViews>
    <sheetView topLeftCell="A7" workbookViewId="0">
      <selection activeCell="C10" activeCellId="1" sqref="C21:C25 C10:C12"/>
    </sheetView>
  </sheetViews>
  <sheetFormatPr defaultRowHeight="15.75"/>
  <cols>
    <col min="1" max="1" width="2.44140625" style="34" customWidth="1"/>
    <col min="2" max="2" width="31.109375" style="34" customWidth="1"/>
    <col min="3" max="4" width="15.77734375" style="34" customWidth="1"/>
    <col min="5" max="5" width="16.21875" style="34" customWidth="1"/>
    <col min="6" max="16384" width="8.88671875" style="34"/>
  </cols>
  <sheetData>
    <row r="1" spans="2:5">
      <c r="B1" s="188" t="str">
        <f>(inputPrYr!D2)</f>
        <v>City of Osawatomie</v>
      </c>
      <c r="C1" s="36"/>
      <c r="D1" s="36"/>
      <c r="E1" s="238">
        <f>inputPrYr!C5</f>
        <v>2013</v>
      </c>
    </row>
    <row r="2" spans="2:5">
      <c r="B2" s="36"/>
      <c r="C2" s="36"/>
      <c r="D2" s="36"/>
      <c r="E2" s="160"/>
    </row>
    <row r="3" spans="2:5">
      <c r="B3" s="239" t="s">
        <v>146</v>
      </c>
      <c r="C3" s="280"/>
      <c r="D3" s="280"/>
      <c r="E3" s="280"/>
    </row>
    <row r="4" spans="2:5">
      <c r="B4" s="41" t="s">
        <v>78</v>
      </c>
      <c r="C4" s="416" t="s">
        <v>770</v>
      </c>
      <c r="D4" s="415" t="s">
        <v>771</v>
      </c>
      <c r="E4" s="392" t="s">
        <v>772</v>
      </c>
    </row>
    <row r="5" spans="2:5">
      <c r="B5" s="542">
        <f>inputPrYr!B42</f>
        <v>0</v>
      </c>
      <c r="C5" s="417" t="str">
        <f>CONCATENATE("Actual for ",E1-2,"")</f>
        <v>Actual for 2011</v>
      </c>
      <c r="D5" s="417" t="str">
        <f>CONCATENATE("Estimate for ",E1-1,"")</f>
        <v>Estimate for 2012</v>
      </c>
      <c r="E5" s="401" t="str">
        <f>CONCATENATE("Year for ",E1,"")</f>
        <v>Year for 2013</v>
      </c>
    </row>
    <row r="6" spans="2:5">
      <c r="B6" s="244" t="s">
        <v>199</v>
      </c>
      <c r="C6" s="56"/>
      <c r="D6" s="218">
        <f>C24</f>
        <v>0</v>
      </c>
      <c r="E6" s="218">
        <f>D24</f>
        <v>0</v>
      </c>
    </row>
    <row r="7" spans="2:5">
      <c r="B7" s="248" t="s">
        <v>201</v>
      </c>
      <c r="C7" s="76"/>
      <c r="D7" s="76"/>
      <c r="E7" s="76"/>
    </row>
    <row r="8" spans="2:5">
      <c r="B8" s="265"/>
      <c r="C8" s="56"/>
      <c r="D8" s="56"/>
      <c r="E8" s="56"/>
    </row>
    <row r="9" spans="2:5">
      <c r="B9" s="265"/>
      <c r="C9" s="56"/>
      <c r="D9" s="56"/>
      <c r="E9" s="56"/>
    </row>
    <row r="10" spans="2:5">
      <c r="B10" s="265"/>
      <c r="C10" s="56"/>
      <c r="D10" s="56"/>
      <c r="E10" s="56"/>
    </row>
    <row r="11" spans="2:5">
      <c r="B11" s="253"/>
      <c r="C11" s="56"/>
      <c r="D11" s="56"/>
      <c r="E11" s="56"/>
    </row>
    <row r="12" spans="2:5">
      <c r="B12" s="150" t="s">
        <v>838</v>
      </c>
      <c r="C12" s="56"/>
      <c r="D12" s="250"/>
      <c r="E12" s="250"/>
    </row>
    <row r="13" spans="2:5">
      <c r="B13" s="244" t="s">
        <v>746</v>
      </c>
      <c r="C13" s="291" t="str">
        <f>IF(C14*0.1&lt;C12,"Exceed 10% Rule","")</f>
        <v/>
      </c>
      <c r="D13" s="255" t="str">
        <f>IF(D14*0.1&lt;D12,"Exceed 10% Rule","")</f>
        <v/>
      </c>
      <c r="E13" s="255" t="str">
        <f>IF(E14*0.1&lt;E12,"Exceed 10% Rule","")</f>
        <v/>
      </c>
    </row>
    <row r="14" spans="2:5">
      <c r="B14" s="256" t="s">
        <v>87</v>
      </c>
      <c r="C14" s="259">
        <f>SUM(C8:C12)</f>
        <v>0</v>
      </c>
      <c r="D14" s="259">
        <f>SUM(D8:D12)</f>
        <v>0</v>
      </c>
      <c r="E14" s="259">
        <f>SUM(E8:E12)</f>
        <v>0</v>
      </c>
    </row>
    <row r="15" spans="2:5">
      <c r="B15" s="256" t="s">
        <v>88</v>
      </c>
      <c r="C15" s="259">
        <f>C6+C14</f>
        <v>0</v>
      </c>
      <c r="D15" s="259">
        <f>D6+D14</f>
        <v>0</v>
      </c>
      <c r="E15" s="259">
        <f>E6+E14</f>
        <v>0</v>
      </c>
    </row>
    <row r="16" spans="2:5">
      <c r="B16" s="141" t="s">
        <v>90</v>
      </c>
      <c r="C16" s="218"/>
      <c r="D16" s="218"/>
      <c r="E16" s="218"/>
    </row>
    <row r="17" spans="2:5">
      <c r="B17" s="265"/>
      <c r="C17" s="56"/>
      <c r="D17" s="56"/>
      <c r="E17" s="56"/>
    </row>
    <row r="18" spans="2:5">
      <c r="B18" s="265"/>
      <c r="C18" s="56"/>
      <c r="D18" s="56"/>
      <c r="E18" s="56"/>
    </row>
    <row r="19" spans="2:5">
      <c r="B19" s="265"/>
      <c r="C19" s="56"/>
      <c r="D19" s="56"/>
      <c r="E19" s="56"/>
    </row>
    <row r="20" spans="2:5">
      <c r="B20" s="265"/>
      <c r="C20" s="56"/>
      <c r="D20" s="56"/>
      <c r="E20" s="56"/>
    </row>
    <row r="21" spans="2:5">
      <c r="B21" s="266" t="s">
        <v>838</v>
      </c>
      <c r="C21" s="56"/>
      <c r="D21" s="250"/>
      <c r="E21" s="250"/>
    </row>
    <row r="22" spans="2:5">
      <c r="B22" s="266" t="s">
        <v>747</v>
      </c>
      <c r="C22" s="291" t="str">
        <f>IF(C23*0.1&lt;C21,"Exceed 10% Rule","")</f>
        <v/>
      </c>
      <c r="D22" s="255" t="str">
        <f>IF(D23*0.1&lt;D21,"Exceed 10% Rule","")</f>
        <v/>
      </c>
      <c r="E22" s="255" t="str">
        <f>IF(E23*0.1&lt;E21,"Exceed 10% Rule","")</f>
        <v/>
      </c>
    </row>
    <row r="23" spans="2:5">
      <c r="B23" s="256" t="s">
        <v>94</v>
      </c>
      <c r="C23" s="259">
        <f>SUM(C17:C21)</f>
        <v>0</v>
      </c>
      <c r="D23" s="259">
        <f>SUM(D17:D21)</f>
        <v>0</v>
      </c>
      <c r="E23" s="259">
        <f>SUM(E17:E21)</f>
        <v>0</v>
      </c>
    </row>
    <row r="24" spans="2:5">
      <c r="B24" s="141" t="s">
        <v>200</v>
      </c>
      <c r="C24" s="71">
        <f>C15-C23</f>
        <v>0</v>
      </c>
      <c r="D24" s="71">
        <f>D15-D23</f>
        <v>0</v>
      </c>
      <c r="E24" s="71">
        <f>E15-E23</f>
        <v>0</v>
      </c>
    </row>
    <row r="25" spans="2:5">
      <c r="B25" s="127" t="str">
        <f>CONCATENATE("",E1-2,"/",E1-1," Budget Authority Amount:")</f>
        <v>2011/2012 Budget Authority Amount:</v>
      </c>
      <c r="C25" s="231">
        <f>inputOth!B83</f>
        <v>0</v>
      </c>
      <c r="D25" s="231">
        <f>inputPrYr!D42</f>
        <v>0</v>
      </c>
      <c r="E25" s="371" t="str">
        <f>IF(E24&lt;0,"See Tab E","")</f>
        <v/>
      </c>
    </row>
    <row r="26" spans="2:5">
      <c r="B26" s="127"/>
      <c r="C26" s="269" t="str">
        <f>IF(C23&gt;C25,"See Tab A","")</f>
        <v/>
      </c>
      <c r="D26" s="269" t="str">
        <f>IF(D23&gt;D25,"See Tab C","")</f>
        <v/>
      </c>
      <c r="E26" s="86"/>
    </row>
    <row r="27" spans="2:5">
      <c r="B27" s="127"/>
      <c r="C27" s="269" t="str">
        <f>IF(C24&lt;0,"See Tab B","")</f>
        <v/>
      </c>
      <c r="D27" s="269" t="str">
        <f>IF(D24&lt;0,"See Tab D","")</f>
        <v/>
      </c>
      <c r="E27" s="86"/>
    </row>
    <row r="28" spans="2:5">
      <c r="B28" s="36"/>
      <c r="C28" s="86"/>
      <c r="D28" s="86"/>
      <c r="E28" s="86"/>
    </row>
    <row r="29" spans="2:5">
      <c r="B29" s="41"/>
      <c r="C29" s="286"/>
      <c r="D29" s="286"/>
      <c r="E29" s="286"/>
    </row>
    <row r="30" spans="2:5">
      <c r="B30" s="41" t="s">
        <v>78</v>
      </c>
      <c r="C30" s="271" t="s">
        <v>770</v>
      </c>
      <c r="D30" s="135" t="s">
        <v>771</v>
      </c>
      <c r="E30" s="135" t="s">
        <v>772</v>
      </c>
    </row>
    <row r="31" spans="2:5">
      <c r="B31" s="542">
        <f>inputPrYr!B43</f>
        <v>0</v>
      </c>
      <c r="C31" s="243" t="str">
        <f>C5</f>
        <v>Actual for 2011</v>
      </c>
      <c r="D31" s="243" t="str">
        <f>D5</f>
        <v>Estimate for 2012</v>
      </c>
      <c r="E31" s="243" t="str">
        <f>E5</f>
        <v>Year for 2013</v>
      </c>
    </row>
    <row r="32" spans="2:5">
      <c r="B32" s="244" t="s">
        <v>199</v>
      </c>
      <c r="C32" s="56"/>
      <c r="D32" s="218">
        <f>C55</f>
        <v>0</v>
      </c>
      <c r="E32" s="218">
        <f>D55</f>
        <v>0</v>
      </c>
    </row>
    <row r="33" spans="2:5">
      <c r="B33" s="248" t="s">
        <v>201</v>
      </c>
      <c r="C33" s="76"/>
      <c r="D33" s="76"/>
      <c r="E33" s="76"/>
    </row>
    <row r="34" spans="2:5">
      <c r="B34" s="265"/>
      <c r="C34" s="56"/>
      <c r="D34" s="56"/>
      <c r="E34" s="56"/>
    </row>
    <row r="35" spans="2:5">
      <c r="B35" s="265"/>
      <c r="C35" s="56"/>
      <c r="D35" s="56"/>
      <c r="E35" s="56"/>
    </row>
    <row r="36" spans="2:5">
      <c r="B36" s="265"/>
      <c r="C36" s="56"/>
      <c r="D36" s="56"/>
      <c r="E36" s="56"/>
    </row>
    <row r="37" spans="2:5">
      <c r="B37" s="265"/>
      <c r="C37" s="56"/>
      <c r="D37" s="56"/>
      <c r="E37" s="56"/>
    </row>
    <row r="38" spans="2:5">
      <c r="B38" s="253" t="s">
        <v>86</v>
      </c>
      <c r="C38" s="56"/>
      <c r="D38" s="56"/>
      <c r="E38" s="56"/>
    </row>
    <row r="39" spans="2:5">
      <c r="B39" s="150" t="s">
        <v>838</v>
      </c>
      <c r="C39" s="56"/>
      <c r="D39" s="250"/>
      <c r="E39" s="250"/>
    </row>
    <row r="40" spans="2:5">
      <c r="B40" s="244" t="s">
        <v>746</v>
      </c>
      <c r="C40" s="291" t="str">
        <f>IF(C41*0.1&lt;C39,"Exceed 10% Rule","")</f>
        <v/>
      </c>
      <c r="D40" s="255" t="str">
        <f>IF(D41*0.1&lt;D39,"Exceed 10% Rule","")</f>
        <v/>
      </c>
      <c r="E40" s="255" t="str">
        <f>IF(E41*0.1&lt;E39,"Exceed 10% Rule","")</f>
        <v/>
      </c>
    </row>
    <row r="41" spans="2:5">
      <c r="B41" s="256" t="s">
        <v>87</v>
      </c>
      <c r="C41" s="259">
        <f>SUM(C34:C39)</f>
        <v>0</v>
      </c>
      <c r="D41" s="259">
        <f>SUM(D34:D39)</f>
        <v>0</v>
      </c>
      <c r="E41" s="259">
        <f>SUM(E34:E39)</f>
        <v>0</v>
      </c>
    </row>
    <row r="42" spans="2:5">
      <c r="B42" s="256" t="s">
        <v>88</v>
      </c>
      <c r="C42" s="259">
        <f>C32+C41</f>
        <v>0</v>
      </c>
      <c r="D42" s="259">
        <f>D32+D41</f>
        <v>0</v>
      </c>
      <c r="E42" s="259">
        <f>E32+E41</f>
        <v>0</v>
      </c>
    </row>
    <row r="43" spans="2:5">
      <c r="B43" s="141" t="s">
        <v>90</v>
      </c>
      <c r="C43" s="218"/>
      <c r="D43" s="218"/>
      <c r="E43" s="218"/>
    </row>
    <row r="44" spans="2:5">
      <c r="B44" s="265"/>
      <c r="C44" s="56"/>
      <c r="D44" s="56"/>
      <c r="E44" s="56"/>
    </row>
    <row r="45" spans="2:5">
      <c r="B45" s="265"/>
      <c r="C45" s="56"/>
      <c r="D45" s="56"/>
      <c r="E45" s="56"/>
    </row>
    <row r="46" spans="2:5">
      <c r="B46" s="265"/>
      <c r="C46" s="56"/>
      <c r="D46" s="56"/>
      <c r="E46" s="56"/>
    </row>
    <row r="47" spans="2:5">
      <c r="B47" s="265"/>
      <c r="C47" s="56"/>
      <c r="D47" s="56"/>
      <c r="E47" s="56"/>
    </row>
    <row r="48" spans="2:5">
      <c r="B48" s="265"/>
      <c r="C48" s="56"/>
      <c r="D48" s="56"/>
      <c r="E48" s="56"/>
    </row>
    <row r="49" spans="2:5">
      <c r="B49" s="265"/>
      <c r="C49" s="56"/>
      <c r="D49" s="56"/>
      <c r="E49" s="56"/>
    </row>
    <row r="50" spans="2:5">
      <c r="B50" s="265"/>
      <c r="C50" s="56"/>
      <c r="D50" s="56"/>
      <c r="E50" s="56"/>
    </row>
    <row r="51" spans="2:5">
      <c r="B51" s="265"/>
      <c r="C51" s="56"/>
      <c r="D51" s="56"/>
      <c r="E51" s="56"/>
    </row>
    <row r="52" spans="2:5">
      <c r="B52" s="266" t="s">
        <v>838</v>
      </c>
      <c r="C52" s="56"/>
      <c r="D52" s="250"/>
      <c r="E52" s="250"/>
    </row>
    <row r="53" spans="2:5">
      <c r="B53" s="266" t="s">
        <v>747</v>
      </c>
      <c r="C53" s="291" t="str">
        <f>IF(C54*0.1&lt;C52,"Exceed 10% Rule","")</f>
        <v/>
      </c>
      <c r="D53" s="255" t="str">
        <f>IF(D54*0.1&lt;D52,"Exceed 10% Rule","")</f>
        <v/>
      </c>
      <c r="E53" s="255" t="str">
        <f>IF(E54*0.1&lt;E52,"Exceed 10% Rule","")</f>
        <v/>
      </c>
    </row>
    <row r="54" spans="2:5">
      <c r="B54" s="256" t="s">
        <v>94</v>
      </c>
      <c r="C54" s="259">
        <f>SUM(C44:C52)</f>
        <v>0</v>
      </c>
      <c r="D54" s="259">
        <f>SUM(D44:D52)</f>
        <v>0</v>
      </c>
      <c r="E54" s="259">
        <f>SUM(E44:E52)</f>
        <v>0</v>
      </c>
    </row>
    <row r="55" spans="2:5">
      <c r="B55" s="141" t="s">
        <v>200</v>
      </c>
      <c r="C55" s="71">
        <f>C42-C54</f>
        <v>0</v>
      </c>
      <c r="D55" s="71">
        <f>D42-D54</f>
        <v>0</v>
      </c>
      <c r="E55" s="71">
        <f>E42-E54</f>
        <v>0</v>
      </c>
    </row>
    <row r="56" spans="2:5">
      <c r="B56" s="127" t="str">
        <f>CONCATENATE("",E1-2,"/",E1-1," Budget Authority Amount:")</f>
        <v>2011/2012 Budget Authority Amount:</v>
      </c>
      <c r="C56" s="231">
        <f>inputOth!B84</f>
        <v>0</v>
      </c>
      <c r="D56" s="231">
        <f>inputPrYr!D43</f>
        <v>0</v>
      </c>
      <c r="E56" s="371" t="str">
        <f>IF(E55&lt;0,"See Tab E","")</f>
        <v/>
      </c>
    </row>
    <row r="57" spans="2:5">
      <c r="B57" s="127"/>
      <c r="C57" s="269" t="str">
        <f>IF(C54&gt;C56,"See Tab A","")</f>
        <v/>
      </c>
      <c r="D57" s="269" t="str">
        <f>IF(D54&gt;D56,"See Tab C","")</f>
        <v/>
      </c>
      <c r="E57" s="36"/>
    </row>
    <row r="58" spans="2:5">
      <c r="B58" s="127"/>
      <c r="C58" s="269" t="str">
        <f>IF(C55&lt;0,"See Tab B","")</f>
        <v/>
      </c>
      <c r="D58" s="269" t="str">
        <f>IF(D55&lt;0,"See Tab D","")</f>
        <v/>
      </c>
      <c r="E58" s="36"/>
    </row>
    <row r="59" spans="2:5">
      <c r="B59" s="36"/>
      <c r="C59" s="36"/>
      <c r="D59" s="36"/>
      <c r="E59" s="36"/>
    </row>
    <row r="60" spans="2:5">
      <c r="B60" s="160" t="s">
        <v>97</v>
      </c>
      <c r="C60" s="273"/>
      <c r="D60" s="36"/>
      <c r="E60" s="36"/>
    </row>
  </sheetData>
  <phoneticPr fontId="0" type="noConversion"/>
  <conditionalFormatting sqref="C12">
    <cfRule type="cellIs" dxfId="188" priority="3" stopIfTrue="1" operator="greaterThan">
      <formula>$C$14*0.1</formula>
    </cfRule>
  </conditionalFormatting>
  <conditionalFormatting sqref="D12">
    <cfRule type="cellIs" dxfId="187" priority="4" stopIfTrue="1" operator="greaterThan">
      <formula>$D$14*0.1</formula>
    </cfRule>
  </conditionalFormatting>
  <conditionalFormatting sqref="E12">
    <cfRule type="cellIs" dxfId="186" priority="5" stopIfTrue="1" operator="greaterThan">
      <formula>$E$14*0.1</formula>
    </cfRule>
  </conditionalFormatting>
  <conditionalFormatting sqref="C21">
    <cfRule type="cellIs" dxfId="185" priority="6" stopIfTrue="1" operator="greaterThan">
      <formula>$C$23*0.1</formula>
    </cfRule>
  </conditionalFormatting>
  <conditionalFormatting sqref="D21">
    <cfRule type="cellIs" dxfId="184" priority="7" stopIfTrue="1" operator="greaterThan">
      <formula>$D$23*0.1</formula>
    </cfRule>
  </conditionalFormatting>
  <conditionalFormatting sqref="E21">
    <cfRule type="cellIs" dxfId="183" priority="8" stopIfTrue="1" operator="greaterThan">
      <formula>$E$23*0.1</formula>
    </cfRule>
  </conditionalFormatting>
  <conditionalFormatting sqref="C39">
    <cfRule type="cellIs" dxfId="182" priority="9" stopIfTrue="1" operator="greaterThan">
      <formula>$C$41*0.1</formula>
    </cfRule>
  </conditionalFormatting>
  <conditionalFormatting sqref="D39">
    <cfRule type="cellIs" dxfId="181" priority="10" stopIfTrue="1" operator="greaterThan">
      <formula>$D$41*0.1</formula>
    </cfRule>
  </conditionalFormatting>
  <conditionalFormatting sqref="E39">
    <cfRule type="cellIs" dxfId="180" priority="11" stopIfTrue="1" operator="greaterThan">
      <formula>$E$41*0.1</formula>
    </cfRule>
  </conditionalFormatting>
  <conditionalFormatting sqref="C52">
    <cfRule type="cellIs" dxfId="179" priority="12" stopIfTrue="1" operator="greaterThan">
      <formula>$C$54*0.1</formula>
    </cfRule>
  </conditionalFormatting>
  <conditionalFormatting sqref="D52">
    <cfRule type="cellIs" dxfId="178" priority="13" stopIfTrue="1" operator="greaterThan">
      <formula>$D$54*0.1</formula>
    </cfRule>
  </conditionalFormatting>
  <conditionalFormatting sqref="E52">
    <cfRule type="cellIs" dxfId="177" priority="14" stopIfTrue="1" operator="greaterThan">
      <formula>$E$54*0.1</formula>
    </cfRule>
  </conditionalFormatting>
  <conditionalFormatting sqref="D54">
    <cfRule type="cellIs" dxfId="176" priority="15" stopIfTrue="1" operator="greaterThan">
      <formula>$D$56</formula>
    </cfRule>
  </conditionalFormatting>
  <conditionalFormatting sqref="C54">
    <cfRule type="cellIs" dxfId="175" priority="16" stopIfTrue="1" operator="greaterThan">
      <formula>$C$56</formula>
    </cfRule>
  </conditionalFormatting>
  <conditionalFormatting sqref="C55 E55 C24 E24">
    <cfRule type="cellIs" dxfId="174" priority="17" stopIfTrue="1" operator="lessThan">
      <formula>0</formula>
    </cfRule>
  </conditionalFormatting>
  <conditionalFormatting sqref="D23">
    <cfRule type="cellIs" dxfId="173" priority="18" stopIfTrue="1" operator="greaterThan">
      <formula>$D$25</formula>
    </cfRule>
  </conditionalFormatting>
  <conditionalFormatting sqref="C23">
    <cfRule type="cellIs" dxfId="172" priority="19" stopIfTrue="1" operator="greaterThan">
      <formula>$C$25</formula>
    </cfRule>
  </conditionalFormatting>
  <conditionalFormatting sqref="D55">
    <cfRule type="cellIs" dxfId="171" priority="2" stopIfTrue="1" operator="lessThan">
      <formula>0</formula>
    </cfRule>
  </conditionalFormatting>
  <conditionalFormatting sqref="D24">
    <cfRule type="cellIs" dxfId="170"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53"/>
  <sheetViews>
    <sheetView zoomScaleNormal="100" workbookViewId="0">
      <selection activeCell="C10" activeCellId="1" sqref="C21:C25 C10:C12"/>
    </sheetView>
  </sheetViews>
  <sheetFormatPr defaultRowHeight="15.75"/>
  <cols>
    <col min="1" max="1" width="2.44140625" style="34" customWidth="1"/>
    <col min="2" max="2" width="31.109375" style="34" customWidth="1"/>
    <col min="3" max="4" width="15.77734375" style="34" customWidth="1"/>
    <col min="5" max="5" width="16.1093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c r="B1" s="188" t="str">
        <f>(inputPrYr!D2)</f>
        <v>City of Osawatomie</v>
      </c>
      <c r="C1" s="36"/>
      <c r="D1" s="36"/>
      <c r="E1" s="238">
        <f>inputPrYr!C5</f>
        <v>2013</v>
      </c>
    </row>
    <row r="2" spans="2:5">
      <c r="B2" s="36"/>
      <c r="C2" s="36"/>
      <c r="D2" s="36"/>
      <c r="E2" s="160"/>
    </row>
    <row r="3" spans="2:5">
      <c r="B3" s="239" t="s">
        <v>146</v>
      </c>
      <c r="C3" s="280"/>
      <c r="D3" s="280"/>
      <c r="E3" s="280"/>
    </row>
    <row r="4" spans="2:5">
      <c r="B4" s="41" t="s">
        <v>78</v>
      </c>
      <c r="C4" s="416" t="s">
        <v>770</v>
      </c>
      <c r="D4" s="415" t="s">
        <v>771</v>
      </c>
      <c r="E4" s="392" t="s">
        <v>772</v>
      </c>
    </row>
    <row r="5" spans="2:5">
      <c r="B5" s="542">
        <f>inputPrYr!B44</f>
        <v>0</v>
      </c>
      <c r="C5" s="417" t="str">
        <f>CONCATENATE("Actual for ",E1-2,"")</f>
        <v>Actual for 2011</v>
      </c>
      <c r="D5" s="417" t="str">
        <f>CONCATENATE("Estimate for ",E1-1,"")</f>
        <v>Estimate for 2012</v>
      </c>
      <c r="E5" s="401" t="str">
        <f>CONCATENATE("Year for ",E1,"")</f>
        <v>Year for 2013</v>
      </c>
    </row>
    <row r="6" spans="2:5">
      <c r="B6" s="244" t="s">
        <v>199</v>
      </c>
      <c r="C6" s="56"/>
      <c r="D6" s="218">
        <f>C24</f>
        <v>0</v>
      </c>
      <c r="E6" s="218">
        <f>D24</f>
        <v>0</v>
      </c>
    </row>
    <row r="7" spans="2:5">
      <c r="B7" s="248" t="s">
        <v>201</v>
      </c>
      <c r="C7" s="76"/>
      <c r="D7" s="76"/>
      <c r="E7" s="76"/>
    </row>
    <row r="8" spans="2:5">
      <c r="B8" s="265"/>
      <c r="C8" s="56"/>
      <c r="D8" s="56"/>
      <c r="E8" s="56"/>
    </row>
    <row r="9" spans="2:5">
      <c r="B9" s="265"/>
      <c r="C9" s="56"/>
      <c r="D9" s="56"/>
      <c r="E9" s="56"/>
    </row>
    <row r="10" spans="2:5">
      <c r="B10" s="265"/>
      <c r="C10" s="56"/>
      <c r="D10" s="56"/>
      <c r="E10" s="56"/>
    </row>
    <row r="11" spans="2:5">
      <c r="B11" s="253"/>
      <c r="C11" s="56"/>
      <c r="D11" s="56"/>
      <c r="E11" s="56"/>
    </row>
    <row r="12" spans="2:5">
      <c r="B12" s="150" t="s">
        <v>838</v>
      </c>
      <c r="C12" s="202"/>
      <c r="D12" s="202"/>
      <c r="E12" s="202"/>
    </row>
    <row r="13" spans="2:5">
      <c r="B13" s="244" t="s">
        <v>746</v>
      </c>
      <c r="C13" s="291" t="str">
        <f>IF(C14*0.1&lt;C12,"Exceed 10% Rule","")</f>
        <v/>
      </c>
      <c r="D13" s="255" t="str">
        <f>IF(D14*0.1&lt;D12,"Exceed 10% Rule","")</f>
        <v/>
      </c>
      <c r="E13" s="255" t="str">
        <f>IF(E14*0.1&lt;E12,"Exceed 10% Rule","")</f>
        <v/>
      </c>
    </row>
    <row r="14" spans="2:5">
      <c r="B14" s="256" t="s">
        <v>87</v>
      </c>
      <c r="C14" s="259">
        <f>SUM(C8:C12)</f>
        <v>0</v>
      </c>
      <c r="D14" s="259">
        <f>SUM(D8:D12)</f>
        <v>0</v>
      </c>
      <c r="E14" s="259">
        <f>SUM(E8:E12)</f>
        <v>0</v>
      </c>
    </row>
    <row r="15" spans="2:5">
      <c r="B15" s="256" t="s">
        <v>88</v>
      </c>
      <c r="C15" s="259">
        <f>C6+C14</f>
        <v>0</v>
      </c>
      <c r="D15" s="259">
        <f>D6+D14</f>
        <v>0</v>
      </c>
      <c r="E15" s="259">
        <f>E6+E14</f>
        <v>0</v>
      </c>
    </row>
    <row r="16" spans="2:5">
      <c r="B16" s="141" t="s">
        <v>90</v>
      </c>
      <c r="C16" s="218"/>
      <c r="D16" s="218"/>
      <c r="E16" s="218"/>
    </row>
    <row r="17" spans="2:5">
      <c r="B17" s="265"/>
      <c r="C17" s="56"/>
      <c r="D17" s="56"/>
      <c r="E17" s="56"/>
    </row>
    <row r="18" spans="2:5">
      <c r="B18" s="265"/>
      <c r="C18" s="56"/>
      <c r="D18" s="56"/>
      <c r="E18" s="56"/>
    </row>
    <row r="19" spans="2:5">
      <c r="B19" s="265"/>
      <c r="C19" s="56"/>
      <c r="D19" s="56"/>
      <c r="E19" s="56"/>
    </row>
    <row r="20" spans="2:5">
      <c r="B20" s="265"/>
      <c r="C20" s="56"/>
      <c r="D20" s="56"/>
      <c r="E20" s="56"/>
    </row>
    <row r="21" spans="2:5">
      <c r="B21" s="266" t="s">
        <v>838</v>
      </c>
      <c r="C21" s="56"/>
      <c r="D21" s="250"/>
      <c r="E21" s="250"/>
    </row>
    <row r="22" spans="2:5">
      <c r="B22" s="266" t="s">
        <v>747</v>
      </c>
      <c r="C22" s="291" t="str">
        <f>IF(C23*0.1&lt;C21,"Exceed 10% Rule","")</f>
        <v/>
      </c>
      <c r="D22" s="255" t="str">
        <f>IF(D23*0.1&lt;D21,"Exceed 10% Rule","")</f>
        <v/>
      </c>
      <c r="E22" s="255" t="str">
        <f>IF(E23*0.1&lt;E21,"Exceed 10% Rule","")</f>
        <v/>
      </c>
    </row>
    <row r="23" spans="2:5">
      <c r="B23" s="256" t="s">
        <v>94</v>
      </c>
      <c r="C23" s="259">
        <f>SUM(C17:C21)</f>
        <v>0</v>
      </c>
      <c r="D23" s="259">
        <f>SUM(D17:D21)</f>
        <v>0</v>
      </c>
      <c r="E23" s="259">
        <f>SUM(E17:E21)</f>
        <v>0</v>
      </c>
    </row>
    <row r="24" spans="2:5">
      <c r="B24" s="141" t="s">
        <v>200</v>
      </c>
      <c r="C24" s="71">
        <f>C15-C23</f>
        <v>0</v>
      </c>
      <c r="D24" s="71">
        <f>D15-D23</f>
        <v>0</v>
      </c>
      <c r="E24" s="71">
        <f>E15-E23</f>
        <v>0</v>
      </c>
    </row>
    <row r="25" spans="2:5">
      <c r="B25" s="127" t="str">
        <f>CONCATENATE("",E1-2,"/",E1-1," Budget Authority Amount:")</f>
        <v>2011/2012 Budget Authority Amount:</v>
      </c>
      <c r="C25" s="231">
        <f>inputOth!B85</f>
        <v>0</v>
      </c>
      <c r="D25" s="231">
        <f>inputPrYr!D44</f>
        <v>0</v>
      </c>
      <c r="E25" s="371" t="str">
        <f>IF(E24&lt;0,"See Tab E","")</f>
        <v/>
      </c>
    </row>
    <row r="26" spans="2:5">
      <c r="B26" s="127"/>
      <c r="C26" s="269" t="str">
        <f>IF(C23&gt;C25,"See Tab A","")</f>
        <v/>
      </c>
      <c r="D26" s="269" t="str">
        <f>IF(D23&gt;D25,"See Tab C","")</f>
        <v/>
      </c>
      <c r="E26" s="86"/>
    </row>
    <row r="27" spans="2:5">
      <c r="B27" s="127"/>
      <c r="C27" s="269" t="str">
        <f>IF(C24&lt;0,"See Tab B","")</f>
        <v/>
      </c>
      <c r="D27" s="269" t="str">
        <f>IF(D24&lt;0,"See Tab D","")</f>
        <v/>
      </c>
      <c r="E27" s="86"/>
    </row>
    <row r="28" spans="2:5">
      <c r="B28" s="36"/>
      <c r="C28" s="86"/>
      <c r="D28" s="86"/>
      <c r="E28" s="86"/>
    </row>
    <row r="29" spans="2:5">
      <c r="B29" s="41"/>
      <c r="C29" s="286"/>
      <c r="D29" s="286"/>
      <c r="E29" s="286"/>
    </row>
    <row r="30" spans="2:5">
      <c r="B30" s="41" t="s">
        <v>78</v>
      </c>
      <c r="C30" s="271" t="s">
        <v>770</v>
      </c>
      <c r="D30" s="135" t="s">
        <v>771</v>
      </c>
      <c r="E30" s="135" t="s">
        <v>874</v>
      </c>
    </row>
    <row r="31" spans="2:5">
      <c r="B31" s="542">
        <f>inputPrYr!B45</f>
        <v>0</v>
      </c>
      <c r="C31" s="243" t="str">
        <f>C5</f>
        <v>Actual for 2011</v>
      </c>
      <c r="D31" s="243" t="str">
        <f>D5</f>
        <v>Estimate for 2012</v>
      </c>
      <c r="E31" s="243" t="str">
        <f>E5</f>
        <v>Year for 2013</v>
      </c>
    </row>
    <row r="32" spans="2:5">
      <c r="B32" s="244" t="s">
        <v>199</v>
      </c>
      <c r="C32" s="56"/>
      <c r="D32" s="218">
        <f>C48</f>
        <v>0</v>
      </c>
      <c r="E32" s="218">
        <f>D48</f>
        <v>0</v>
      </c>
    </row>
    <row r="33" spans="2:5">
      <c r="B33" s="248" t="s">
        <v>201</v>
      </c>
      <c r="C33" s="76"/>
      <c r="D33" s="76"/>
      <c r="E33" s="76"/>
    </row>
    <row r="34" spans="2:5">
      <c r="B34" s="265"/>
      <c r="C34" s="56"/>
      <c r="D34" s="56"/>
      <c r="E34" s="56"/>
    </row>
    <row r="35" spans="2:5">
      <c r="B35" s="265"/>
      <c r="C35" s="56"/>
      <c r="D35" s="56"/>
      <c r="E35" s="56"/>
    </row>
    <row r="36" spans="2:5">
      <c r="B36" s="253" t="s">
        <v>86</v>
      </c>
      <c r="C36" s="56"/>
      <c r="D36" s="56"/>
      <c r="E36" s="56"/>
    </row>
    <row r="37" spans="2:5">
      <c r="B37" s="150" t="s">
        <v>838</v>
      </c>
      <c r="C37" s="56"/>
      <c r="D37" s="250"/>
      <c r="E37" s="250"/>
    </row>
    <row r="38" spans="2:5">
      <c r="B38" s="244" t="s">
        <v>746</v>
      </c>
      <c r="C38" s="291" t="str">
        <f>IF(C39*0.1&lt;C37,"Exceed 10% Rule","")</f>
        <v/>
      </c>
      <c r="D38" s="255" t="str">
        <f>IF(D39*0.1&lt;D37,"Exceed 10% Rule","")</f>
        <v/>
      </c>
      <c r="E38" s="255" t="str">
        <f>IF(E39*0.1&lt;E37,"Exceed 10% Rule","")</f>
        <v/>
      </c>
    </row>
    <row r="39" spans="2:5">
      <c r="B39" s="256" t="s">
        <v>87</v>
      </c>
      <c r="C39" s="259">
        <f>SUM(C34:C37)</f>
        <v>0</v>
      </c>
      <c r="D39" s="259">
        <f>SUM(D34:D37)</f>
        <v>0</v>
      </c>
      <c r="E39" s="259">
        <f>SUM(E34:E37)</f>
        <v>0</v>
      </c>
    </row>
    <row r="40" spans="2:5">
      <c r="B40" s="256" t="s">
        <v>88</v>
      </c>
      <c r="C40" s="259">
        <f>C32+C39</f>
        <v>0</v>
      </c>
      <c r="D40" s="259">
        <f>D32+D39</f>
        <v>0</v>
      </c>
      <c r="E40" s="259">
        <f>E32+E39</f>
        <v>0</v>
      </c>
    </row>
    <row r="41" spans="2:5">
      <c r="B41" s="141" t="s">
        <v>90</v>
      </c>
      <c r="C41" s="218"/>
      <c r="D41" s="218"/>
      <c r="E41" s="218"/>
    </row>
    <row r="42" spans="2:5">
      <c r="B42" s="265"/>
      <c r="C42" s="56"/>
      <c r="D42" s="56"/>
      <c r="E42" s="56"/>
    </row>
    <row r="43" spans="2:5">
      <c r="B43" s="265"/>
      <c r="C43" s="56"/>
      <c r="D43" s="56"/>
      <c r="E43" s="56"/>
    </row>
    <row r="44" spans="2:5">
      <c r="B44" s="265"/>
      <c r="C44" s="56"/>
      <c r="D44" s="56"/>
      <c r="E44" s="56"/>
    </row>
    <row r="45" spans="2:5">
      <c r="B45" s="266" t="s">
        <v>838</v>
      </c>
      <c r="C45" s="56"/>
      <c r="D45" s="250"/>
      <c r="E45" s="250"/>
    </row>
    <row r="46" spans="2:5">
      <c r="B46" s="266" t="s">
        <v>747</v>
      </c>
      <c r="C46" s="291" t="str">
        <f>IF(C47*0.1&lt;C45,"Exceed 10% Rule","")</f>
        <v/>
      </c>
      <c r="D46" s="255" t="str">
        <f>IF(D47*0.1&lt;D45,"Exceed 10% Rule","")</f>
        <v/>
      </c>
      <c r="E46" s="255" t="str">
        <f>IF(E47*0.1&lt;E45,"Exceed 10% Rule","")</f>
        <v/>
      </c>
    </row>
    <row r="47" spans="2:5">
      <c r="B47" s="256" t="s">
        <v>94</v>
      </c>
      <c r="C47" s="259">
        <f>SUM(C42:C45)</f>
        <v>0</v>
      </c>
      <c r="D47" s="259">
        <f>SUM(D42:D45)</f>
        <v>0</v>
      </c>
      <c r="E47" s="259">
        <f>SUM(E42:E45)</f>
        <v>0</v>
      </c>
    </row>
    <row r="48" spans="2:5">
      <c r="B48" s="141" t="s">
        <v>200</v>
      </c>
      <c r="C48" s="71">
        <f>C40-C47</f>
        <v>0</v>
      </c>
      <c r="D48" s="71">
        <f>D40-D47</f>
        <v>0</v>
      </c>
      <c r="E48" s="71">
        <f>E40-E47</f>
        <v>0</v>
      </c>
    </row>
    <row r="49" spans="2:5">
      <c r="B49" s="127" t="str">
        <f>CONCATENATE("",E1-2,"/",E1-1," Budget Authority Amount:")</f>
        <v>2011/2012 Budget Authority Amount:</v>
      </c>
      <c r="C49" s="231">
        <f>inputOth!B86</f>
        <v>0</v>
      </c>
      <c r="D49" s="231">
        <f>inputPrYr!D45</f>
        <v>0</v>
      </c>
      <c r="E49" s="371" t="str">
        <f>IF(E48&lt;0,"See Tab E","")</f>
        <v/>
      </c>
    </row>
    <row r="50" spans="2:5">
      <c r="B50" s="127"/>
      <c r="C50" s="269" t="str">
        <f>IF(C47&gt;C49,"See Tab A","")</f>
        <v/>
      </c>
      <c r="D50" s="269" t="str">
        <f>IF(D47&gt;D49,"See Tab C","")</f>
        <v/>
      </c>
      <c r="E50" s="36"/>
    </row>
    <row r="51" spans="2:5">
      <c r="B51" s="127"/>
      <c r="C51" s="269" t="str">
        <f>IF(C48&lt;0,"See Tab B","")</f>
        <v/>
      </c>
      <c r="D51" s="269" t="str">
        <f>IF(D48&lt;0,"See Tab D","")</f>
        <v/>
      </c>
      <c r="E51" s="36"/>
    </row>
    <row r="52" spans="2:5">
      <c r="B52" s="36"/>
      <c r="C52" s="36"/>
      <c r="D52" s="36"/>
      <c r="E52" s="36"/>
    </row>
    <row r="53" spans="2:5">
      <c r="B53" s="160" t="s">
        <v>97</v>
      </c>
      <c r="C53" s="273"/>
      <c r="D53" s="36"/>
      <c r="E53" s="36"/>
    </row>
  </sheetData>
  <phoneticPr fontId="0" type="noConversion"/>
  <conditionalFormatting sqref="C12">
    <cfRule type="cellIs" dxfId="169" priority="4" stopIfTrue="1" operator="greaterThan">
      <formula>$C$14*0.1</formula>
    </cfRule>
  </conditionalFormatting>
  <conditionalFormatting sqref="D12">
    <cfRule type="cellIs" dxfId="168" priority="5" stopIfTrue="1" operator="greaterThan">
      <formula>$D$14*0.1</formula>
    </cfRule>
  </conditionalFormatting>
  <conditionalFormatting sqref="E12">
    <cfRule type="cellIs" dxfId="167" priority="6" stopIfTrue="1" operator="greaterThan">
      <formula>$E$14*0.1</formula>
    </cfRule>
  </conditionalFormatting>
  <conditionalFormatting sqref="C21">
    <cfRule type="cellIs" dxfId="166" priority="7" stopIfTrue="1" operator="greaterThan">
      <formula>$C$23*0.1</formula>
    </cfRule>
  </conditionalFormatting>
  <conditionalFormatting sqref="D21">
    <cfRule type="cellIs" dxfId="165" priority="8" stopIfTrue="1" operator="greaterThan">
      <formula>$D$23*0.1</formula>
    </cfRule>
  </conditionalFormatting>
  <conditionalFormatting sqref="E21">
    <cfRule type="cellIs" dxfId="164" priority="9" stopIfTrue="1" operator="greaterThan">
      <formula>$E$23*0.1</formula>
    </cfRule>
  </conditionalFormatting>
  <conditionalFormatting sqref="C37">
    <cfRule type="cellIs" dxfId="163" priority="10" stopIfTrue="1" operator="greaterThan">
      <formula>$C$39*0.1</formula>
    </cfRule>
  </conditionalFormatting>
  <conditionalFormatting sqref="D37">
    <cfRule type="cellIs" dxfId="162" priority="11" stopIfTrue="1" operator="greaterThan">
      <formula>$D$39*0.1</formula>
    </cfRule>
  </conditionalFormatting>
  <conditionalFormatting sqref="E37">
    <cfRule type="cellIs" dxfId="161" priority="12" stopIfTrue="1" operator="greaterThan">
      <formula>$E$39*0.1</formula>
    </cfRule>
  </conditionalFormatting>
  <conditionalFormatting sqref="C45">
    <cfRule type="cellIs" dxfId="160" priority="13" stopIfTrue="1" operator="greaterThan">
      <formula>$C$47*0.1</formula>
    </cfRule>
  </conditionalFormatting>
  <conditionalFormatting sqref="D45">
    <cfRule type="cellIs" dxfId="159" priority="14" stopIfTrue="1" operator="greaterThan">
      <formula>$D$47*0.1</formula>
    </cfRule>
  </conditionalFormatting>
  <conditionalFormatting sqref="E45">
    <cfRule type="cellIs" dxfId="158" priority="15" stopIfTrue="1" operator="greaterThan">
      <formula>$E$47*0.1</formula>
    </cfRule>
  </conditionalFormatting>
  <conditionalFormatting sqref="D47">
    <cfRule type="cellIs" dxfId="157" priority="16" stopIfTrue="1" operator="greaterThan">
      <formula>$D$49</formula>
    </cfRule>
  </conditionalFormatting>
  <conditionalFormatting sqref="C47">
    <cfRule type="cellIs" dxfId="156" priority="17" stopIfTrue="1" operator="greaterThan">
      <formula>$C$49</formula>
    </cfRule>
  </conditionalFormatting>
  <conditionalFormatting sqref="C48 E48 C24 E24">
    <cfRule type="cellIs" dxfId="155" priority="18" stopIfTrue="1" operator="lessThan">
      <formula>0</formula>
    </cfRule>
  </conditionalFormatting>
  <conditionalFormatting sqref="C23">
    <cfRule type="cellIs" dxfId="154" priority="20" stopIfTrue="1" operator="greaterThan">
      <formula>$C$25</formula>
    </cfRule>
  </conditionalFormatting>
  <conditionalFormatting sqref="D48">
    <cfRule type="cellIs" dxfId="153" priority="3" stopIfTrue="1" operator="lessThan">
      <formula>0</formula>
    </cfRule>
  </conditionalFormatting>
  <conditionalFormatting sqref="D24">
    <cfRule type="cellIs" dxfId="152" priority="1" stopIfTrue="1" operator="lessThan">
      <formula>0</formula>
    </cfRule>
  </conditionalFormatting>
  <pageMargins left="0.5" right="0.5" top="1" bottom="0.5" header="0.5" footer="0.5"/>
  <pageSetup scale="70" orientation="portrait" blackAndWhite="1" horizontalDpi="120" verticalDpi="14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58"/>
  <sheetViews>
    <sheetView topLeftCell="A28" workbookViewId="0">
      <selection activeCell="C10" activeCellId="1" sqref="C21:C25 C10:C12"/>
    </sheetView>
  </sheetViews>
  <sheetFormatPr defaultRowHeight="15.75"/>
  <cols>
    <col min="1" max="1" width="2.44140625" style="21" customWidth="1"/>
    <col min="2" max="2" width="31.109375" style="21" customWidth="1"/>
    <col min="3" max="4" width="15.77734375" style="21" customWidth="1"/>
    <col min="5" max="5" width="16.109375" style="21" customWidth="1"/>
    <col min="6" max="16384" width="8.88671875" style="21"/>
  </cols>
  <sheetData>
    <row r="1" spans="2:5">
      <c r="B1" s="188" t="str">
        <f>(inputPrYr!D2)</f>
        <v>City of Osawatomie</v>
      </c>
      <c r="C1" s="36"/>
      <c r="D1" s="36"/>
      <c r="E1" s="238">
        <f>inputPrYr!C5</f>
        <v>2013</v>
      </c>
    </row>
    <row r="2" spans="2:5">
      <c r="B2" s="36"/>
      <c r="C2" s="36"/>
      <c r="D2" s="36"/>
      <c r="E2" s="160"/>
    </row>
    <row r="3" spans="2:5">
      <c r="B3" s="239" t="s">
        <v>146</v>
      </c>
      <c r="C3" s="280"/>
      <c r="D3" s="280"/>
      <c r="E3" s="280"/>
    </row>
    <row r="4" spans="2:5">
      <c r="B4" s="41" t="s">
        <v>78</v>
      </c>
      <c r="C4" s="416" t="s">
        <v>770</v>
      </c>
      <c r="D4" s="415" t="s">
        <v>771</v>
      </c>
      <c r="E4" s="392" t="s">
        <v>772</v>
      </c>
    </row>
    <row r="5" spans="2:5">
      <c r="B5" s="542">
        <f>inputPrYr!B46</f>
        <v>0</v>
      </c>
      <c r="C5" s="417" t="str">
        <f>CONCATENATE("Actual for ",E1-2,"")</f>
        <v>Actual for 2011</v>
      </c>
      <c r="D5" s="417" t="str">
        <f>CONCATENATE("Estimate for ",E1-1,"")</f>
        <v>Estimate for 2012</v>
      </c>
      <c r="E5" s="401" t="str">
        <f>CONCATENATE("Year for ",E1,"")</f>
        <v>Year for 2013</v>
      </c>
    </row>
    <row r="6" spans="2:5">
      <c r="B6" s="244" t="s">
        <v>199</v>
      </c>
      <c r="C6" s="56"/>
      <c r="D6" s="218">
        <f>C22</f>
        <v>0</v>
      </c>
      <c r="E6" s="218">
        <f>D22</f>
        <v>0</v>
      </c>
    </row>
    <row r="7" spans="2:5" s="34" customFormat="1">
      <c r="B7" s="248" t="s">
        <v>201</v>
      </c>
      <c r="C7" s="76"/>
      <c r="D7" s="76"/>
      <c r="E7" s="76"/>
    </row>
    <row r="8" spans="2:5">
      <c r="B8" s="265"/>
      <c r="C8" s="56"/>
      <c r="D8" s="56"/>
      <c r="E8" s="56"/>
    </row>
    <row r="9" spans="2:5">
      <c r="B9" s="265"/>
      <c r="C9" s="56"/>
      <c r="D9" s="56"/>
      <c r="E9" s="56"/>
    </row>
    <row r="10" spans="2:5">
      <c r="B10" s="253" t="s">
        <v>86</v>
      </c>
      <c r="C10" s="56"/>
      <c r="D10" s="56"/>
      <c r="E10" s="56"/>
    </row>
    <row r="11" spans="2:5">
      <c r="B11" s="150" t="s">
        <v>838</v>
      </c>
      <c r="C11" s="56"/>
      <c r="D11" s="250"/>
      <c r="E11" s="250"/>
    </row>
    <row r="12" spans="2:5">
      <c r="B12" s="244" t="s">
        <v>746</v>
      </c>
      <c r="C12" s="291" t="str">
        <f>IF(C13*0.1&lt;C11,"Exceed 10% Rule","")</f>
        <v/>
      </c>
      <c r="D12" s="255" t="str">
        <f>IF(D13*0.1&lt;D11,"Exceed 10% Rule","")</f>
        <v/>
      </c>
      <c r="E12" s="255" t="str">
        <f>IF(E13*0.1&lt;E11,"Exceed 10% Rule","")</f>
        <v/>
      </c>
    </row>
    <row r="13" spans="2:5">
      <c r="B13" s="256" t="s">
        <v>87</v>
      </c>
      <c r="C13" s="259">
        <f>SUM(C8:C11)</f>
        <v>0</v>
      </c>
      <c r="D13" s="259">
        <f>SUM(D8:D11)</f>
        <v>0</v>
      </c>
      <c r="E13" s="259">
        <f>SUM(E8:E11)</f>
        <v>0</v>
      </c>
    </row>
    <row r="14" spans="2:5">
      <c r="B14" s="256" t="s">
        <v>88</v>
      </c>
      <c r="C14" s="259">
        <f>C6+C13</f>
        <v>0</v>
      </c>
      <c r="D14" s="259">
        <f>D6+D13</f>
        <v>0</v>
      </c>
      <c r="E14" s="259">
        <f>E6+E13</f>
        <v>0</v>
      </c>
    </row>
    <row r="15" spans="2:5">
      <c r="B15" s="141" t="s">
        <v>90</v>
      </c>
      <c r="C15" s="218"/>
      <c r="D15" s="218"/>
      <c r="E15" s="218"/>
    </row>
    <row r="16" spans="2:5">
      <c r="B16" s="265"/>
      <c r="C16" s="56"/>
      <c r="D16" s="56"/>
      <c r="E16" s="56"/>
    </row>
    <row r="17" spans="2:5">
      <c r="B17" s="265"/>
      <c r="C17" s="56"/>
      <c r="D17" s="56"/>
      <c r="E17" s="56"/>
    </row>
    <row r="18" spans="2:5">
      <c r="B18" s="265"/>
      <c r="C18" s="56"/>
      <c r="D18" s="56"/>
      <c r="E18" s="56"/>
    </row>
    <row r="19" spans="2:5">
      <c r="B19" s="266" t="s">
        <v>838</v>
      </c>
      <c r="C19" s="56"/>
      <c r="D19" s="250"/>
      <c r="E19" s="250"/>
    </row>
    <row r="20" spans="2:5">
      <c r="B20" s="266" t="s">
        <v>747</v>
      </c>
      <c r="C20" s="291" t="str">
        <f>IF(C21*0.1&lt;C19,"Exceed 10% Rule","")</f>
        <v/>
      </c>
      <c r="D20" s="255" t="str">
        <f>IF(D21*0.1&lt;D19,"Exceed 10% Rule","")</f>
        <v/>
      </c>
      <c r="E20" s="255" t="str">
        <f>IF(E21*0.1&lt;E19,"Exceed 10% Rule","")</f>
        <v/>
      </c>
    </row>
    <row r="21" spans="2:5">
      <c r="B21" s="256" t="s">
        <v>94</v>
      </c>
      <c r="C21" s="259">
        <f>SUM(C16:C19)</f>
        <v>0</v>
      </c>
      <c r="D21" s="259">
        <f>SUM(D16:D19)</f>
        <v>0</v>
      </c>
      <c r="E21" s="259">
        <f>SUM(E16:E19)</f>
        <v>0</v>
      </c>
    </row>
    <row r="22" spans="2:5">
      <c r="B22" s="141" t="s">
        <v>200</v>
      </c>
      <c r="C22" s="71">
        <f>C14-C21</f>
        <v>0</v>
      </c>
      <c r="D22" s="71">
        <f>D14-D21</f>
        <v>0</v>
      </c>
      <c r="E22" s="71">
        <f>E14-E21</f>
        <v>0</v>
      </c>
    </row>
    <row r="23" spans="2:5">
      <c r="B23" s="127" t="str">
        <f>CONCATENATE("",E1-2,"/",E1-1," Budget Authority Amount:")</f>
        <v>2011/2012 Budget Authority Amount:</v>
      </c>
      <c r="C23" s="231">
        <f>inputOth!B87</f>
        <v>0</v>
      </c>
      <c r="D23" s="231">
        <f>inputPrYr!D46</f>
        <v>0</v>
      </c>
      <c r="E23" s="371" t="str">
        <f>IF(E22&lt;0,"See Tab E","")</f>
        <v/>
      </c>
    </row>
    <row r="24" spans="2:5">
      <c r="B24" s="127"/>
      <c r="C24" s="269" t="str">
        <f>IF(C21&gt;C23,"See Tab A","")</f>
        <v/>
      </c>
      <c r="D24" s="269" t="str">
        <f>IF(D21&gt;D23,"See Tab C","")</f>
        <v/>
      </c>
      <c r="E24" s="86"/>
    </row>
    <row r="25" spans="2:5">
      <c r="B25" s="127"/>
      <c r="C25" s="269" t="str">
        <f>IF(C22&lt;0,"See Tab B","")</f>
        <v/>
      </c>
      <c r="D25" s="269" t="str">
        <f>IF(D22&lt;0,"See Tab D","")</f>
        <v/>
      </c>
      <c r="E25" s="86"/>
    </row>
    <row r="26" spans="2:5">
      <c r="B26" s="36"/>
      <c r="C26" s="86"/>
      <c r="D26" s="86"/>
      <c r="E26" s="86"/>
    </row>
    <row r="27" spans="2:5">
      <c r="B27" s="41"/>
      <c r="C27" s="286"/>
      <c r="D27" s="286"/>
      <c r="E27" s="286"/>
    </row>
    <row r="28" spans="2:5">
      <c r="B28" s="41" t="s">
        <v>78</v>
      </c>
      <c r="C28" s="271" t="s">
        <v>873</v>
      </c>
      <c r="D28" s="135" t="s">
        <v>771</v>
      </c>
      <c r="E28" s="135" t="s">
        <v>772</v>
      </c>
    </row>
    <row r="29" spans="2:5">
      <c r="B29" s="542">
        <f>inputPrYr!B47</f>
        <v>0</v>
      </c>
      <c r="C29" s="243" t="str">
        <f>C5</f>
        <v>Actual for 2011</v>
      </c>
      <c r="D29" s="243" t="str">
        <f>D5</f>
        <v>Estimate for 2012</v>
      </c>
      <c r="E29" s="243" t="str">
        <f>E5</f>
        <v>Year for 2013</v>
      </c>
    </row>
    <row r="30" spans="2:5">
      <c r="B30" s="244" t="s">
        <v>199</v>
      </c>
      <c r="C30" s="56"/>
      <c r="D30" s="218">
        <f>C53</f>
        <v>0</v>
      </c>
      <c r="E30" s="218">
        <f>D53</f>
        <v>0</v>
      </c>
    </row>
    <row r="31" spans="2:5" s="34" customFormat="1">
      <c r="B31" s="248" t="s">
        <v>201</v>
      </c>
      <c r="C31" s="76"/>
      <c r="D31" s="76"/>
      <c r="E31" s="76"/>
    </row>
    <row r="32" spans="2:5">
      <c r="B32" s="265"/>
      <c r="C32" s="56"/>
      <c r="D32" s="56"/>
      <c r="E32" s="56"/>
    </row>
    <row r="33" spans="2:5">
      <c r="B33" s="265"/>
      <c r="C33" s="56"/>
      <c r="D33" s="56"/>
      <c r="E33" s="56"/>
    </row>
    <row r="34" spans="2:5">
      <c r="B34" s="265"/>
      <c r="C34" s="56"/>
      <c r="D34" s="56"/>
      <c r="E34" s="56"/>
    </row>
    <row r="35" spans="2:5">
      <c r="B35" s="265"/>
      <c r="C35" s="56"/>
      <c r="D35" s="56"/>
      <c r="E35" s="56"/>
    </row>
    <row r="36" spans="2:5">
      <c r="B36" s="253" t="s">
        <v>86</v>
      </c>
      <c r="C36" s="56"/>
      <c r="D36" s="56"/>
      <c r="E36" s="56"/>
    </row>
    <row r="37" spans="2:5">
      <c r="B37" s="150" t="s">
        <v>838</v>
      </c>
      <c r="C37" s="56"/>
      <c r="D37" s="250"/>
      <c r="E37" s="250"/>
    </row>
    <row r="38" spans="2:5">
      <c r="B38" s="244" t="s">
        <v>746</v>
      </c>
      <c r="C38" s="291" t="str">
        <f>IF(C39*0.1&lt;C37,"Exceed 10% Rule","")</f>
        <v/>
      </c>
      <c r="D38" s="255" t="str">
        <f>IF(D39*0.1&lt;D37,"Exceed 10% Rule","")</f>
        <v/>
      </c>
      <c r="E38" s="255" t="str">
        <f>IF(E39*0.1&lt;E37,"Exceed 10% Rule","")</f>
        <v/>
      </c>
    </row>
    <row r="39" spans="2:5">
      <c r="B39" s="256" t="s">
        <v>87</v>
      </c>
      <c r="C39" s="259">
        <f>SUM(C32:C37)</f>
        <v>0</v>
      </c>
      <c r="D39" s="259">
        <f>SUM(D32:D37)</f>
        <v>0</v>
      </c>
      <c r="E39" s="259">
        <f>SUM(E32:E37)</f>
        <v>0</v>
      </c>
    </row>
    <row r="40" spans="2:5">
      <c r="B40" s="256" t="s">
        <v>88</v>
      </c>
      <c r="C40" s="259">
        <f>C30+C39</f>
        <v>0</v>
      </c>
      <c r="D40" s="259">
        <f>D30+D39</f>
        <v>0</v>
      </c>
      <c r="E40" s="259">
        <f>E30+E39</f>
        <v>0</v>
      </c>
    </row>
    <row r="41" spans="2:5">
      <c r="B41" s="141" t="s">
        <v>90</v>
      </c>
      <c r="C41" s="218"/>
      <c r="D41" s="218"/>
      <c r="E41" s="218"/>
    </row>
    <row r="42" spans="2:5">
      <c r="B42" s="265"/>
      <c r="C42" s="56"/>
      <c r="D42" s="56"/>
      <c r="E42" s="56"/>
    </row>
    <row r="43" spans="2:5">
      <c r="B43" s="265"/>
      <c r="C43" s="56"/>
      <c r="D43" s="56"/>
      <c r="E43" s="56"/>
    </row>
    <row r="44" spans="2:5">
      <c r="B44" s="265"/>
      <c r="C44" s="56"/>
      <c r="D44" s="56"/>
      <c r="E44" s="56"/>
    </row>
    <row r="45" spans="2:5">
      <c r="B45" s="265"/>
      <c r="C45" s="56"/>
      <c r="D45" s="56"/>
      <c r="E45" s="56"/>
    </row>
    <row r="46" spans="2:5">
      <c r="B46" s="265"/>
      <c r="C46" s="56"/>
      <c r="D46" s="56"/>
      <c r="E46" s="56"/>
    </row>
    <row r="47" spans="2:5">
      <c r="B47" s="265"/>
      <c r="C47" s="56"/>
      <c r="D47" s="56"/>
      <c r="E47" s="56"/>
    </row>
    <row r="48" spans="2:5">
      <c r="B48" s="265"/>
      <c r="C48" s="56"/>
      <c r="D48" s="56"/>
      <c r="E48" s="56"/>
    </row>
    <row r="49" spans="2:5">
      <c r="B49" s="265"/>
      <c r="C49" s="56"/>
      <c r="D49" s="56"/>
      <c r="E49" s="56"/>
    </row>
    <row r="50" spans="2:5">
      <c r="B50" s="266" t="s">
        <v>838</v>
      </c>
      <c r="C50" s="56"/>
      <c r="D50" s="250"/>
      <c r="E50" s="250"/>
    </row>
    <row r="51" spans="2:5">
      <c r="B51" s="266" t="s">
        <v>747</v>
      </c>
      <c r="C51" s="291" t="str">
        <f>IF(C52*0.1&lt;C50,"Exceed 10% Rule","")</f>
        <v/>
      </c>
      <c r="D51" s="255" t="str">
        <f>IF(D52*0.1&lt;D50,"Exceed 10% Rule","")</f>
        <v/>
      </c>
      <c r="E51" s="255" t="str">
        <f>IF(E52*0.1&lt;E50,"Exceed 10% Rule","")</f>
        <v/>
      </c>
    </row>
    <row r="52" spans="2:5">
      <c r="B52" s="256" t="s">
        <v>94</v>
      </c>
      <c r="C52" s="259">
        <f>SUM(C42:C50)</f>
        <v>0</v>
      </c>
      <c r="D52" s="259">
        <f>SUM(D42:D50)</f>
        <v>0</v>
      </c>
      <c r="E52" s="259">
        <f>SUM(E42:E50)</f>
        <v>0</v>
      </c>
    </row>
    <row r="53" spans="2:5">
      <c r="B53" s="141" t="s">
        <v>200</v>
      </c>
      <c r="C53" s="71">
        <f>C40-C52</f>
        <v>0</v>
      </c>
      <c r="D53" s="71">
        <f>D40-D52</f>
        <v>0</v>
      </c>
      <c r="E53" s="71">
        <f>E40-E52</f>
        <v>0</v>
      </c>
    </row>
    <row r="54" spans="2:5">
      <c r="B54" s="127" t="str">
        <f>CONCATENATE("",E1-2,"/",E1-1," Budget Authority Amount:")</f>
        <v>2011/2012 Budget Authority Amount:</v>
      </c>
      <c r="C54" s="231">
        <f>inputOth!B88</f>
        <v>0</v>
      </c>
      <c r="D54" s="231">
        <f>inputPrYr!D47</f>
        <v>0</v>
      </c>
      <c r="E54" s="371" t="str">
        <f>IF(E53&lt;0,"See Tab E","")</f>
        <v/>
      </c>
    </row>
    <row r="55" spans="2:5">
      <c r="B55" s="127"/>
      <c r="C55" s="269" t="str">
        <f>IF(C52&gt;C54,"See Tab A","")</f>
        <v/>
      </c>
      <c r="D55" s="269" t="str">
        <f>IF(D52&gt;D54,"See Tab C","")</f>
        <v/>
      </c>
      <c r="E55" s="36"/>
    </row>
    <row r="56" spans="2:5">
      <c r="B56" s="127"/>
      <c r="C56" s="269" t="str">
        <f>IF(C53&lt;0,"See Tab B","")</f>
        <v/>
      </c>
      <c r="D56" s="269" t="str">
        <f>IF(D53&lt;0,"See Tab D","")</f>
        <v/>
      </c>
      <c r="E56" s="36"/>
    </row>
    <row r="57" spans="2:5">
      <c r="B57" s="36"/>
      <c r="C57" s="36"/>
      <c r="D57" s="36"/>
      <c r="E57" s="36"/>
    </row>
    <row r="58" spans="2:5">
      <c r="B58" s="160" t="s">
        <v>97</v>
      </c>
      <c r="C58" s="273"/>
      <c r="D58" s="36"/>
      <c r="E58" s="36"/>
    </row>
  </sheetData>
  <phoneticPr fontId="0" type="noConversion"/>
  <conditionalFormatting sqref="C11">
    <cfRule type="cellIs" dxfId="151" priority="3" stopIfTrue="1" operator="greaterThan">
      <formula>$C$13*0.1</formula>
    </cfRule>
  </conditionalFormatting>
  <conditionalFormatting sqref="D11">
    <cfRule type="cellIs" dxfId="150" priority="4" stopIfTrue="1" operator="greaterThan">
      <formula>$D$13*0.1</formula>
    </cfRule>
  </conditionalFormatting>
  <conditionalFormatting sqref="E11">
    <cfRule type="cellIs" dxfId="149" priority="5" stopIfTrue="1" operator="greaterThan">
      <formula>$E$13*0.1</formula>
    </cfRule>
  </conditionalFormatting>
  <conditionalFormatting sqref="C19">
    <cfRule type="cellIs" dxfId="148" priority="6" stopIfTrue="1" operator="greaterThan">
      <formula>$C$21*0.1</formula>
    </cfRule>
  </conditionalFormatting>
  <conditionalFormatting sqref="D19">
    <cfRule type="cellIs" dxfId="147" priority="7" stopIfTrue="1" operator="greaterThan">
      <formula>$D$21*0.1</formula>
    </cfRule>
  </conditionalFormatting>
  <conditionalFormatting sqref="E19">
    <cfRule type="cellIs" dxfId="146" priority="8" stopIfTrue="1" operator="greaterThan">
      <formula>$E$21*0.1</formula>
    </cfRule>
  </conditionalFormatting>
  <conditionalFormatting sqref="C37">
    <cfRule type="cellIs" dxfId="145" priority="9" stopIfTrue="1" operator="greaterThan">
      <formula>$C$39*0.1</formula>
    </cfRule>
  </conditionalFormatting>
  <conditionalFormatting sqref="D37">
    <cfRule type="cellIs" dxfId="144" priority="10" stopIfTrue="1" operator="greaterThan">
      <formula>$D$39*0.1</formula>
    </cfRule>
  </conditionalFormatting>
  <conditionalFormatting sqref="E37">
    <cfRule type="cellIs" dxfId="143" priority="11" stopIfTrue="1" operator="greaterThan">
      <formula>$E$39*0.1</formula>
    </cfRule>
  </conditionalFormatting>
  <conditionalFormatting sqref="C50">
    <cfRule type="cellIs" dxfId="142" priority="12" stopIfTrue="1" operator="greaterThan">
      <formula>$C$52*0.1</formula>
    </cfRule>
  </conditionalFormatting>
  <conditionalFormatting sqref="D50">
    <cfRule type="cellIs" dxfId="141" priority="13" stopIfTrue="1" operator="greaterThan">
      <formula>$D$52*0.1</formula>
    </cfRule>
  </conditionalFormatting>
  <conditionalFormatting sqref="E50">
    <cfRule type="cellIs" dxfId="140" priority="14" stopIfTrue="1" operator="greaterThan">
      <formula>$E$52*0.1</formula>
    </cfRule>
  </conditionalFormatting>
  <conditionalFormatting sqref="C52:D52">
    <cfRule type="cellIs" dxfId="139" priority="15" stopIfTrue="1" operator="greaterThan">
      <formula>$D$54</formula>
    </cfRule>
  </conditionalFormatting>
  <conditionalFormatting sqref="C53 E53 C22 E22">
    <cfRule type="cellIs" dxfId="138" priority="16" stopIfTrue="1" operator="lessThan">
      <formula>0</formula>
    </cfRule>
  </conditionalFormatting>
  <conditionalFormatting sqref="D21">
    <cfRule type="cellIs" dxfId="137" priority="17" stopIfTrue="1" operator="greaterThan">
      <formula>$D$23</formula>
    </cfRule>
  </conditionalFormatting>
  <conditionalFormatting sqref="C21">
    <cfRule type="cellIs" dxfId="136" priority="18" stopIfTrue="1" operator="greaterThan">
      <formula>$C$23</formula>
    </cfRule>
  </conditionalFormatting>
  <conditionalFormatting sqref="D53">
    <cfRule type="cellIs" dxfId="135" priority="2" stopIfTrue="1" operator="lessThan">
      <formula>0</formula>
    </cfRule>
  </conditionalFormatting>
  <conditionalFormatting sqref="D22">
    <cfRule type="cellIs" dxfId="134"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7"/>
  <sheetViews>
    <sheetView workbookViewId="0">
      <selection activeCell="C10" activeCellId="1" sqref="C21:C25 C10:C12"/>
    </sheetView>
  </sheetViews>
  <sheetFormatPr defaultRowHeight="15.75"/>
  <cols>
    <col min="1" max="1" width="2.44140625" style="21" customWidth="1"/>
    <col min="2" max="2" width="31.109375" style="21" customWidth="1"/>
    <col min="3" max="4" width="15.77734375" style="21" customWidth="1"/>
    <col min="5" max="5" width="16.109375" style="21" customWidth="1"/>
    <col min="6" max="16384" width="8.88671875" style="21"/>
  </cols>
  <sheetData>
    <row r="1" spans="2:5">
      <c r="B1" s="188" t="str">
        <f>(inputPrYr!D2)</f>
        <v>City of Osawatomie</v>
      </c>
      <c r="C1" s="36"/>
      <c r="D1" s="36"/>
      <c r="E1" s="238">
        <f>inputPrYr!C5</f>
        <v>2013</v>
      </c>
    </row>
    <row r="2" spans="2:5">
      <c r="B2" s="36"/>
      <c r="C2" s="36"/>
      <c r="D2" s="36"/>
      <c r="E2" s="160"/>
    </row>
    <row r="3" spans="2:5">
      <c r="B3" s="239" t="s">
        <v>146</v>
      </c>
      <c r="C3" s="280"/>
      <c r="D3" s="280"/>
      <c r="E3" s="280"/>
    </row>
    <row r="4" spans="2:5">
      <c r="B4" s="41" t="s">
        <v>78</v>
      </c>
      <c r="C4" s="416" t="s">
        <v>770</v>
      </c>
      <c r="D4" s="415" t="s">
        <v>771</v>
      </c>
      <c r="E4" s="392" t="s">
        <v>772</v>
      </c>
    </row>
    <row r="5" spans="2:5">
      <c r="B5" s="542">
        <f>inputPrYr!B48</f>
        <v>0</v>
      </c>
      <c r="C5" s="417" t="str">
        <f>CONCATENATE("Actual for ",E1-2,"")</f>
        <v>Actual for 2011</v>
      </c>
      <c r="D5" s="417" t="str">
        <f>CONCATENATE("Estimate for ",E1-1,"")</f>
        <v>Estimate for 2012</v>
      </c>
      <c r="E5" s="401" t="str">
        <f>CONCATENATE("Year for ",E1,"")</f>
        <v>Year for 2013</v>
      </c>
    </row>
    <row r="6" spans="2:5">
      <c r="B6" s="244" t="s">
        <v>199</v>
      </c>
      <c r="C6" s="56"/>
      <c r="D6" s="218">
        <f>C31</f>
        <v>0</v>
      </c>
      <c r="E6" s="218">
        <f>D31</f>
        <v>0</v>
      </c>
    </row>
    <row r="7" spans="2:5" s="34" customFormat="1">
      <c r="B7" s="248" t="s">
        <v>201</v>
      </c>
      <c r="C7" s="76"/>
      <c r="D7" s="76"/>
      <c r="E7" s="76"/>
    </row>
    <row r="8" spans="2:5">
      <c r="B8" s="265"/>
      <c r="C8" s="56"/>
      <c r="D8" s="56"/>
      <c r="E8" s="56"/>
    </row>
    <row r="9" spans="2:5">
      <c r="B9" s="265"/>
      <c r="C9" s="56"/>
      <c r="D9" s="56"/>
      <c r="E9" s="56"/>
    </row>
    <row r="10" spans="2:5">
      <c r="B10" s="265"/>
      <c r="C10" s="56"/>
      <c r="D10" s="56"/>
      <c r="E10" s="56"/>
    </row>
    <row r="11" spans="2:5">
      <c r="B11" s="265"/>
      <c r="C11" s="56"/>
      <c r="D11" s="56"/>
      <c r="E11" s="56"/>
    </row>
    <row r="12" spans="2:5">
      <c r="B12" s="265"/>
      <c r="C12" s="56"/>
      <c r="D12" s="56"/>
      <c r="E12" s="56"/>
    </row>
    <row r="13" spans="2:5">
      <c r="B13" s="265"/>
      <c r="C13" s="56"/>
      <c r="D13" s="56"/>
      <c r="E13" s="56"/>
    </row>
    <row r="14" spans="2:5">
      <c r="B14" s="253" t="s">
        <v>86</v>
      </c>
      <c r="C14" s="56"/>
      <c r="D14" s="56"/>
      <c r="E14" s="56"/>
    </row>
    <row r="15" spans="2:5">
      <c r="B15" s="150" t="s">
        <v>838</v>
      </c>
      <c r="C15" s="56"/>
      <c r="D15" s="250"/>
      <c r="E15" s="250"/>
    </row>
    <row r="16" spans="2:5">
      <c r="B16" s="244" t="s">
        <v>746</v>
      </c>
      <c r="C16" s="291" t="str">
        <f>IF(C17*0.1&lt;C15,"Exceed 10% Rule","")</f>
        <v/>
      </c>
      <c r="D16" s="255" t="str">
        <f>IF(D17*0.1&lt;D15,"Exceed 10% Rule","")</f>
        <v/>
      </c>
      <c r="E16" s="255" t="str">
        <f>IF(E17*0.1&lt;E15,"Exceed 10% Rule","")</f>
        <v/>
      </c>
    </row>
    <row r="17" spans="2:5">
      <c r="B17" s="256" t="s">
        <v>87</v>
      </c>
      <c r="C17" s="259">
        <f>SUM(C8:C15)</f>
        <v>0</v>
      </c>
      <c r="D17" s="259">
        <f>SUM(D8:D15)</f>
        <v>0</v>
      </c>
      <c r="E17" s="259">
        <f>SUM(E8:E15)</f>
        <v>0</v>
      </c>
    </row>
    <row r="18" spans="2:5">
      <c r="B18" s="256" t="s">
        <v>88</v>
      </c>
      <c r="C18" s="259">
        <f>C6+C17</f>
        <v>0</v>
      </c>
      <c r="D18" s="259">
        <f>D6+D17</f>
        <v>0</v>
      </c>
      <c r="E18" s="259">
        <f>E6+E17</f>
        <v>0</v>
      </c>
    </row>
    <row r="19" spans="2:5">
      <c r="B19" s="141" t="s">
        <v>90</v>
      </c>
      <c r="C19" s="218"/>
      <c r="D19" s="218"/>
      <c r="E19" s="218"/>
    </row>
    <row r="20" spans="2:5">
      <c r="B20" s="265"/>
      <c r="C20" s="56"/>
      <c r="D20" s="56"/>
      <c r="E20" s="56"/>
    </row>
    <row r="21" spans="2:5">
      <c r="B21" s="265"/>
      <c r="C21" s="56"/>
      <c r="D21" s="56"/>
      <c r="E21" s="56"/>
    </row>
    <row r="22" spans="2:5">
      <c r="B22" s="265"/>
      <c r="C22" s="56"/>
      <c r="D22" s="56"/>
      <c r="E22" s="56"/>
    </row>
    <row r="23" spans="2:5">
      <c r="B23" s="265"/>
      <c r="C23" s="56"/>
      <c r="D23" s="56"/>
      <c r="E23" s="56"/>
    </row>
    <row r="24" spans="2:5">
      <c r="B24" s="265"/>
      <c r="C24" s="56"/>
      <c r="D24" s="56"/>
      <c r="E24" s="56"/>
    </row>
    <row r="25" spans="2:5">
      <c r="B25" s="265"/>
      <c r="C25" s="56"/>
      <c r="D25" s="56"/>
      <c r="E25" s="56"/>
    </row>
    <row r="26" spans="2:5">
      <c r="B26" s="265"/>
      <c r="C26" s="56"/>
      <c r="D26" s="56"/>
      <c r="E26" s="56"/>
    </row>
    <row r="27" spans="2:5">
      <c r="B27" s="265"/>
      <c r="C27" s="56"/>
      <c r="D27" s="56"/>
      <c r="E27" s="56"/>
    </row>
    <row r="28" spans="2:5">
      <c r="B28" s="266" t="s">
        <v>838</v>
      </c>
      <c r="C28" s="56"/>
      <c r="D28" s="250"/>
      <c r="E28" s="250"/>
    </row>
    <row r="29" spans="2:5">
      <c r="B29" s="266" t="s">
        <v>747</v>
      </c>
      <c r="C29" s="291" t="str">
        <f>IF(C30*0.1&lt;C28,"Exceed 10% Rule","")</f>
        <v/>
      </c>
      <c r="D29" s="255" t="str">
        <f>IF(D30*0.1&lt;D28,"Exceed 10% Rule","")</f>
        <v/>
      </c>
      <c r="E29" s="255" t="str">
        <f>IF(E30*0.1&lt;E28,"Exceed 10% Rule","")</f>
        <v/>
      </c>
    </row>
    <row r="30" spans="2:5">
      <c r="B30" s="256" t="s">
        <v>94</v>
      </c>
      <c r="C30" s="259">
        <f>SUM(C20:C28)</f>
        <v>0</v>
      </c>
      <c r="D30" s="259">
        <f>SUM(D20:D28)</f>
        <v>0</v>
      </c>
      <c r="E30" s="259">
        <f>SUM(E20:E28)</f>
        <v>0</v>
      </c>
    </row>
    <row r="31" spans="2:5">
      <c r="B31" s="141" t="s">
        <v>200</v>
      </c>
      <c r="C31" s="71">
        <f>C18-C30</f>
        <v>0</v>
      </c>
      <c r="D31" s="71">
        <f>D18-D30</f>
        <v>0</v>
      </c>
      <c r="E31" s="71">
        <f>E18-E30</f>
        <v>0</v>
      </c>
    </row>
    <row r="32" spans="2:5">
      <c r="B32" s="127" t="str">
        <f>CONCATENATE("",E1-2,"/",E1-1," Budget Authority Amount:")</f>
        <v>2011/2012 Budget Authority Amount:</v>
      </c>
      <c r="C32" s="231">
        <f>inputOth!B89</f>
        <v>0</v>
      </c>
      <c r="D32" s="231">
        <f>inputPrYr!D48</f>
        <v>0</v>
      </c>
      <c r="E32" s="371" t="str">
        <f>IF(E31&lt;0,"See Tab E","")</f>
        <v/>
      </c>
    </row>
    <row r="33" spans="2:5">
      <c r="B33" s="127"/>
      <c r="C33" s="269" t="str">
        <f>IF(C30&gt;C32,"See Tab A","")</f>
        <v/>
      </c>
      <c r="D33" s="269" t="str">
        <f>IF(D30&gt;D32,"See Tab C","")</f>
        <v/>
      </c>
      <c r="E33" s="86"/>
    </row>
    <row r="34" spans="2:5">
      <c r="B34" s="127"/>
      <c r="C34" s="269" t="str">
        <f>IF(C31&lt;0,"See Tab B","")</f>
        <v/>
      </c>
      <c r="D34" s="269" t="str">
        <f>IF(D31&lt;0,"See Tab D","")</f>
        <v/>
      </c>
      <c r="E34" s="86"/>
    </row>
    <row r="35" spans="2:5">
      <c r="B35" s="36"/>
      <c r="C35" s="86"/>
      <c r="D35" s="86"/>
      <c r="E35" s="86"/>
    </row>
    <row r="36" spans="2:5">
      <c r="B36" s="41"/>
      <c r="C36" s="286"/>
      <c r="D36" s="286"/>
      <c r="E36" s="286"/>
    </row>
    <row r="37" spans="2:5">
      <c r="B37" s="41" t="s">
        <v>78</v>
      </c>
      <c r="C37" s="271" t="s">
        <v>770</v>
      </c>
      <c r="D37" s="135" t="s">
        <v>771</v>
      </c>
      <c r="E37" s="135" t="s">
        <v>772</v>
      </c>
    </row>
    <row r="38" spans="2:5">
      <c r="B38" s="542">
        <f>inputPrYr!B49</f>
        <v>0</v>
      </c>
      <c r="C38" s="243" t="str">
        <f>C5</f>
        <v>Actual for 2011</v>
      </c>
      <c r="D38" s="243" t="str">
        <f>D5</f>
        <v>Estimate for 2012</v>
      </c>
      <c r="E38" s="243" t="str">
        <f>E5</f>
        <v>Year for 2013</v>
      </c>
    </row>
    <row r="39" spans="2:5">
      <c r="B39" s="244" t="s">
        <v>199</v>
      </c>
      <c r="C39" s="56"/>
      <c r="D39" s="218">
        <f>C62</f>
        <v>0</v>
      </c>
      <c r="E39" s="218">
        <f>D62</f>
        <v>0</v>
      </c>
    </row>
    <row r="40" spans="2:5" s="34" customFormat="1">
      <c r="B40" s="248" t="s">
        <v>201</v>
      </c>
      <c r="C40" s="76"/>
      <c r="D40" s="76"/>
      <c r="E40" s="76"/>
    </row>
    <row r="41" spans="2:5">
      <c r="B41" s="265"/>
      <c r="C41" s="56"/>
      <c r="D41" s="56"/>
      <c r="E41" s="56"/>
    </row>
    <row r="42" spans="2:5">
      <c r="B42" s="265"/>
      <c r="C42" s="56"/>
      <c r="D42" s="56"/>
      <c r="E42" s="56"/>
    </row>
    <row r="43" spans="2:5">
      <c r="B43" s="265"/>
      <c r="C43" s="56"/>
      <c r="D43" s="56"/>
      <c r="E43" s="56"/>
    </row>
    <row r="44" spans="2:5">
      <c r="B44" s="265"/>
      <c r="C44" s="56"/>
      <c r="D44" s="56"/>
      <c r="E44" s="56"/>
    </row>
    <row r="45" spans="2:5">
      <c r="B45" s="253" t="s">
        <v>86</v>
      </c>
      <c r="C45" s="56"/>
      <c r="D45" s="56"/>
      <c r="E45" s="56"/>
    </row>
    <row r="46" spans="2:5">
      <c r="B46" s="150" t="s">
        <v>838</v>
      </c>
      <c r="C46" s="56"/>
      <c r="D46" s="250"/>
      <c r="E46" s="250"/>
    </row>
    <row r="47" spans="2:5">
      <c r="B47" s="244" t="s">
        <v>746</v>
      </c>
      <c r="C47" s="291" t="str">
        <f>IF(C48*0.1&lt;C46,"Exceed 10% Rule","")</f>
        <v/>
      </c>
      <c r="D47" s="255" t="str">
        <f>IF(D48*0.1&lt;D46,"Exceed 10% Rule","")</f>
        <v/>
      </c>
      <c r="E47" s="255" t="str">
        <f>IF(E48*0.1&lt;E46,"Exceed 10% Rule","")</f>
        <v/>
      </c>
    </row>
    <row r="48" spans="2:5">
      <c r="B48" s="256" t="s">
        <v>87</v>
      </c>
      <c r="C48" s="259">
        <f>SUM(C41:C46)</f>
        <v>0</v>
      </c>
      <c r="D48" s="259">
        <f>SUM(D41:D46)</f>
        <v>0</v>
      </c>
      <c r="E48" s="259">
        <f>SUM(E41:E46)</f>
        <v>0</v>
      </c>
    </row>
    <row r="49" spans="2:5">
      <c r="B49" s="256" t="s">
        <v>88</v>
      </c>
      <c r="C49" s="259">
        <f>C39+C48</f>
        <v>0</v>
      </c>
      <c r="D49" s="259">
        <f>D39+D48</f>
        <v>0</v>
      </c>
      <c r="E49" s="259">
        <f>E39+E48</f>
        <v>0</v>
      </c>
    </row>
    <row r="50" spans="2:5">
      <c r="B50" s="141" t="s">
        <v>90</v>
      </c>
      <c r="C50" s="218"/>
      <c r="D50" s="218"/>
      <c r="E50" s="218"/>
    </row>
    <row r="51" spans="2:5">
      <c r="B51" s="265"/>
      <c r="C51" s="56"/>
      <c r="D51" s="56"/>
      <c r="E51" s="56"/>
    </row>
    <row r="52" spans="2:5">
      <c r="B52" s="265"/>
      <c r="C52" s="56"/>
      <c r="D52" s="56"/>
      <c r="E52" s="56"/>
    </row>
    <row r="53" spans="2:5">
      <c r="B53" s="265"/>
      <c r="C53" s="56"/>
      <c r="D53" s="56"/>
      <c r="E53" s="56"/>
    </row>
    <row r="54" spans="2:5">
      <c r="B54" s="265"/>
      <c r="C54" s="56"/>
      <c r="D54" s="56"/>
      <c r="E54" s="56"/>
    </row>
    <row r="55" spans="2:5">
      <c r="B55" s="265"/>
      <c r="C55" s="56"/>
      <c r="D55" s="56"/>
      <c r="E55" s="56"/>
    </row>
    <row r="56" spans="2:5">
      <c r="B56" s="265"/>
      <c r="C56" s="56"/>
      <c r="D56" s="56"/>
      <c r="E56" s="56"/>
    </row>
    <row r="57" spans="2:5">
      <c r="B57" s="265"/>
      <c r="C57" s="56"/>
      <c r="D57" s="56"/>
      <c r="E57" s="56"/>
    </row>
    <row r="58" spans="2:5">
      <c r="B58" s="265"/>
      <c r="C58" s="56"/>
      <c r="D58" s="56"/>
      <c r="E58" s="56"/>
    </row>
    <row r="59" spans="2:5">
      <c r="B59" s="266" t="s">
        <v>838</v>
      </c>
      <c r="C59" s="56"/>
      <c r="D59" s="250"/>
      <c r="E59" s="250"/>
    </row>
    <row r="60" spans="2:5">
      <c r="B60" s="266" t="s">
        <v>747</v>
      </c>
      <c r="C60" s="291" t="str">
        <f>IF(C61*0.1&lt;C59,"Exceed 10% Rule","")</f>
        <v/>
      </c>
      <c r="D60" s="255" t="str">
        <f>IF(D61*0.1&lt;D59,"Exceed 10% Rule","")</f>
        <v/>
      </c>
      <c r="E60" s="255" t="str">
        <f>IF(E61*0.1&lt;E59,"Exceed 10% Rule","")</f>
        <v/>
      </c>
    </row>
    <row r="61" spans="2:5">
      <c r="B61" s="256" t="s">
        <v>94</v>
      </c>
      <c r="C61" s="259">
        <f>SUM(C51:C59)</f>
        <v>0</v>
      </c>
      <c r="D61" s="259">
        <f>SUM(D51:D59)</f>
        <v>0</v>
      </c>
      <c r="E61" s="259">
        <f>SUM(E51:E59)</f>
        <v>0</v>
      </c>
    </row>
    <row r="62" spans="2:5">
      <c r="B62" s="141" t="s">
        <v>200</v>
      </c>
      <c r="C62" s="71">
        <f>C49-C61</f>
        <v>0</v>
      </c>
      <c r="D62" s="71">
        <f>D49-D61</f>
        <v>0</v>
      </c>
      <c r="E62" s="71">
        <f>E49-E61</f>
        <v>0</v>
      </c>
    </row>
    <row r="63" spans="2:5">
      <c r="B63" s="127" t="str">
        <f>CONCATENATE("",E1-2,"/",E1-1," Budget Authority Amount:")</f>
        <v>2011/2012 Budget Authority Amount:</v>
      </c>
      <c r="C63" s="231">
        <f>inputOth!B90</f>
        <v>0</v>
      </c>
      <c r="D63" s="231">
        <f>inputPrYr!D49</f>
        <v>0</v>
      </c>
      <c r="E63" s="371" t="str">
        <f>IF(E62&lt;0,"See Tab E","")</f>
        <v/>
      </c>
    </row>
    <row r="64" spans="2:5">
      <c r="B64" s="127"/>
      <c r="C64" s="269" t="str">
        <f>IF(C61&gt;C63,"See Tab A","")</f>
        <v/>
      </c>
      <c r="D64" s="269" t="str">
        <f>IF(D61&gt;D63,"See Tab C","")</f>
        <v/>
      </c>
      <c r="E64" s="36"/>
    </row>
    <row r="65" spans="2:5">
      <c r="B65" s="127"/>
      <c r="C65" s="269" t="str">
        <f>IF(C62&lt;0,"See Tab B","")</f>
        <v/>
      </c>
      <c r="D65" s="269" t="str">
        <f>IF(D62&lt;0,"See Tab D","")</f>
        <v/>
      </c>
      <c r="E65" s="36"/>
    </row>
    <row r="66" spans="2:5">
      <c r="B66" s="36"/>
      <c r="C66" s="36"/>
      <c r="D66" s="36"/>
      <c r="E66" s="36"/>
    </row>
    <row r="67" spans="2:5">
      <c r="B67" s="160" t="s">
        <v>97</v>
      </c>
      <c r="C67" s="273"/>
      <c r="D67" s="36"/>
      <c r="E67" s="36"/>
    </row>
  </sheetData>
  <sheetProtection sheet="1"/>
  <phoneticPr fontId="0" type="noConversion"/>
  <conditionalFormatting sqref="C15">
    <cfRule type="cellIs" dxfId="133" priority="18" stopIfTrue="1" operator="greaterThan">
      <formula>$C$17*0.1</formula>
    </cfRule>
  </conditionalFormatting>
  <conditionalFormatting sqref="D15">
    <cfRule type="cellIs" dxfId="132" priority="17" stopIfTrue="1" operator="greaterThan">
      <formula>$D$17*0.1</formula>
    </cfRule>
  </conditionalFormatting>
  <conditionalFormatting sqref="E15">
    <cfRule type="cellIs" dxfId="131" priority="16" stopIfTrue="1" operator="greaterThan">
      <formula>$E$17*0.1</formula>
    </cfRule>
  </conditionalFormatting>
  <conditionalFormatting sqref="C28">
    <cfRule type="cellIs" dxfId="130" priority="15" stopIfTrue="1" operator="greaterThan">
      <formula>$C$30*0.1</formula>
    </cfRule>
  </conditionalFormatting>
  <conditionalFormatting sqref="D28">
    <cfRule type="cellIs" dxfId="129" priority="14" stopIfTrue="1" operator="greaterThan">
      <formula>$D$30*0.1</formula>
    </cfRule>
  </conditionalFormatting>
  <conditionalFormatting sqref="E28">
    <cfRule type="cellIs" dxfId="128" priority="13" stopIfTrue="1" operator="greaterThan">
      <formula>$E$30*0.1</formula>
    </cfRule>
  </conditionalFormatting>
  <conditionalFormatting sqref="C46">
    <cfRule type="cellIs" dxfId="127" priority="12" stopIfTrue="1" operator="greaterThan">
      <formula>$C$48*0.1</formula>
    </cfRule>
  </conditionalFormatting>
  <conditionalFormatting sqref="D46">
    <cfRule type="cellIs" dxfId="126" priority="11" stopIfTrue="1" operator="greaterThan">
      <formula>$D$48*0.1</formula>
    </cfRule>
  </conditionalFormatting>
  <conditionalFormatting sqref="E46">
    <cfRule type="cellIs" dxfId="125" priority="10" stopIfTrue="1" operator="greaterThan">
      <formula>$E$48*0.1</formula>
    </cfRule>
  </conditionalFormatting>
  <conditionalFormatting sqref="C59">
    <cfRule type="cellIs" dxfId="124" priority="9" stopIfTrue="1" operator="greaterThan">
      <formula>$C$61*0.1</formula>
    </cfRule>
  </conditionalFormatting>
  <conditionalFormatting sqref="D59">
    <cfRule type="cellIs" dxfId="123" priority="8" stopIfTrue="1" operator="greaterThan">
      <formula>$D$61*0.1</formula>
    </cfRule>
  </conditionalFormatting>
  <conditionalFormatting sqref="E59">
    <cfRule type="cellIs" dxfId="122" priority="7" stopIfTrue="1" operator="greaterThan">
      <formula>$E$61*0.1</formula>
    </cfRule>
  </conditionalFormatting>
  <conditionalFormatting sqref="C61:D61">
    <cfRule type="cellIs" dxfId="121" priority="6" stopIfTrue="1" operator="greaterThan">
      <formula>$D$63</formula>
    </cfRule>
  </conditionalFormatting>
  <conditionalFormatting sqref="C62 E62 C31 E31">
    <cfRule type="cellIs" dxfId="120" priority="5" stopIfTrue="1" operator="lessThan">
      <formula>0</formula>
    </cfRule>
  </conditionalFormatting>
  <conditionalFormatting sqref="D30">
    <cfRule type="cellIs" dxfId="119" priority="4" stopIfTrue="1" operator="greaterThan">
      <formula>$D$32</formula>
    </cfRule>
  </conditionalFormatting>
  <conditionalFormatting sqref="C30">
    <cfRule type="cellIs" dxfId="118" priority="3" stopIfTrue="1" operator="greaterThan">
      <formula>$C$32</formula>
    </cfRule>
  </conditionalFormatting>
  <conditionalFormatting sqref="D62">
    <cfRule type="cellIs" dxfId="117" priority="2" stopIfTrue="1" operator="lessThan">
      <formula>0</formula>
    </cfRule>
  </conditionalFormatting>
  <conditionalFormatting sqref="D31">
    <cfRule type="cellIs" dxfId="116" priority="1" stopIfTrue="1" operator="lessThan">
      <formula>0</formula>
    </cfRule>
  </conditionalFormatting>
  <pageMargins left="0.7" right="0.7" top="0.75" bottom="0.75" header="0.3" footer="0.3"/>
  <pageSetup scale="72" orientation="portrait" blackAndWhite="1" r:id="rId1"/>
  <headerFooter>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7"/>
  <sheetViews>
    <sheetView workbookViewId="0">
      <selection activeCell="A56" sqref="A56"/>
    </sheetView>
  </sheetViews>
  <sheetFormatPr defaultRowHeight="15.75"/>
  <cols>
    <col min="1" max="1" width="2.44140625" style="21" customWidth="1"/>
    <col min="2" max="2" width="31.109375" style="21" customWidth="1"/>
    <col min="3" max="4" width="15.77734375" style="21" customWidth="1"/>
    <col min="5" max="5" width="16.109375" style="21" customWidth="1"/>
    <col min="6" max="16384" width="8.88671875" style="21"/>
  </cols>
  <sheetData>
    <row r="1" spans="2:5">
      <c r="B1" s="188" t="str">
        <f>(inputPrYr!D2)</f>
        <v>City of Osawatomie</v>
      </c>
      <c r="C1" s="36"/>
      <c r="D1" s="36"/>
      <c r="E1" s="238">
        <f>inputPrYr!C5</f>
        <v>2013</v>
      </c>
    </row>
    <row r="2" spans="2:5">
      <c r="B2" s="36"/>
      <c r="C2" s="36"/>
      <c r="D2" s="36"/>
      <c r="E2" s="160"/>
    </row>
    <row r="3" spans="2:5">
      <c r="B3" s="239" t="s">
        <v>146</v>
      </c>
      <c r="C3" s="280"/>
      <c r="D3" s="280"/>
      <c r="E3" s="280"/>
    </row>
    <row r="4" spans="2:5">
      <c r="B4" s="41" t="s">
        <v>78</v>
      </c>
      <c r="C4" s="416" t="s">
        <v>770</v>
      </c>
      <c r="D4" s="415" t="s">
        <v>771</v>
      </c>
      <c r="E4" s="392" t="s">
        <v>772</v>
      </c>
    </row>
    <row r="5" spans="2:5">
      <c r="B5" s="542">
        <f>inputPrYr!B50</f>
        <v>0</v>
      </c>
      <c r="C5" s="417" t="str">
        <f>CONCATENATE("Actual for ",E1-2,"")</f>
        <v>Actual for 2011</v>
      </c>
      <c r="D5" s="417" t="str">
        <f>CONCATENATE("Estimate for ",E1-1,"")</f>
        <v>Estimate for 2012</v>
      </c>
      <c r="E5" s="401" t="str">
        <f>CONCATENATE("Year for ",E1,"")</f>
        <v>Year for 2013</v>
      </c>
    </row>
    <row r="6" spans="2:5">
      <c r="B6" s="244" t="s">
        <v>199</v>
      </c>
      <c r="C6" s="56"/>
      <c r="D6" s="218">
        <f>C31</f>
        <v>0</v>
      </c>
      <c r="E6" s="218">
        <f>D31</f>
        <v>0</v>
      </c>
    </row>
    <row r="7" spans="2:5" s="34" customFormat="1">
      <c r="B7" s="248" t="s">
        <v>201</v>
      </c>
      <c r="C7" s="76"/>
      <c r="D7" s="76"/>
      <c r="E7" s="76"/>
    </row>
    <row r="8" spans="2:5">
      <c r="B8" s="265"/>
      <c r="C8" s="56"/>
      <c r="D8" s="56"/>
      <c r="E8" s="56"/>
    </row>
    <row r="9" spans="2:5">
      <c r="B9" s="265"/>
      <c r="C9" s="56"/>
      <c r="D9" s="56"/>
      <c r="E9" s="56"/>
    </row>
    <row r="10" spans="2:5">
      <c r="B10" s="265"/>
      <c r="C10" s="56"/>
      <c r="D10" s="56"/>
      <c r="E10" s="56"/>
    </row>
    <row r="11" spans="2:5">
      <c r="B11" s="265"/>
      <c r="C11" s="56"/>
      <c r="D11" s="56"/>
      <c r="E11" s="56"/>
    </row>
    <row r="12" spans="2:5">
      <c r="B12" s="265"/>
      <c r="C12" s="56"/>
      <c r="D12" s="56"/>
      <c r="E12" s="56"/>
    </row>
    <row r="13" spans="2:5">
      <c r="B13" s="265"/>
      <c r="C13" s="56"/>
      <c r="D13" s="56"/>
      <c r="E13" s="56"/>
    </row>
    <row r="14" spans="2:5">
      <c r="B14" s="253" t="s">
        <v>86</v>
      </c>
      <c r="C14" s="56"/>
      <c r="D14" s="56"/>
      <c r="E14" s="56"/>
    </row>
    <row r="15" spans="2:5">
      <c r="B15" s="150" t="s">
        <v>838</v>
      </c>
      <c r="C15" s="56"/>
      <c r="D15" s="250"/>
      <c r="E15" s="250"/>
    </row>
    <row r="16" spans="2:5">
      <c r="B16" s="244" t="s">
        <v>746</v>
      </c>
      <c r="C16" s="291" t="str">
        <f>IF(C17*0.1&lt;C15,"Exceed 10% Rule","")</f>
        <v/>
      </c>
      <c r="D16" s="255" t="str">
        <f>IF(D17*0.1&lt;D15,"Exceed 10% Rule","")</f>
        <v/>
      </c>
      <c r="E16" s="255" t="str">
        <f>IF(E17*0.1&lt;E15,"Exceed 10% Rule","")</f>
        <v/>
      </c>
    </row>
    <row r="17" spans="2:5">
      <c r="B17" s="256" t="s">
        <v>87</v>
      </c>
      <c r="C17" s="259">
        <f>SUM(C8:C15)</f>
        <v>0</v>
      </c>
      <c r="D17" s="259">
        <f>SUM(D8:D15)</f>
        <v>0</v>
      </c>
      <c r="E17" s="259">
        <f>SUM(E8:E15)</f>
        <v>0</v>
      </c>
    </row>
    <row r="18" spans="2:5">
      <c r="B18" s="256" t="s">
        <v>88</v>
      </c>
      <c r="C18" s="259">
        <f>C6+C17</f>
        <v>0</v>
      </c>
      <c r="D18" s="259">
        <f>D6+D17</f>
        <v>0</v>
      </c>
      <c r="E18" s="259">
        <f>E6+E17</f>
        <v>0</v>
      </c>
    </row>
    <row r="19" spans="2:5">
      <c r="B19" s="141" t="s">
        <v>90</v>
      </c>
      <c r="C19" s="218"/>
      <c r="D19" s="218"/>
      <c r="E19" s="218"/>
    </row>
    <row r="20" spans="2:5">
      <c r="B20" s="265"/>
      <c r="C20" s="56"/>
      <c r="D20" s="56"/>
      <c r="E20" s="56"/>
    </row>
    <row r="21" spans="2:5">
      <c r="B21" s="265"/>
      <c r="C21" s="56"/>
      <c r="D21" s="56"/>
      <c r="E21" s="56"/>
    </row>
    <row r="22" spans="2:5">
      <c r="B22" s="265"/>
      <c r="C22" s="56"/>
      <c r="D22" s="56"/>
      <c r="E22" s="56"/>
    </row>
    <row r="23" spans="2:5">
      <c r="B23" s="265"/>
      <c r="C23" s="56"/>
      <c r="D23" s="56"/>
      <c r="E23" s="56"/>
    </row>
    <row r="24" spans="2:5">
      <c r="B24" s="265"/>
      <c r="C24" s="56"/>
      <c r="D24" s="56"/>
      <c r="E24" s="56"/>
    </row>
    <row r="25" spans="2:5">
      <c r="B25" s="265"/>
      <c r="C25" s="56"/>
      <c r="D25" s="56"/>
      <c r="E25" s="56"/>
    </row>
    <row r="26" spans="2:5">
      <c r="B26" s="265"/>
      <c r="C26" s="56"/>
      <c r="D26" s="56"/>
      <c r="E26" s="56"/>
    </row>
    <row r="27" spans="2:5">
      <c r="B27" s="265"/>
      <c r="C27" s="56"/>
      <c r="D27" s="56"/>
      <c r="E27" s="56"/>
    </row>
    <row r="28" spans="2:5">
      <c r="B28" s="266" t="s">
        <v>838</v>
      </c>
      <c r="C28" s="56"/>
      <c r="D28" s="250"/>
      <c r="E28" s="250"/>
    </row>
    <row r="29" spans="2:5">
      <c r="B29" s="266" t="s">
        <v>747</v>
      </c>
      <c r="C29" s="291" t="str">
        <f>IF(C30*0.1&lt;C28,"Exceed 10% Rule","")</f>
        <v/>
      </c>
      <c r="D29" s="255" t="str">
        <f>IF(D30*0.1&lt;D28,"Exceed 10% Rule","")</f>
        <v/>
      </c>
      <c r="E29" s="255" t="str">
        <f>IF(E30*0.1&lt;E28,"Exceed 10% Rule","")</f>
        <v/>
      </c>
    </row>
    <row r="30" spans="2:5">
      <c r="B30" s="256" t="s">
        <v>94</v>
      </c>
      <c r="C30" s="259">
        <f>SUM(C20:C28)</f>
        <v>0</v>
      </c>
      <c r="D30" s="259">
        <f>SUM(D20:D28)</f>
        <v>0</v>
      </c>
      <c r="E30" s="259">
        <f>SUM(E20:E28)</f>
        <v>0</v>
      </c>
    </row>
    <row r="31" spans="2:5">
      <c r="B31" s="141" t="s">
        <v>200</v>
      </c>
      <c r="C31" s="71">
        <f>C18-C30</f>
        <v>0</v>
      </c>
      <c r="D31" s="71">
        <f>D18-D30</f>
        <v>0</v>
      </c>
      <c r="E31" s="71">
        <f>E18-E30</f>
        <v>0</v>
      </c>
    </row>
    <row r="32" spans="2:5">
      <c r="B32" s="127" t="str">
        <f>CONCATENATE("",E1-2,"/",E1-1," Budget Authority Amount:")</f>
        <v>2011/2012 Budget Authority Amount:</v>
      </c>
      <c r="C32" s="231">
        <f>inputOth!B91</f>
        <v>0</v>
      </c>
      <c r="D32" s="231">
        <f>inputPrYr!D50</f>
        <v>0</v>
      </c>
      <c r="E32" s="371" t="str">
        <f>IF(E31&lt;0,"See Tab E","")</f>
        <v/>
      </c>
    </row>
    <row r="33" spans="2:5">
      <c r="B33" s="127"/>
      <c r="C33" s="372" t="str">
        <f>IF(C30&gt;C32,"See Tab A","")</f>
        <v/>
      </c>
      <c r="D33" s="269" t="str">
        <f>IF(D30&gt;D32,"See Tab C","")</f>
        <v/>
      </c>
      <c r="E33" s="86"/>
    </row>
    <row r="34" spans="2:5">
      <c r="B34" s="127"/>
      <c r="C34" s="372" t="str">
        <f>IF(C31&lt;0,"See Tab B","")</f>
        <v/>
      </c>
      <c r="D34" s="269" t="str">
        <f>IF(D31&lt;0,"See Tab D","")</f>
        <v/>
      </c>
      <c r="E34" s="86"/>
    </row>
    <row r="35" spans="2:5">
      <c r="B35" s="36"/>
      <c r="C35" s="373"/>
      <c r="D35" s="86"/>
      <c r="E35" s="86"/>
    </row>
    <row r="36" spans="2:5">
      <c r="B36" s="41"/>
      <c r="C36" s="374"/>
      <c r="D36" s="286"/>
      <c r="E36" s="286"/>
    </row>
    <row r="37" spans="2:5">
      <c r="B37" s="41" t="s">
        <v>78</v>
      </c>
      <c r="C37" s="271" t="s">
        <v>99</v>
      </c>
      <c r="D37" s="135" t="s">
        <v>222</v>
      </c>
      <c r="E37" s="135" t="s">
        <v>223</v>
      </c>
    </row>
    <row r="38" spans="2:5">
      <c r="B38" s="542">
        <f>inputPrYr!B51</f>
        <v>0</v>
      </c>
      <c r="C38" s="243" t="str">
        <f>C5</f>
        <v>Actual for 2011</v>
      </c>
      <c r="D38" s="243" t="str">
        <f>D5</f>
        <v>Estimate for 2012</v>
      </c>
      <c r="E38" s="243" t="str">
        <f>E5</f>
        <v>Year for 2013</v>
      </c>
    </row>
    <row r="39" spans="2:5">
      <c r="B39" s="244" t="s">
        <v>199</v>
      </c>
      <c r="C39" s="56"/>
      <c r="D39" s="218">
        <f>C62</f>
        <v>0</v>
      </c>
      <c r="E39" s="218">
        <f>D62</f>
        <v>0</v>
      </c>
    </row>
    <row r="40" spans="2:5" s="34" customFormat="1">
      <c r="B40" s="248" t="s">
        <v>201</v>
      </c>
      <c r="C40" s="76"/>
      <c r="D40" s="76"/>
      <c r="E40" s="76"/>
    </row>
    <row r="41" spans="2:5">
      <c r="B41" s="265"/>
      <c r="C41" s="56"/>
      <c r="D41" s="56"/>
      <c r="E41" s="56"/>
    </row>
    <row r="42" spans="2:5">
      <c r="B42" s="265"/>
      <c r="C42" s="56"/>
      <c r="D42" s="56"/>
      <c r="E42" s="56"/>
    </row>
    <row r="43" spans="2:5">
      <c r="B43" s="265"/>
      <c r="C43" s="56"/>
      <c r="D43" s="56"/>
      <c r="E43" s="56"/>
    </row>
    <row r="44" spans="2:5">
      <c r="B44" s="265"/>
      <c r="C44" s="56"/>
      <c r="D44" s="56"/>
      <c r="E44" s="56"/>
    </row>
    <row r="45" spans="2:5">
      <c r="B45" s="253" t="s">
        <v>86</v>
      </c>
      <c r="C45" s="56"/>
      <c r="D45" s="56"/>
      <c r="E45" s="56"/>
    </row>
    <row r="46" spans="2:5">
      <c r="B46" s="150" t="s">
        <v>838</v>
      </c>
      <c r="C46" s="56"/>
      <c r="D46" s="250"/>
      <c r="E46" s="250"/>
    </row>
    <row r="47" spans="2:5">
      <c r="B47" s="244" t="s">
        <v>746</v>
      </c>
      <c r="C47" s="291" t="str">
        <f>IF(C48*0.1&lt;C46,"Exceed 10% Rule","")</f>
        <v/>
      </c>
      <c r="D47" s="255" t="str">
        <f>IF(D48*0.1&lt;D46,"Exceed 10% Rule","")</f>
        <v/>
      </c>
      <c r="E47" s="255" t="str">
        <f>IF(E48*0.1&lt;E46,"Exceed 10% Rule","")</f>
        <v/>
      </c>
    </row>
    <row r="48" spans="2:5">
      <c r="B48" s="256" t="s">
        <v>87</v>
      </c>
      <c r="C48" s="259">
        <f>SUM(C41:C46)</f>
        <v>0</v>
      </c>
      <c r="D48" s="259">
        <f>SUM(D41:D46)</f>
        <v>0</v>
      </c>
      <c r="E48" s="259">
        <f>SUM(E41:E46)</f>
        <v>0</v>
      </c>
    </row>
    <row r="49" spans="2:5">
      <c r="B49" s="256" t="s">
        <v>88</v>
      </c>
      <c r="C49" s="259">
        <f>C39+C48</f>
        <v>0</v>
      </c>
      <c r="D49" s="259">
        <f>D39+D48</f>
        <v>0</v>
      </c>
      <c r="E49" s="259">
        <f>E39+E48</f>
        <v>0</v>
      </c>
    </row>
    <row r="50" spans="2:5">
      <c r="B50" s="141" t="s">
        <v>90</v>
      </c>
      <c r="C50" s="218"/>
      <c r="D50" s="218"/>
      <c r="E50" s="218"/>
    </row>
    <row r="51" spans="2:5">
      <c r="B51" s="265"/>
      <c r="C51" s="56"/>
      <c r="D51" s="56"/>
      <c r="E51" s="56"/>
    </row>
    <row r="52" spans="2:5">
      <c r="B52" s="265"/>
      <c r="C52" s="56"/>
      <c r="D52" s="56"/>
      <c r="E52" s="56"/>
    </row>
    <row r="53" spans="2:5">
      <c r="B53" s="265"/>
      <c r="C53" s="56"/>
      <c r="D53" s="56"/>
      <c r="E53" s="56"/>
    </row>
    <row r="54" spans="2:5">
      <c r="B54" s="265"/>
      <c r="C54" s="56"/>
      <c r="D54" s="56"/>
      <c r="E54" s="56"/>
    </row>
    <row r="55" spans="2:5">
      <c r="B55" s="265"/>
      <c r="C55" s="56"/>
      <c r="D55" s="56"/>
      <c r="E55" s="56"/>
    </row>
    <row r="56" spans="2:5">
      <c r="B56" s="265"/>
      <c r="C56" s="56"/>
      <c r="D56" s="56"/>
      <c r="E56" s="56"/>
    </row>
    <row r="57" spans="2:5">
      <c r="B57" s="265"/>
      <c r="C57" s="56"/>
      <c r="D57" s="56"/>
      <c r="E57" s="56"/>
    </row>
    <row r="58" spans="2:5">
      <c r="B58" s="265"/>
      <c r="C58" s="56"/>
      <c r="D58" s="56"/>
      <c r="E58" s="56"/>
    </row>
    <row r="59" spans="2:5">
      <c r="B59" s="266" t="s">
        <v>838</v>
      </c>
      <c r="C59" s="56"/>
      <c r="D59" s="250"/>
      <c r="E59" s="250"/>
    </row>
    <row r="60" spans="2:5">
      <c r="B60" s="266" t="s">
        <v>747</v>
      </c>
      <c r="C60" s="291" t="str">
        <f>IF(C61*0.1&lt;C59,"Exceed 10% Rule","")</f>
        <v/>
      </c>
      <c r="D60" s="255" t="str">
        <f>IF(D61*0.1&lt;D59,"Exceed 10% Rule","")</f>
        <v/>
      </c>
      <c r="E60" s="255" t="str">
        <f>IF(E61*0.1&lt;E59,"Exceed 10% Rule","")</f>
        <v/>
      </c>
    </row>
    <row r="61" spans="2:5">
      <c r="B61" s="256" t="s">
        <v>94</v>
      </c>
      <c r="C61" s="259">
        <f>SUM(C51:C59)</f>
        <v>0</v>
      </c>
      <c r="D61" s="259">
        <f>SUM(D51:D59)</f>
        <v>0</v>
      </c>
      <c r="E61" s="259">
        <f>SUM(E51:E59)</f>
        <v>0</v>
      </c>
    </row>
    <row r="62" spans="2:5">
      <c r="B62" s="141" t="s">
        <v>200</v>
      </c>
      <c r="C62" s="71">
        <f>C49-C61</f>
        <v>0</v>
      </c>
      <c r="D62" s="71">
        <f>D49-D61</f>
        <v>0</v>
      </c>
      <c r="E62" s="71">
        <f>E49-E61</f>
        <v>0</v>
      </c>
    </row>
    <row r="63" spans="2:5">
      <c r="B63" s="127" t="str">
        <f>CONCATENATE("",E1-2,"/",E1-1," Budget Authority Amount:")</f>
        <v>2011/2012 Budget Authority Amount:</v>
      </c>
      <c r="C63" s="231">
        <f>inputOth!B92</f>
        <v>0</v>
      </c>
      <c r="D63" s="231">
        <f>inputPrYr!D51</f>
        <v>0</v>
      </c>
      <c r="E63" s="371" t="str">
        <f>IF(E62&lt;0,"See Tab E","")</f>
        <v/>
      </c>
    </row>
    <row r="64" spans="2:5">
      <c r="B64" s="127"/>
      <c r="C64" s="269" t="str">
        <f>IF(C61&gt;C63,"See Tab A","")</f>
        <v/>
      </c>
      <c r="D64" s="269" t="str">
        <f>IF(D61&gt;D63,"See Tab C","")</f>
        <v/>
      </c>
      <c r="E64" s="36"/>
    </row>
    <row r="65" spans="2:5">
      <c r="B65" s="127"/>
      <c r="C65" s="269" t="str">
        <f>IF(C62&lt;0,"See Tab B","")</f>
        <v/>
      </c>
      <c r="D65" s="269" t="str">
        <f>IF(D62&lt;0,"See Tab D","")</f>
        <v/>
      </c>
      <c r="E65" s="36"/>
    </row>
    <row r="66" spans="2:5">
      <c r="B66" s="36"/>
      <c r="C66" s="36"/>
      <c r="D66" s="36"/>
      <c r="E66" s="36"/>
    </row>
    <row r="67" spans="2:5">
      <c r="B67" s="160" t="s">
        <v>97</v>
      </c>
      <c r="C67" s="273"/>
      <c r="D67" s="36"/>
      <c r="E67" s="36"/>
    </row>
  </sheetData>
  <sheetProtection sheet="1"/>
  <phoneticPr fontId="0" type="noConversion"/>
  <conditionalFormatting sqref="C15">
    <cfRule type="cellIs" dxfId="115" priority="18" stopIfTrue="1" operator="greaterThan">
      <formula>$C$17*0.1</formula>
    </cfRule>
  </conditionalFormatting>
  <conditionalFormatting sqref="D15">
    <cfRule type="cellIs" dxfId="114" priority="17" stopIfTrue="1" operator="greaterThan">
      <formula>$D$17*0.1</formula>
    </cfRule>
  </conditionalFormatting>
  <conditionalFormatting sqref="E15">
    <cfRule type="cellIs" dxfId="113" priority="16" stopIfTrue="1" operator="greaterThan">
      <formula>$E$17*0.1</formula>
    </cfRule>
  </conditionalFormatting>
  <conditionalFormatting sqref="C28">
    <cfRule type="cellIs" dxfId="112" priority="15" stopIfTrue="1" operator="greaterThan">
      <formula>$C$30*0.1</formula>
    </cfRule>
  </conditionalFormatting>
  <conditionalFormatting sqref="D28">
    <cfRule type="cellIs" dxfId="111" priority="14" stopIfTrue="1" operator="greaterThan">
      <formula>$D$30*0.1</formula>
    </cfRule>
  </conditionalFormatting>
  <conditionalFormatting sqref="E28">
    <cfRule type="cellIs" dxfId="110" priority="13" stopIfTrue="1" operator="greaterThan">
      <formula>$E$30*0.1</formula>
    </cfRule>
  </conditionalFormatting>
  <conditionalFormatting sqref="C46">
    <cfRule type="cellIs" dxfId="109" priority="12" stopIfTrue="1" operator="greaterThan">
      <formula>$C$48*0.1</formula>
    </cfRule>
  </conditionalFormatting>
  <conditionalFormatting sqref="D46">
    <cfRule type="cellIs" dxfId="108" priority="11" stopIfTrue="1" operator="greaterThan">
      <formula>$D$48*0.1</formula>
    </cfRule>
  </conditionalFormatting>
  <conditionalFormatting sqref="E46">
    <cfRule type="cellIs" dxfId="107" priority="10" stopIfTrue="1" operator="greaterThan">
      <formula>$E$48*0.1</formula>
    </cfRule>
  </conditionalFormatting>
  <conditionalFormatting sqref="C59">
    <cfRule type="cellIs" dxfId="106" priority="9" stopIfTrue="1" operator="greaterThan">
      <formula>$C$61*0.1</formula>
    </cfRule>
  </conditionalFormatting>
  <conditionalFormatting sqref="D59">
    <cfRule type="cellIs" dxfId="105" priority="8" stopIfTrue="1" operator="greaterThan">
      <formula>$D$61*0.1</formula>
    </cfRule>
  </conditionalFormatting>
  <conditionalFormatting sqref="E59">
    <cfRule type="cellIs" dxfId="104" priority="7" stopIfTrue="1" operator="greaterThan">
      <formula>$E$61*0.1</formula>
    </cfRule>
  </conditionalFormatting>
  <conditionalFormatting sqref="C61:D61">
    <cfRule type="cellIs" dxfId="103" priority="6" stopIfTrue="1" operator="greaterThan">
      <formula>$D$63</formula>
    </cfRule>
  </conditionalFormatting>
  <conditionalFormatting sqref="C62 E62 C31 E31">
    <cfRule type="cellIs" dxfId="102" priority="5" stopIfTrue="1" operator="lessThan">
      <formula>0</formula>
    </cfRule>
  </conditionalFormatting>
  <conditionalFormatting sqref="D30">
    <cfRule type="cellIs" dxfId="101" priority="4" stopIfTrue="1" operator="greaterThan">
      <formula>$D$32</formula>
    </cfRule>
  </conditionalFormatting>
  <conditionalFormatting sqref="C30">
    <cfRule type="cellIs" dxfId="100" priority="3" stopIfTrue="1" operator="greaterThan">
      <formula>$C$32</formula>
    </cfRule>
  </conditionalFormatting>
  <conditionalFormatting sqref="D62">
    <cfRule type="cellIs" dxfId="99" priority="2" stopIfTrue="1" operator="lessThan">
      <formula>0</formula>
    </cfRule>
  </conditionalFormatting>
  <conditionalFormatting sqref="D31">
    <cfRule type="cellIs" dxfId="98" priority="1" stopIfTrue="1" operator="lessThan">
      <formula>0</formula>
    </cfRule>
  </conditionalFormatting>
  <pageMargins left="0.7" right="0.7" top="0.75" bottom="0.75" header="0.3" footer="0.3"/>
  <pageSetup scale="72" orientation="portrait" blackAndWhite="1"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7"/>
  <sheetViews>
    <sheetView topLeftCell="A22" zoomScaleNormal="100" workbookViewId="0">
      <selection activeCell="C10" activeCellId="1" sqref="C21:C25 C10:C12"/>
    </sheetView>
  </sheetViews>
  <sheetFormatPr defaultRowHeight="15.75"/>
  <cols>
    <col min="1" max="1" width="2.44140625" style="34" customWidth="1"/>
    <col min="2" max="2" width="31.109375" style="34" customWidth="1"/>
    <col min="3" max="4" width="15.77734375" style="34" customWidth="1"/>
    <col min="5" max="5" width="16.218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c r="B1" s="188" t="str">
        <f>(inputPrYr!D2)</f>
        <v>City of Osawatomie</v>
      </c>
      <c r="C1" s="36"/>
      <c r="D1" s="36"/>
      <c r="E1" s="238">
        <f>inputPrYr!C5</f>
        <v>2013</v>
      </c>
    </row>
    <row r="2" spans="2:5">
      <c r="B2" s="36"/>
      <c r="C2" s="36"/>
      <c r="D2" s="36"/>
      <c r="E2" s="160"/>
    </row>
    <row r="3" spans="2:5">
      <c r="B3" s="239" t="s">
        <v>145</v>
      </c>
      <c r="C3" s="193"/>
      <c r="D3" s="193"/>
      <c r="E3" s="279"/>
    </row>
    <row r="4" spans="2:5">
      <c r="B4" s="41" t="s">
        <v>78</v>
      </c>
      <c r="C4" s="416" t="s">
        <v>770</v>
      </c>
      <c r="D4" s="415" t="s">
        <v>771</v>
      </c>
      <c r="E4" s="392" t="s">
        <v>772</v>
      </c>
    </row>
    <row r="5" spans="2:5">
      <c r="B5" s="542">
        <f>inputPrYr!B25</f>
        <v>0</v>
      </c>
      <c r="C5" s="417" t="str">
        <f>CONCATENATE("Actual for ",E1-2,"")</f>
        <v>Actual for 2011</v>
      </c>
      <c r="D5" s="417" t="str">
        <f>CONCATENATE("Estimate for ",E1-1,"")</f>
        <v>Estimate for 2012</v>
      </c>
      <c r="E5" s="401" t="str">
        <f>CONCATENATE("Year for ",E1,"")</f>
        <v>Year for 2013</v>
      </c>
    </row>
    <row r="6" spans="2:5">
      <c r="B6" s="244" t="s">
        <v>199</v>
      </c>
      <c r="C6" s="249"/>
      <c r="D6" s="247">
        <f>C34</f>
        <v>0</v>
      </c>
      <c r="E6" s="218">
        <f>D34</f>
        <v>0</v>
      </c>
    </row>
    <row r="7" spans="2:5">
      <c r="B7" s="248" t="s">
        <v>201</v>
      </c>
      <c r="C7" s="150"/>
      <c r="D7" s="150"/>
      <c r="E7" s="76"/>
    </row>
    <row r="8" spans="2:5">
      <c r="B8" s="141" t="s">
        <v>79</v>
      </c>
      <c r="C8" s="249"/>
      <c r="D8" s="247">
        <f>IF(inputPrYr!H16&gt;0,inputPrYr!G25,inputPrYr!E25)</f>
        <v>0</v>
      </c>
      <c r="E8" s="277" t="s">
        <v>67</v>
      </c>
    </row>
    <row r="9" spans="2:5">
      <c r="B9" s="141" t="s">
        <v>80</v>
      </c>
      <c r="C9" s="249"/>
      <c r="D9" s="249"/>
      <c r="E9" s="56"/>
    </row>
    <row r="10" spans="2:5">
      <c r="B10" s="141" t="s">
        <v>81</v>
      </c>
      <c r="C10" s="249"/>
      <c r="D10" s="249"/>
      <c r="E10" s="218" t="str">
        <f>mvalloc!D14</f>
        <v xml:space="preserve">  </v>
      </c>
    </row>
    <row r="11" spans="2:5">
      <c r="B11" s="141" t="s">
        <v>82</v>
      </c>
      <c r="C11" s="249"/>
      <c r="D11" s="249"/>
      <c r="E11" s="218" t="str">
        <f>mvalloc!E14</f>
        <v xml:space="preserve"> </v>
      </c>
    </row>
    <row r="12" spans="2:5">
      <c r="B12" s="150" t="s">
        <v>177</v>
      </c>
      <c r="C12" s="249"/>
      <c r="D12" s="249"/>
      <c r="E12" s="218" t="str">
        <f>mvalloc!F14</f>
        <v xml:space="preserve"> </v>
      </c>
    </row>
    <row r="13" spans="2:5">
      <c r="B13" s="265"/>
      <c r="C13" s="249"/>
      <c r="D13" s="249"/>
      <c r="E13" s="56"/>
    </row>
    <row r="14" spans="2:5">
      <c r="B14" s="265"/>
      <c r="C14" s="249"/>
      <c r="D14" s="249"/>
      <c r="E14" s="56"/>
    </row>
    <row r="15" spans="2:5">
      <c r="B15" s="265"/>
      <c r="C15" s="249"/>
      <c r="D15" s="249"/>
      <c r="E15" s="56"/>
    </row>
    <row r="16" spans="2:5">
      <c r="B16" s="265"/>
      <c r="C16" s="249"/>
      <c r="D16" s="249"/>
      <c r="E16" s="56"/>
    </row>
    <row r="17" spans="2:10">
      <c r="B17" s="253" t="s">
        <v>86</v>
      </c>
      <c r="C17" s="249"/>
      <c r="D17" s="249"/>
      <c r="E17" s="56"/>
    </row>
    <row r="18" spans="2:10">
      <c r="B18" s="150" t="s">
        <v>838</v>
      </c>
      <c r="C18" s="249"/>
      <c r="D18" s="249"/>
      <c r="E18" s="56"/>
    </row>
    <row r="19" spans="2:10">
      <c r="B19" s="244" t="s">
        <v>746</v>
      </c>
      <c r="C19" s="254" t="str">
        <f>IF(C20*0.1&lt;C18,"Exceed 10% Rule","")</f>
        <v/>
      </c>
      <c r="D19" s="254" t="str">
        <f>IF(D20*0.1&lt;D18,"Exceed 10% Rule","")</f>
        <v/>
      </c>
      <c r="E19" s="291" t="str">
        <f>IF(E20*0.1+E40&lt;E18,"Exceed 10% Rule","")</f>
        <v/>
      </c>
    </row>
    <row r="20" spans="2:10">
      <c r="B20" s="256" t="s">
        <v>87</v>
      </c>
      <c r="C20" s="258">
        <f>SUM(C8:C18)</f>
        <v>0</v>
      </c>
      <c r="D20" s="258">
        <f>SUM(D8:D18)</f>
        <v>0</v>
      </c>
      <c r="E20" s="259">
        <f>SUM(E8:E18)</f>
        <v>0</v>
      </c>
    </row>
    <row r="21" spans="2:10">
      <c r="B21" s="256" t="s">
        <v>88</v>
      </c>
      <c r="C21" s="258">
        <f>C6+C20</f>
        <v>0</v>
      </c>
      <c r="D21" s="258">
        <f>D6+D20</f>
        <v>0</v>
      </c>
      <c r="E21" s="259">
        <f>E6+E20</f>
        <v>0</v>
      </c>
    </row>
    <row r="22" spans="2:10">
      <c r="B22" s="141" t="s">
        <v>90</v>
      </c>
      <c r="C22" s="266"/>
      <c r="D22" s="266"/>
      <c r="E22" s="54"/>
    </row>
    <row r="23" spans="2:10">
      <c r="B23" s="265"/>
      <c r="C23" s="249"/>
      <c r="D23" s="249"/>
      <c r="E23" s="56"/>
    </row>
    <row r="24" spans="2:10">
      <c r="B24" s="265"/>
      <c r="C24" s="249"/>
      <c r="D24" s="249"/>
      <c r="E24" s="56"/>
      <c r="G24" s="983" t="str">
        <f>CONCATENATE("Desired Carryover Into ",E1+1,"")</f>
        <v>Desired Carryover Into 2014</v>
      </c>
      <c r="H24" s="960"/>
      <c r="I24" s="960"/>
      <c r="J24" s="961"/>
    </row>
    <row r="25" spans="2:10">
      <c r="B25" s="265"/>
      <c r="C25" s="249"/>
      <c r="D25" s="249"/>
      <c r="E25" s="56"/>
      <c r="G25" s="800"/>
      <c r="H25" s="65"/>
      <c r="I25" s="801"/>
      <c r="J25" s="802"/>
    </row>
    <row r="26" spans="2:10">
      <c r="B26" s="265"/>
      <c r="C26" s="249"/>
      <c r="D26" s="249"/>
      <c r="E26" s="56"/>
      <c r="G26" s="803" t="s">
        <v>734</v>
      </c>
      <c r="H26" s="801"/>
      <c r="I26" s="801"/>
      <c r="J26" s="804">
        <v>0</v>
      </c>
    </row>
    <row r="27" spans="2:10">
      <c r="B27" s="265"/>
      <c r="C27" s="249"/>
      <c r="D27" s="249"/>
      <c r="E27" s="56"/>
      <c r="G27" s="800" t="s">
        <v>735</v>
      </c>
      <c r="H27" s="65"/>
      <c r="I27" s="65"/>
      <c r="J27" s="805" t="str">
        <f>IF(J26=0,"",ROUND((J26+E40-G39)/inputOth!E9*1000,3)-G44)</f>
        <v/>
      </c>
    </row>
    <row r="28" spans="2:10">
      <c r="B28" s="265"/>
      <c r="C28" s="249"/>
      <c r="D28" s="249"/>
      <c r="E28" s="56"/>
      <c r="G28" s="806" t="str">
        <f>CONCATENATE("",E1," Tot Exp/Non-Appr Must Be:")</f>
        <v>2013 Tot Exp/Non-Appr Must Be:</v>
      </c>
      <c r="H28" s="807"/>
      <c r="I28" s="808"/>
      <c r="J28" s="809">
        <f>IF(J26&gt;0,IF(E37&lt;E21,IF(J26=G39,E37,((J26-G39)*(1-D39))+E21),E37+(J26-G39)),0)</f>
        <v>0</v>
      </c>
    </row>
    <row r="29" spans="2:10">
      <c r="B29" s="265"/>
      <c r="C29" s="249"/>
      <c r="D29" s="249"/>
      <c r="E29" s="56"/>
      <c r="G29" s="810" t="s">
        <v>773</v>
      </c>
      <c r="H29" s="811"/>
      <c r="I29" s="811"/>
      <c r="J29" s="779">
        <f>IF(J26&gt;0,J28-E37,0)</f>
        <v>0</v>
      </c>
    </row>
    <row r="30" spans="2:10">
      <c r="B30" s="266" t="s">
        <v>837</v>
      </c>
      <c r="C30" s="249"/>
      <c r="D30" s="249"/>
      <c r="E30" s="71" t="str">
        <f>nhood!E13</f>
        <v/>
      </c>
      <c r="J30" s="2"/>
    </row>
    <row r="31" spans="2:10">
      <c r="B31" s="266" t="s">
        <v>838</v>
      </c>
      <c r="C31" s="249"/>
      <c r="D31" s="249"/>
      <c r="E31" s="56"/>
      <c r="G31" s="983" t="str">
        <f>CONCATENATE("Projected Carryover Into ",E1+1,"")</f>
        <v>Projected Carryover Into 2014</v>
      </c>
      <c r="H31" s="988"/>
      <c r="I31" s="988"/>
      <c r="J31" s="986"/>
    </row>
    <row r="32" spans="2:10">
      <c r="B32" s="266" t="s">
        <v>747</v>
      </c>
      <c r="C32" s="254" t="str">
        <f>IF(C33*0.1&lt;C31,"Exceed 10% Rule","")</f>
        <v/>
      </c>
      <c r="D32" s="254" t="str">
        <f>IF(D33*0.1&lt;D31,"Exceed 10% Rule","")</f>
        <v/>
      </c>
      <c r="E32" s="291" t="str">
        <f>IF(E33*0.1&lt;E31,"Exceed 10% Rule","")</f>
        <v/>
      </c>
      <c r="G32" s="800"/>
      <c r="H32" s="801"/>
      <c r="I32" s="801"/>
      <c r="J32" s="825"/>
    </row>
    <row r="33" spans="2:11">
      <c r="B33" s="256" t="s">
        <v>94</v>
      </c>
      <c r="C33" s="258">
        <f>SUM(C23:C31)</f>
        <v>0</v>
      </c>
      <c r="D33" s="258">
        <f>SUM(D23:D31)</f>
        <v>0</v>
      </c>
      <c r="E33" s="259">
        <f>SUM(E23:E31)</f>
        <v>0</v>
      </c>
      <c r="G33" s="826">
        <f>D34</f>
        <v>0</v>
      </c>
      <c r="H33" s="791" t="str">
        <f>CONCATENATE("",E1-1," Ending Cash Balance (est.)")</f>
        <v>2012 Ending Cash Balance (est.)</v>
      </c>
      <c r="I33" s="827"/>
      <c r="J33" s="825"/>
    </row>
    <row r="34" spans="2:11">
      <c r="B34" s="141" t="s">
        <v>200</v>
      </c>
      <c r="C34" s="262">
        <f>C21-C33</f>
        <v>0</v>
      </c>
      <c r="D34" s="262">
        <f>D21-D33</f>
        <v>0</v>
      </c>
      <c r="E34" s="277" t="s">
        <v>67</v>
      </c>
      <c r="G34" s="826">
        <f>E20</f>
        <v>0</v>
      </c>
      <c r="H34" s="801" t="str">
        <f>CONCATENATE("",E1," Non-AV Receipts (est.)")</f>
        <v>2013 Non-AV Receipts (est.)</v>
      </c>
      <c r="I34" s="827"/>
      <c r="J34" s="825"/>
    </row>
    <row r="35" spans="2:11">
      <c r="B35" s="127" t="str">
        <f>CONCATENATE("",E1-2,"/",E1-1," Budget Authority Amount:")</f>
        <v>2011/2012 Budget Authority Amount:</v>
      </c>
      <c r="C35" s="231">
        <f>inputOth!B70</f>
        <v>0</v>
      </c>
      <c r="D35" s="231">
        <f>inputPrYr!D25</f>
        <v>0</v>
      </c>
      <c r="E35" s="277" t="s">
        <v>67</v>
      </c>
      <c r="F35" s="268"/>
      <c r="G35" s="828">
        <f>IF(E39&gt;0,E38,E40)</f>
        <v>0</v>
      </c>
      <c r="H35" s="801" t="str">
        <f>CONCATENATE("",E1," Ad Valorem Tax (est.)")</f>
        <v>2013 Ad Valorem Tax (est.)</v>
      </c>
      <c r="I35" s="827"/>
      <c r="J35" s="813"/>
      <c r="K35" s="784" t="str">
        <f>IF(G35=E40,"","Note: Does not include Delinquent Taxes")</f>
        <v/>
      </c>
    </row>
    <row r="36" spans="2:11">
      <c r="B36" s="127"/>
      <c r="C36" s="965" t="s">
        <v>591</v>
      </c>
      <c r="D36" s="966"/>
      <c r="E36" s="56"/>
      <c r="F36" s="885" t="str">
        <f>IF(E33/0.95-E33&lt;E36,"Exceeds 5%","")</f>
        <v/>
      </c>
      <c r="G36" s="826">
        <f>SUM(G33:G35)</f>
        <v>0</v>
      </c>
      <c r="H36" s="801" t="str">
        <f>CONCATENATE("Total ",E1," Resources Available")</f>
        <v>Total 2013 Resources Available</v>
      </c>
      <c r="I36" s="827"/>
      <c r="J36" s="825"/>
    </row>
    <row r="37" spans="2:11">
      <c r="B37" s="538" t="str">
        <f>CONCATENATE(C94,"     ",D94)</f>
        <v xml:space="preserve">     </v>
      </c>
      <c r="C37" s="967" t="s">
        <v>592</v>
      </c>
      <c r="D37" s="968"/>
      <c r="E37" s="218">
        <f>E33+E36</f>
        <v>0</v>
      </c>
      <c r="G37" s="845"/>
      <c r="H37" s="801"/>
      <c r="I37" s="801"/>
      <c r="J37" s="825"/>
    </row>
    <row r="38" spans="2:11">
      <c r="B38" s="538" t="str">
        <f>CONCATENATE(C95,"     ",D95)</f>
        <v xml:space="preserve">     </v>
      </c>
      <c r="C38" s="269"/>
      <c r="D38" s="160" t="s">
        <v>95</v>
      </c>
      <c r="E38" s="71">
        <f>IF(E37-E21&gt;0,E37-E21,0)</f>
        <v>0</v>
      </c>
      <c r="G38" s="828">
        <f>ROUND(C33*0.05+C33,0)</f>
        <v>0</v>
      </c>
      <c r="H38" s="801" t="str">
        <f>CONCATENATE("Less ",E1-2," Expenditures + 5%")</f>
        <v>Less 2011 Expenditures + 5%</v>
      </c>
      <c r="I38" s="827"/>
      <c r="J38" s="825"/>
    </row>
    <row r="39" spans="2:11">
      <c r="B39" s="160"/>
      <c r="C39" s="379" t="s">
        <v>590</v>
      </c>
      <c r="D39" s="380">
        <f>inputOth!$E$50</f>
        <v>0.06</v>
      </c>
      <c r="E39" s="218">
        <f>ROUND(IF(D39&gt;0,(E38*D39),0),0)</f>
        <v>0</v>
      </c>
      <c r="G39" s="846">
        <f>G36-G38</f>
        <v>0</v>
      </c>
      <c r="H39" s="847" t="str">
        <f>CONCATENATE("Projected ",E1+1," carryover (est.)")</f>
        <v>Projected 2014 carryover (est.)</v>
      </c>
      <c r="I39" s="848"/>
      <c r="J39" s="838"/>
    </row>
    <row r="40" spans="2:11">
      <c r="B40" s="87"/>
      <c r="C40" s="969" t="str">
        <f>CONCATENATE("Amount of  ",$E$1-1," Ad Valorem Tax")</f>
        <v>Amount of  2012 Ad Valorem Tax</v>
      </c>
      <c r="D40" s="970"/>
      <c r="E40" s="281">
        <f>E38+E39</f>
        <v>0</v>
      </c>
      <c r="G40" s="2"/>
      <c r="H40" s="2"/>
      <c r="I40" s="2"/>
      <c r="J40" s="2"/>
    </row>
    <row r="41" spans="2:11">
      <c r="B41" s="36"/>
      <c r="C41" s="87"/>
      <c r="D41" s="87"/>
      <c r="E41" s="36"/>
      <c r="G41" s="962" t="s">
        <v>774</v>
      </c>
      <c r="H41" s="963"/>
      <c r="I41" s="963"/>
      <c r="J41" s="964"/>
    </row>
    <row r="42" spans="2:11">
      <c r="B42" s="41"/>
      <c r="C42" s="280"/>
      <c r="D42" s="280"/>
      <c r="E42" s="280"/>
      <c r="G42" s="790"/>
      <c r="H42" s="791"/>
      <c r="I42" s="792"/>
      <c r="J42" s="793"/>
    </row>
    <row r="43" spans="2:11">
      <c r="B43" s="41" t="s">
        <v>78</v>
      </c>
      <c r="C43" s="416" t="s">
        <v>770</v>
      </c>
      <c r="D43" s="415" t="s">
        <v>771</v>
      </c>
      <c r="E43" s="392" t="s">
        <v>772</v>
      </c>
      <c r="G43" s="794" t="str">
        <f>summ!H22</f>
        <v xml:space="preserve">  </v>
      </c>
      <c r="H43" s="791" t="str">
        <f>CONCATENATE("",E1," Fund Mill Rate")</f>
        <v>2013 Fund Mill Rate</v>
      </c>
      <c r="I43" s="792"/>
      <c r="J43" s="793"/>
    </row>
    <row r="44" spans="2:11">
      <c r="B44" s="542">
        <f>inputPrYr!B26</f>
        <v>0</v>
      </c>
      <c r="C44" s="417" t="str">
        <f>CONCATENATE("Actual for ",E1-2,"")</f>
        <v>Actual for 2011</v>
      </c>
      <c r="D44" s="417" t="str">
        <f>CONCATENATE("Estimate for ",E1-1,"")</f>
        <v>Estimate for 2012</v>
      </c>
      <c r="E44" s="401" t="str">
        <f>CONCATENATE("Year for ",E1,"")</f>
        <v>Year for 2013</v>
      </c>
      <c r="G44" s="795" t="str">
        <f>summ!E22</f>
        <v xml:space="preserve">  </v>
      </c>
      <c r="H44" s="791" t="str">
        <f>CONCATENATE("",E1-1," Fund Mill Rate")</f>
        <v>2012 Fund Mill Rate</v>
      </c>
      <c r="I44" s="792"/>
      <c r="J44" s="793"/>
    </row>
    <row r="45" spans="2:11">
      <c r="B45" s="244" t="s">
        <v>199</v>
      </c>
      <c r="C45" s="249"/>
      <c r="D45" s="247">
        <f>C74</f>
        <v>0</v>
      </c>
      <c r="E45" s="218">
        <f>D74</f>
        <v>0</v>
      </c>
      <c r="G45" s="796">
        <f>summ!H52</f>
        <v>58.234000000000002</v>
      </c>
      <c r="H45" s="791" t="str">
        <f>CONCATENATE("Total ",E1," Mill Rate")</f>
        <v>Total 2013 Mill Rate</v>
      </c>
      <c r="I45" s="792"/>
      <c r="J45" s="793"/>
    </row>
    <row r="46" spans="2:11">
      <c r="B46" s="248" t="s">
        <v>201</v>
      </c>
      <c r="C46" s="150"/>
      <c r="D46" s="150"/>
      <c r="E46" s="76"/>
      <c r="G46" s="795">
        <f>summ!E52</f>
        <v>53.734000000000002</v>
      </c>
      <c r="H46" s="797" t="str">
        <f>CONCATENATE("Total ",E1-1," Mill Rate")</f>
        <v>Total 2012 Mill Rate</v>
      </c>
      <c r="I46" s="798"/>
      <c r="J46" s="799"/>
    </row>
    <row r="47" spans="2:11">
      <c r="B47" s="141" t="s">
        <v>79</v>
      </c>
      <c r="C47" s="249"/>
      <c r="D47" s="247">
        <f>IF(inputPrYr!H16&gt;0,inputPrYr!G26,inputPrYr!E26)</f>
        <v>0</v>
      </c>
      <c r="E47" s="277" t="s">
        <v>67</v>
      </c>
    </row>
    <row r="48" spans="2:11">
      <c r="B48" s="141" t="s">
        <v>80</v>
      </c>
      <c r="C48" s="249"/>
      <c r="D48" s="249"/>
      <c r="E48" s="56"/>
    </row>
    <row r="49" spans="2:10">
      <c r="B49" s="141" t="s">
        <v>81</v>
      </c>
      <c r="C49" s="249"/>
      <c r="D49" s="249"/>
      <c r="E49" s="218" t="str">
        <f>mvalloc!D15</f>
        <v xml:space="preserve">  </v>
      </c>
    </row>
    <row r="50" spans="2:10">
      <c r="B50" s="141" t="s">
        <v>82</v>
      </c>
      <c r="C50" s="249"/>
      <c r="D50" s="249"/>
      <c r="E50" s="218" t="str">
        <f>mvalloc!E15</f>
        <v xml:space="preserve"> </v>
      </c>
    </row>
    <row r="51" spans="2:10">
      <c r="B51" s="150" t="s">
        <v>177</v>
      </c>
      <c r="C51" s="249"/>
      <c r="D51" s="249"/>
      <c r="E51" s="218" t="str">
        <f>mvalloc!F15</f>
        <v xml:space="preserve"> </v>
      </c>
    </row>
    <row r="52" spans="2:10">
      <c r="B52" s="265"/>
      <c r="C52" s="249"/>
      <c r="D52" s="249"/>
      <c r="E52" s="56"/>
    </row>
    <row r="53" spans="2:10">
      <c r="B53" s="265"/>
      <c r="C53" s="249"/>
      <c r="D53" s="249"/>
      <c r="E53" s="56"/>
    </row>
    <row r="54" spans="2:10">
      <c r="B54" s="265"/>
      <c r="C54" s="249"/>
      <c r="D54" s="249"/>
      <c r="E54" s="56"/>
    </row>
    <row r="55" spans="2:10">
      <c r="B55" s="265"/>
      <c r="C55" s="249"/>
      <c r="D55" s="249"/>
      <c r="E55" s="56"/>
    </row>
    <row r="56" spans="2:10">
      <c r="B56" s="265"/>
      <c r="C56" s="249"/>
      <c r="D56" s="249"/>
      <c r="E56" s="56"/>
    </row>
    <row r="57" spans="2:10">
      <c r="B57" s="253" t="s">
        <v>86</v>
      </c>
      <c r="C57" s="249"/>
      <c r="D57" s="249"/>
      <c r="E57" s="56"/>
    </row>
    <row r="58" spans="2:10">
      <c r="B58" s="150" t="s">
        <v>838</v>
      </c>
      <c r="C58" s="249"/>
      <c r="D58" s="249"/>
      <c r="E58" s="56"/>
    </row>
    <row r="59" spans="2:10">
      <c r="B59" s="244" t="s">
        <v>746</v>
      </c>
      <c r="C59" s="254" t="str">
        <f>IF(C60*0.1&lt;C58,"Exceed 10% Rule","")</f>
        <v/>
      </c>
      <c r="D59" s="254" t="str">
        <f>IF(D60*0.1&lt;D58,"Exceed 10% Rule","")</f>
        <v/>
      </c>
      <c r="E59" s="291" t="str">
        <f>IF(E60*0.1+E80&lt;E58,"Exceed 10% Rule","")</f>
        <v/>
      </c>
    </row>
    <row r="60" spans="2:10">
      <c r="B60" s="256" t="s">
        <v>87</v>
      </c>
      <c r="C60" s="258">
        <f>SUM(C47:C58)</f>
        <v>0</v>
      </c>
      <c r="D60" s="258">
        <f>SUM(D47:D58)</f>
        <v>0</v>
      </c>
      <c r="E60" s="259">
        <f>SUM(E47:E58)</f>
        <v>0</v>
      </c>
    </row>
    <row r="61" spans="2:10">
      <c r="B61" s="256" t="s">
        <v>88</v>
      </c>
      <c r="C61" s="258">
        <f>C45+C60</f>
        <v>0</v>
      </c>
      <c r="D61" s="258">
        <f>D45+D60</f>
        <v>0</v>
      </c>
      <c r="E61" s="259">
        <f>E45+E60</f>
        <v>0</v>
      </c>
    </row>
    <row r="62" spans="2:10">
      <c r="B62" s="141" t="s">
        <v>90</v>
      </c>
      <c r="C62" s="266"/>
      <c r="D62" s="266"/>
      <c r="E62" s="54"/>
    </row>
    <row r="63" spans="2:10">
      <c r="B63" s="265"/>
      <c r="C63" s="249"/>
      <c r="D63" s="249"/>
      <c r="E63" s="56"/>
    </row>
    <row r="64" spans="2:10">
      <c r="B64" s="265"/>
      <c r="C64" s="249"/>
      <c r="D64" s="249"/>
      <c r="E64" s="56"/>
      <c r="G64" s="983" t="str">
        <f>CONCATENATE("Desired Carryover Into ",E1+1,"")</f>
        <v>Desired Carryover Into 2014</v>
      </c>
      <c r="H64" s="960"/>
      <c r="I64" s="960"/>
      <c r="J64" s="961"/>
    </row>
    <row r="65" spans="2:11">
      <c r="B65" s="265"/>
      <c r="C65" s="249"/>
      <c r="D65" s="249"/>
      <c r="E65" s="56"/>
      <c r="G65" s="800"/>
      <c r="H65" s="65"/>
      <c r="I65" s="801"/>
      <c r="J65" s="802"/>
    </row>
    <row r="66" spans="2:11">
      <c r="B66" s="265"/>
      <c r="C66" s="249"/>
      <c r="D66" s="249"/>
      <c r="E66" s="56"/>
      <c r="G66" s="803" t="s">
        <v>734</v>
      </c>
      <c r="H66" s="801"/>
      <c r="I66" s="801"/>
      <c r="J66" s="804">
        <v>0</v>
      </c>
    </row>
    <row r="67" spans="2:11">
      <c r="B67" s="265"/>
      <c r="C67" s="249"/>
      <c r="D67" s="249"/>
      <c r="E67" s="56"/>
      <c r="G67" s="800" t="s">
        <v>735</v>
      </c>
      <c r="H67" s="65"/>
      <c r="I67" s="65"/>
      <c r="J67" s="805" t="str">
        <f>IF(J66=0,"",ROUND((J66+E80-G79)/inputOth!E9*1000,3)-G84)</f>
        <v/>
      </c>
    </row>
    <row r="68" spans="2:11">
      <c r="B68" s="265"/>
      <c r="C68" s="249"/>
      <c r="D68" s="249"/>
      <c r="E68" s="56"/>
      <c r="G68" s="806" t="str">
        <f>CONCATENATE("",E1," Tot Exp/Non-Appr Must Be:")</f>
        <v>2013 Tot Exp/Non-Appr Must Be:</v>
      </c>
      <c r="H68" s="807"/>
      <c r="I68" s="808"/>
      <c r="J68" s="809">
        <f>IF(J66&gt;0,IF(E77&lt;E61,IF(J66=G79,E77,((J66-G79)*(1-D79))+E61),E77+(J66-G79)),0)</f>
        <v>0</v>
      </c>
    </row>
    <row r="69" spans="2:11">
      <c r="B69" s="265"/>
      <c r="C69" s="249"/>
      <c r="D69" s="249"/>
      <c r="E69" s="377"/>
      <c r="G69" s="810" t="s">
        <v>773</v>
      </c>
      <c r="H69" s="811"/>
      <c r="I69" s="811"/>
      <c r="J69" s="779">
        <f>IF(J66&gt;0,J68-E77,0)</f>
        <v>0</v>
      </c>
    </row>
    <row r="70" spans="2:11">
      <c r="B70" s="266" t="s">
        <v>837</v>
      </c>
      <c r="C70" s="249"/>
      <c r="D70" s="249"/>
      <c r="E70" s="71" t="str">
        <f>nhood!E14</f>
        <v/>
      </c>
      <c r="J70" s="2"/>
    </row>
    <row r="71" spans="2:11">
      <c r="B71" s="266" t="s">
        <v>838</v>
      </c>
      <c r="C71" s="249"/>
      <c r="D71" s="249"/>
      <c r="E71" s="56"/>
      <c r="G71" s="983" t="str">
        <f>CONCATENATE("Projected Carryover Into ",E1+1,"")</f>
        <v>Projected Carryover Into 2014</v>
      </c>
      <c r="H71" s="985"/>
      <c r="I71" s="985"/>
      <c r="J71" s="986"/>
    </row>
    <row r="72" spans="2:11">
      <c r="B72" s="266" t="s">
        <v>747</v>
      </c>
      <c r="C72" s="254" t="str">
        <f>IF(C73*0.1&lt;C71,"Exceed 10% Rule","")</f>
        <v/>
      </c>
      <c r="D72" s="254" t="str">
        <f>IF(D73*0.1&lt;D71,"Exceed 10% Rule","")</f>
        <v/>
      </c>
      <c r="E72" s="291" t="str">
        <f>IF(E73*0.1&lt;E71,"Exceed 10% Rule","")</f>
        <v/>
      </c>
      <c r="G72" s="824"/>
      <c r="H72" s="65"/>
      <c r="I72" s="65"/>
      <c r="J72" s="831"/>
    </row>
    <row r="73" spans="2:11">
      <c r="B73" s="256" t="s">
        <v>94</v>
      </c>
      <c r="C73" s="258">
        <f>SUM(C63:C71)</f>
        <v>0</v>
      </c>
      <c r="D73" s="258">
        <f>SUM(D63:D71)</f>
        <v>0</v>
      </c>
      <c r="E73" s="259">
        <f>SUM(E63:E71)</f>
        <v>0</v>
      </c>
      <c r="G73" s="826">
        <f>D74</f>
        <v>0</v>
      </c>
      <c r="H73" s="791" t="str">
        <f>CONCATENATE("",E1-1," Ending Cash Balance (est.)")</f>
        <v>2012 Ending Cash Balance (est.)</v>
      </c>
      <c r="I73" s="827"/>
      <c r="J73" s="831"/>
    </row>
    <row r="74" spans="2:11">
      <c r="B74" s="141" t="s">
        <v>200</v>
      </c>
      <c r="C74" s="262">
        <f>C61-C73</f>
        <v>0</v>
      </c>
      <c r="D74" s="262">
        <f>D61-D73</f>
        <v>0</v>
      </c>
      <c r="E74" s="277" t="s">
        <v>67</v>
      </c>
      <c r="G74" s="826">
        <f>E60</f>
        <v>0</v>
      </c>
      <c r="H74" s="801" t="str">
        <f>CONCATENATE("",E1," Non-AV Receipts (est.)")</f>
        <v>2013 Non-AV Receipts (est.)</v>
      </c>
      <c r="I74" s="827"/>
      <c r="J74" s="831"/>
    </row>
    <row r="75" spans="2:11">
      <c r="B75" s="127" t="str">
        <f>CONCATENATE("",E1-2,"/",E1-1," Budget Authority Amount:")</f>
        <v>2011/2012 Budget Authority Amount:</v>
      </c>
      <c r="C75" s="376">
        <f>inputOth!B71</f>
        <v>0</v>
      </c>
      <c r="D75" s="231">
        <f>inputPrYr!D26</f>
        <v>0</v>
      </c>
      <c r="E75" s="277" t="s">
        <v>67</v>
      </c>
      <c r="F75" s="268"/>
      <c r="G75" s="828">
        <f>IF(D79&gt;0,E78,E80)</f>
        <v>0</v>
      </c>
      <c r="H75" s="801" t="str">
        <f>CONCATENATE("",E1," Ad Valorem Tax (est.)")</f>
        <v>2013 Ad Valorem Tax (est.)</v>
      </c>
      <c r="I75" s="827"/>
      <c r="J75" s="831"/>
      <c r="K75" s="784" t="str">
        <f>IF(G75=E80,"","Note: Does not include Delinquent Taxes")</f>
        <v/>
      </c>
    </row>
    <row r="76" spans="2:11">
      <c r="B76" s="127"/>
      <c r="C76" s="965" t="s">
        <v>591</v>
      </c>
      <c r="D76" s="966"/>
      <c r="E76" s="56"/>
      <c r="F76" s="885" t="str">
        <f>IF(E73/0.95-E73&lt;E76,"Exceeds 5%","")</f>
        <v/>
      </c>
      <c r="G76" s="830">
        <f>SUM(G73:G75)</f>
        <v>0</v>
      </c>
      <c r="H76" s="801" t="str">
        <f>CONCATENATE("Total ",E1," Resources Available")</f>
        <v>Total 2013 Resources Available</v>
      </c>
      <c r="I76" s="831"/>
      <c r="J76" s="831"/>
    </row>
    <row r="77" spans="2:11">
      <c r="B77" s="538" t="str">
        <f>CONCATENATE(C96,"     ",D96)</f>
        <v xml:space="preserve">     </v>
      </c>
      <c r="C77" s="967" t="s">
        <v>592</v>
      </c>
      <c r="D77" s="968"/>
      <c r="E77" s="218">
        <f>E73+E76</f>
        <v>0</v>
      </c>
      <c r="G77" s="832"/>
      <c r="H77" s="833"/>
      <c r="I77" s="65"/>
      <c r="J77" s="831"/>
    </row>
    <row r="78" spans="2:11">
      <c r="B78" s="538" t="str">
        <f>CONCATENATE(C97,"     ",D97)</f>
        <v xml:space="preserve">     </v>
      </c>
      <c r="C78" s="269"/>
      <c r="D78" s="160" t="s">
        <v>95</v>
      </c>
      <c r="E78" s="71">
        <f>IF(E77-E61&gt;0,E77-E61,0)</f>
        <v>0</v>
      </c>
      <c r="G78" s="834">
        <f>ROUND(C73*0.05+C73,0)</f>
        <v>0</v>
      </c>
      <c r="H78" s="833" t="str">
        <f>CONCATENATE("Less ",E1-2," Expenditures + 5%")</f>
        <v>Less 2011 Expenditures + 5%</v>
      </c>
      <c r="I78" s="831"/>
      <c r="J78" s="831"/>
    </row>
    <row r="79" spans="2:11">
      <c r="B79" s="127"/>
      <c r="C79" s="379" t="s">
        <v>590</v>
      </c>
      <c r="D79" s="747">
        <f>inputOth!$E$50</f>
        <v>0.06</v>
      </c>
      <c r="E79" s="218">
        <f>ROUND(IF(D79&gt;0,(E78*D79),0),0)</f>
        <v>0</v>
      </c>
      <c r="G79" s="835">
        <f>G76-G78</f>
        <v>0</v>
      </c>
      <c r="H79" s="836" t="str">
        <f>CONCATENATE("Projected ",E1+1," carryover (est.)")</f>
        <v>Projected 2014 carryover (est.)</v>
      </c>
      <c r="I79" s="837"/>
      <c r="J79" s="838"/>
    </row>
    <row r="80" spans="2:11" ht="16.5" thickBot="1">
      <c r="B80" s="160"/>
      <c r="C80" s="969" t="str">
        <f>CONCATENATE("Amount of  ",$E$1-1," Ad Valorem Tax")</f>
        <v>Amount of  2012 Ad Valorem Tax</v>
      </c>
      <c r="D80" s="970"/>
      <c r="E80" s="750">
        <f>E78+E79</f>
        <v>0</v>
      </c>
      <c r="G80" s="2"/>
      <c r="H80" s="2"/>
      <c r="I80" s="2"/>
    </row>
    <row r="81" spans="2:10" ht="16.5" thickTop="1">
      <c r="B81" s="36"/>
      <c r="C81" s="36"/>
      <c r="D81" s="36"/>
      <c r="E81" s="36"/>
      <c r="G81" s="962" t="s">
        <v>774</v>
      </c>
      <c r="H81" s="963"/>
      <c r="I81" s="963"/>
      <c r="J81" s="964"/>
    </row>
    <row r="82" spans="2:10">
      <c r="B82" s="127" t="s">
        <v>97</v>
      </c>
      <c r="C82" s="273"/>
      <c r="D82" s="36"/>
      <c r="E82" s="36"/>
      <c r="G82" s="790"/>
      <c r="H82" s="791"/>
      <c r="I82" s="792"/>
      <c r="J82" s="793"/>
    </row>
    <row r="83" spans="2:10">
      <c r="B83" s="160"/>
      <c r="G83" s="794" t="str">
        <f>summ!H23</f>
        <v xml:space="preserve">  </v>
      </c>
      <c r="H83" s="791" t="str">
        <f>CONCATENATE("",E1," Fund Mill Rate")</f>
        <v>2013 Fund Mill Rate</v>
      </c>
      <c r="I83" s="792"/>
      <c r="J83" s="793"/>
    </row>
    <row r="84" spans="2:10">
      <c r="G84" s="795" t="str">
        <f>summ!E23</f>
        <v xml:space="preserve">  </v>
      </c>
      <c r="H84" s="791" t="str">
        <f>CONCATENATE("",E1-1," Fund Mill Rate")</f>
        <v>2012 Fund Mill Rate</v>
      </c>
      <c r="I84" s="792"/>
      <c r="J84" s="793"/>
    </row>
    <row r="85" spans="2:10">
      <c r="G85" s="796">
        <f>summ!H52</f>
        <v>58.234000000000002</v>
      </c>
      <c r="H85" s="791" t="str">
        <f>CONCATENATE("Total ",E1," Mill Rate")</f>
        <v>Total 2013 Mill Rate</v>
      </c>
      <c r="I85" s="792"/>
      <c r="J85" s="793"/>
    </row>
    <row r="86" spans="2:10">
      <c r="G86" s="795">
        <f>summ!E52</f>
        <v>53.734000000000002</v>
      </c>
      <c r="H86" s="797" t="str">
        <f>CONCATENATE("Total ",E1-1," Mill Rate")</f>
        <v>Total 2012 Mill Rate</v>
      </c>
      <c r="I86" s="798"/>
      <c r="J86" s="799"/>
    </row>
    <row r="94" spans="2:10" hidden="1">
      <c r="C94" s="537" t="str">
        <f>IF(C33&gt;C35,"See Tab A","")</f>
        <v/>
      </c>
      <c r="D94" s="537" t="str">
        <f>IF(D31&gt;D35,"See Tab C","")</f>
        <v/>
      </c>
    </row>
    <row r="95" spans="2:10" hidden="1">
      <c r="C95" s="537" t="str">
        <f>IF(C34&lt;0,"See Tab B","")</f>
        <v/>
      </c>
      <c r="D95" s="537" t="str">
        <f>IF(D34&lt;0,"See Tab D","")</f>
        <v/>
      </c>
    </row>
    <row r="96" spans="2:10" hidden="1">
      <c r="C96" s="537" t="str">
        <f>IF(C71&gt;C75,"See Tab A","")</f>
        <v/>
      </c>
      <c r="D96" s="537" t="str">
        <f>IF(D71&gt;D75,"See Tab C","")</f>
        <v/>
      </c>
    </row>
    <row r="97" spans="3:4" hidden="1">
      <c r="C97" s="537" t="str">
        <f>IF(C74&lt;0,"See Tab B","")</f>
        <v/>
      </c>
      <c r="D97" s="537" t="str">
        <f>IF(D74&lt;0,"See Tab D","")</f>
        <v/>
      </c>
    </row>
  </sheetData>
  <sheetProtection sheet="1"/>
  <mergeCells count="12">
    <mergeCell ref="C80:D80"/>
    <mergeCell ref="C40:D40"/>
    <mergeCell ref="G81:J81"/>
    <mergeCell ref="G41:J41"/>
    <mergeCell ref="G64:J64"/>
    <mergeCell ref="G71:J71"/>
    <mergeCell ref="C76:D76"/>
    <mergeCell ref="C36:D36"/>
    <mergeCell ref="C37:D37"/>
    <mergeCell ref="G24:J24"/>
    <mergeCell ref="G31:J31"/>
    <mergeCell ref="C77:D77"/>
  </mergeCells>
  <phoneticPr fontId="0" type="noConversion"/>
  <conditionalFormatting sqref="E31">
    <cfRule type="cellIs" dxfId="97" priority="4" stopIfTrue="1" operator="greaterThan">
      <formula>$E$33*0.1</formula>
    </cfRule>
  </conditionalFormatting>
  <conditionalFormatting sqref="E36">
    <cfRule type="cellIs" dxfId="96" priority="5" stopIfTrue="1" operator="greaterThan">
      <formula>$E$33/0.95-$E$33</formula>
    </cfRule>
  </conditionalFormatting>
  <conditionalFormatting sqref="E71">
    <cfRule type="cellIs" dxfId="95" priority="6" stopIfTrue="1" operator="greaterThan">
      <formula>$E$73*0.1</formula>
    </cfRule>
  </conditionalFormatting>
  <conditionalFormatting sqref="E76">
    <cfRule type="cellIs" dxfId="94" priority="7" stopIfTrue="1" operator="greaterThan">
      <formula>$E$73/0.95-$E$73</formula>
    </cfRule>
  </conditionalFormatting>
  <conditionalFormatting sqref="C31">
    <cfRule type="cellIs" dxfId="93" priority="8" stopIfTrue="1" operator="greaterThan">
      <formula>$C$33*0.1</formula>
    </cfRule>
  </conditionalFormatting>
  <conditionalFormatting sqref="D31">
    <cfRule type="cellIs" dxfId="92" priority="9" stopIfTrue="1" operator="greaterThan">
      <formula>$D$33*0.1</formula>
    </cfRule>
  </conditionalFormatting>
  <conditionalFormatting sqref="D33">
    <cfRule type="cellIs" dxfId="91" priority="10" stopIfTrue="1" operator="greaterThan">
      <formula>$C$35</formula>
    </cfRule>
  </conditionalFormatting>
  <conditionalFormatting sqref="C33">
    <cfRule type="cellIs" dxfId="90" priority="11" stopIfTrue="1" operator="greaterThan">
      <formula>$C$35</formula>
    </cfRule>
  </conditionalFormatting>
  <conditionalFormatting sqref="C34 C74">
    <cfRule type="cellIs" dxfId="89" priority="12" stopIfTrue="1" operator="lessThan">
      <formula>0</formula>
    </cfRule>
  </conditionalFormatting>
  <conditionalFormatting sqref="C71">
    <cfRule type="cellIs" dxfId="88" priority="13" stopIfTrue="1" operator="greaterThan">
      <formula>$C$73*0.1</formula>
    </cfRule>
  </conditionalFormatting>
  <conditionalFormatting sqref="D71">
    <cfRule type="cellIs" dxfId="87" priority="14" stopIfTrue="1" operator="greaterThan">
      <formula>$D$73*0.1</formula>
    </cfRule>
  </conditionalFormatting>
  <conditionalFormatting sqref="D73">
    <cfRule type="cellIs" dxfId="86" priority="15" stopIfTrue="1" operator="greaterThan">
      <formula>$C$75</formula>
    </cfRule>
  </conditionalFormatting>
  <conditionalFormatting sqref="C73">
    <cfRule type="cellIs" dxfId="85" priority="16" stopIfTrue="1" operator="greaterThan">
      <formula>$C$75</formula>
    </cfRule>
  </conditionalFormatting>
  <conditionalFormatting sqref="D18">
    <cfRule type="cellIs" dxfId="84" priority="17" stopIfTrue="1" operator="greaterThan">
      <formula>$D$20*0.1</formula>
    </cfRule>
  </conditionalFormatting>
  <conditionalFormatting sqref="C18">
    <cfRule type="cellIs" dxfId="83" priority="18" stopIfTrue="1" operator="greaterThan">
      <formula>$C$20*0.1</formula>
    </cfRule>
  </conditionalFormatting>
  <conditionalFormatting sqref="D58">
    <cfRule type="cellIs" dxfId="82" priority="19" stopIfTrue="1" operator="greaterThan">
      <formula>$D$60*0.1</formula>
    </cfRule>
  </conditionalFormatting>
  <conditionalFormatting sqref="C58">
    <cfRule type="cellIs" dxfId="81" priority="20" stopIfTrue="1" operator="greaterThan">
      <formula>$C$60*0.1</formula>
    </cfRule>
  </conditionalFormatting>
  <conditionalFormatting sqref="E18">
    <cfRule type="cellIs" dxfId="80" priority="21" stopIfTrue="1" operator="greaterThan">
      <formula>$E$20*0.1+E40</formula>
    </cfRule>
  </conditionalFormatting>
  <conditionalFormatting sqref="D74 D34">
    <cfRule type="cellIs" dxfId="79" priority="3" stopIfTrue="1" operator="lessThan">
      <formula>0</formula>
    </cfRule>
  </conditionalFormatting>
  <conditionalFormatting sqref="E58">
    <cfRule type="cellIs" dxfId="78" priority="1" stopIfTrue="1" operator="greaterThan">
      <formula>$E$60*0.1+$E$80</formula>
    </cfRule>
  </conditionalFormatting>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7"/>
  <sheetViews>
    <sheetView topLeftCell="A4" zoomScaleNormal="100" workbookViewId="0">
      <selection activeCell="C10" activeCellId="1" sqref="C21:C25 C10:C12"/>
    </sheetView>
  </sheetViews>
  <sheetFormatPr defaultRowHeight="15.75"/>
  <cols>
    <col min="1" max="1" width="2.44140625" style="34" customWidth="1"/>
    <col min="2" max="2" width="31.109375" style="34" customWidth="1"/>
    <col min="3" max="4" width="15.77734375" style="34" customWidth="1"/>
    <col min="5" max="5" width="16.1093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c r="B1" s="188" t="str">
        <f>(inputPrYr!D2)</f>
        <v>City of Osawatomie</v>
      </c>
      <c r="C1" s="36"/>
      <c r="D1" s="36"/>
      <c r="E1" s="238">
        <f>inputPrYr!C5</f>
        <v>2013</v>
      </c>
    </row>
    <row r="2" spans="2:5">
      <c r="B2" s="36"/>
      <c r="C2" s="36"/>
      <c r="D2" s="36"/>
      <c r="E2" s="160"/>
    </row>
    <row r="3" spans="2:5">
      <c r="B3" s="239" t="s">
        <v>145</v>
      </c>
      <c r="C3" s="193"/>
      <c r="D3" s="193"/>
      <c r="E3" s="279"/>
    </row>
    <row r="4" spans="2:5">
      <c r="B4" s="41" t="s">
        <v>78</v>
      </c>
      <c r="C4" s="416" t="s">
        <v>770</v>
      </c>
      <c r="D4" s="415" t="s">
        <v>771</v>
      </c>
      <c r="E4" s="392" t="s">
        <v>772</v>
      </c>
    </row>
    <row r="5" spans="2:5">
      <c r="B5" s="542">
        <f>inputPrYr!B27</f>
        <v>0</v>
      </c>
      <c r="C5" s="417" t="str">
        <f>CONCATENATE("Actual for ",E1-2,"")</f>
        <v>Actual for 2011</v>
      </c>
      <c r="D5" s="417" t="str">
        <f>CONCATENATE("Estimate for ",E1-1,"")</f>
        <v>Estimate for 2012</v>
      </c>
      <c r="E5" s="401" t="str">
        <f>CONCATENATE("Year for ",E1,"")</f>
        <v>Year for 2013</v>
      </c>
    </row>
    <row r="6" spans="2:5">
      <c r="B6" s="244" t="s">
        <v>199</v>
      </c>
      <c r="C6" s="249"/>
      <c r="D6" s="247">
        <f>C34</f>
        <v>0</v>
      </c>
      <c r="E6" s="218">
        <f>D34</f>
        <v>0</v>
      </c>
    </row>
    <row r="7" spans="2:5">
      <c r="B7" s="248" t="s">
        <v>201</v>
      </c>
      <c r="C7" s="150"/>
      <c r="D7" s="150"/>
      <c r="E7" s="76"/>
    </row>
    <row r="8" spans="2:5">
      <c r="B8" s="141" t="s">
        <v>79</v>
      </c>
      <c r="C8" s="249"/>
      <c r="D8" s="247">
        <f>IF(inputPrYr!H16&gt;0,inputPrYr!G27,inputPrYr!E27)</f>
        <v>0</v>
      </c>
      <c r="E8" s="277" t="s">
        <v>67</v>
      </c>
    </row>
    <row r="9" spans="2:5">
      <c r="B9" s="141" t="s">
        <v>80</v>
      </c>
      <c r="C9" s="249"/>
      <c r="D9" s="249"/>
      <c r="E9" s="56"/>
    </row>
    <row r="10" spans="2:5">
      <c r="B10" s="141" t="s">
        <v>81</v>
      </c>
      <c r="C10" s="249"/>
      <c r="D10" s="249"/>
      <c r="E10" s="218" t="str">
        <f>mvalloc!D16</f>
        <v xml:space="preserve">  </v>
      </c>
    </row>
    <row r="11" spans="2:5">
      <c r="B11" s="141" t="s">
        <v>82</v>
      </c>
      <c r="C11" s="249"/>
      <c r="D11" s="249"/>
      <c r="E11" s="218" t="str">
        <f>mvalloc!E16</f>
        <v xml:space="preserve"> </v>
      </c>
    </row>
    <row r="12" spans="2:5">
      <c r="B12" s="150" t="s">
        <v>177</v>
      </c>
      <c r="C12" s="249"/>
      <c r="D12" s="249"/>
      <c r="E12" s="218" t="str">
        <f>mvalloc!F16</f>
        <v xml:space="preserve"> </v>
      </c>
    </row>
    <row r="13" spans="2:5">
      <c r="B13" s="265"/>
      <c r="C13" s="249"/>
      <c r="D13" s="249"/>
      <c r="E13" s="56"/>
    </row>
    <row r="14" spans="2:5">
      <c r="B14" s="265"/>
      <c r="C14" s="249"/>
      <c r="D14" s="249"/>
      <c r="E14" s="56"/>
    </row>
    <row r="15" spans="2:5">
      <c r="B15" s="265"/>
      <c r="C15" s="249"/>
      <c r="D15" s="249"/>
      <c r="E15" s="56"/>
    </row>
    <row r="16" spans="2:5">
      <c r="B16" s="265"/>
      <c r="C16" s="249"/>
      <c r="D16" s="249"/>
      <c r="E16" s="56"/>
    </row>
    <row r="17" spans="2:10">
      <c r="B17" s="253" t="s">
        <v>86</v>
      </c>
      <c r="C17" s="249"/>
      <c r="D17" s="249"/>
      <c r="E17" s="56"/>
    </row>
    <row r="18" spans="2:10">
      <c r="B18" s="150" t="s">
        <v>838</v>
      </c>
      <c r="C18" s="249"/>
      <c r="D18" s="249"/>
      <c r="E18" s="56"/>
    </row>
    <row r="19" spans="2:10">
      <c r="B19" s="244" t="s">
        <v>746</v>
      </c>
      <c r="C19" s="254" t="str">
        <f>IF(C20*0.1&lt;C18,"Exceed 10% Rule","")</f>
        <v/>
      </c>
      <c r="D19" s="254" t="str">
        <f>IF(D20*0.1&lt;D18,"Exceed 10% Rule","")</f>
        <v/>
      </c>
      <c r="E19" s="291" t="str">
        <f>IF(E20*0.1+E40&lt;E18,"Exceed 10% Rule","")</f>
        <v/>
      </c>
    </row>
    <row r="20" spans="2:10">
      <c r="B20" s="256" t="s">
        <v>87</v>
      </c>
      <c r="C20" s="258">
        <f>SUM(C8:C18)</f>
        <v>0</v>
      </c>
      <c r="D20" s="258">
        <f>SUM(D8:D18)</f>
        <v>0</v>
      </c>
      <c r="E20" s="259">
        <f>SUM(E8:E18)</f>
        <v>0</v>
      </c>
    </row>
    <row r="21" spans="2:10">
      <c r="B21" s="256" t="s">
        <v>88</v>
      </c>
      <c r="C21" s="258">
        <f>C6+C20</f>
        <v>0</v>
      </c>
      <c r="D21" s="258">
        <f>D6+D20</f>
        <v>0</v>
      </c>
      <c r="E21" s="259">
        <f>E6+E20</f>
        <v>0</v>
      </c>
    </row>
    <row r="22" spans="2:10">
      <c r="B22" s="141" t="s">
        <v>90</v>
      </c>
      <c r="C22" s="266"/>
      <c r="D22" s="266"/>
      <c r="E22" s="54"/>
    </row>
    <row r="23" spans="2:10">
      <c r="B23" s="265"/>
      <c r="C23" s="249"/>
      <c r="D23" s="249"/>
      <c r="E23" s="56"/>
    </row>
    <row r="24" spans="2:10">
      <c r="B24" s="265"/>
      <c r="C24" s="249"/>
      <c r="D24" s="249"/>
      <c r="E24" s="56"/>
      <c r="G24" s="983" t="str">
        <f>CONCATENATE("Desired Carryover Into ",E1+1,"")</f>
        <v>Desired Carryover Into 2014</v>
      </c>
      <c r="H24" s="960"/>
      <c r="I24" s="960"/>
      <c r="J24" s="961"/>
    </row>
    <row r="25" spans="2:10">
      <c r="B25" s="265"/>
      <c r="C25" s="249"/>
      <c r="D25" s="249"/>
      <c r="E25" s="56"/>
      <c r="G25" s="800"/>
      <c r="H25" s="65"/>
      <c r="I25" s="801"/>
      <c r="J25" s="802"/>
    </row>
    <row r="26" spans="2:10">
      <c r="B26" s="265"/>
      <c r="C26" s="249"/>
      <c r="D26" s="249"/>
      <c r="E26" s="56"/>
      <c r="G26" s="803" t="s">
        <v>734</v>
      </c>
      <c r="H26" s="801"/>
      <c r="I26" s="801"/>
      <c r="J26" s="804">
        <v>0</v>
      </c>
    </row>
    <row r="27" spans="2:10">
      <c r="B27" s="265"/>
      <c r="C27" s="249"/>
      <c r="D27" s="249"/>
      <c r="E27" s="56"/>
      <c r="G27" s="800" t="s">
        <v>735</v>
      </c>
      <c r="H27" s="65"/>
      <c r="I27" s="65"/>
      <c r="J27" s="805" t="str">
        <f>IF(J26=0,"",ROUND((J26+E40-G39)/inputOth!E9*1000,3)-G44)</f>
        <v/>
      </c>
    </row>
    <row r="28" spans="2:10">
      <c r="B28" s="265"/>
      <c r="C28" s="249"/>
      <c r="D28" s="249"/>
      <c r="E28" s="56"/>
      <c r="G28" s="806" t="str">
        <f>CONCATENATE("",E1," Tot Exp/Non-Appr Must Be:")</f>
        <v>2013 Tot Exp/Non-Appr Must Be:</v>
      </c>
      <c r="H28" s="807"/>
      <c r="I28" s="808"/>
      <c r="J28" s="809">
        <f>IF(J26&gt;0,IF(E37&lt;E21,IF(J26=G39,E37,((J26-G39)*(1-D39))+E21),E37+(J26-G39)),0)</f>
        <v>0</v>
      </c>
    </row>
    <row r="29" spans="2:10">
      <c r="B29" s="265"/>
      <c r="C29" s="249"/>
      <c r="D29" s="249"/>
      <c r="E29" s="56"/>
      <c r="G29" s="810" t="s">
        <v>773</v>
      </c>
      <c r="H29" s="811"/>
      <c r="I29" s="811"/>
      <c r="J29" s="779">
        <f>IF(J26&gt;0,J28-E37,0)</f>
        <v>0</v>
      </c>
    </row>
    <row r="30" spans="2:10">
      <c r="B30" s="266" t="s">
        <v>837</v>
      </c>
      <c r="C30" s="249"/>
      <c r="D30" s="249"/>
      <c r="E30" s="71" t="str">
        <f>nhood!E15</f>
        <v/>
      </c>
      <c r="J30" s="2"/>
    </row>
    <row r="31" spans="2:10">
      <c r="B31" s="266" t="s">
        <v>838</v>
      </c>
      <c r="C31" s="249"/>
      <c r="D31" s="249"/>
      <c r="E31" s="56"/>
      <c r="G31" s="983" t="str">
        <f>CONCATENATE("Projected Carryover Into ",E1+1,"")</f>
        <v>Projected Carryover Into 2014</v>
      </c>
      <c r="H31" s="988"/>
      <c r="I31" s="988"/>
      <c r="J31" s="986"/>
    </row>
    <row r="32" spans="2:10">
      <c r="B32" s="266" t="s">
        <v>747</v>
      </c>
      <c r="C32" s="254" t="str">
        <f>IF(C33*0.1&lt;C31,"Exceed 10% Rule","")</f>
        <v/>
      </c>
      <c r="D32" s="254" t="str">
        <f>IF(D33*0.1&lt;D31,"Exceed 10% Rule","")</f>
        <v/>
      </c>
      <c r="E32" s="291" t="str">
        <f>IF(E33*0.1&lt;E31,"Exceed 10% Rule","")</f>
        <v/>
      </c>
      <c r="G32" s="800"/>
      <c r="H32" s="801"/>
      <c r="I32" s="801"/>
      <c r="J32" s="825"/>
    </row>
    <row r="33" spans="2:11">
      <c r="B33" s="256" t="s">
        <v>94</v>
      </c>
      <c r="C33" s="258">
        <f>SUM(C23:C31)</f>
        <v>0</v>
      </c>
      <c r="D33" s="258">
        <f>SUM(D23:D31)</f>
        <v>0</v>
      </c>
      <c r="E33" s="259">
        <f>SUM(E23:E31)</f>
        <v>0</v>
      </c>
      <c r="G33" s="826">
        <f>D34</f>
        <v>0</v>
      </c>
      <c r="H33" s="791" t="str">
        <f>CONCATENATE("",E1-1," Ending Cash Balance (est.)")</f>
        <v>2012 Ending Cash Balance (est.)</v>
      </c>
      <c r="I33" s="827"/>
      <c r="J33" s="825"/>
    </row>
    <row r="34" spans="2:11">
      <c r="B34" s="141" t="s">
        <v>200</v>
      </c>
      <c r="C34" s="262">
        <f>C21-C33</f>
        <v>0</v>
      </c>
      <c r="D34" s="262">
        <f>D21-D33</f>
        <v>0</v>
      </c>
      <c r="E34" s="277" t="s">
        <v>67</v>
      </c>
      <c r="G34" s="826">
        <f>E20</f>
        <v>0</v>
      </c>
      <c r="H34" s="801" t="str">
        <f>CONCATENATE("",E1," Non-AV Receipts (est.)")</f>
        <v>2013 Non-AV Receipts (est.)</v>
      </c>
      <c r="I34" s="827"/>
      <c r="J34" s="825"/>
    </row>
    <row r="35" spans="2:11">
      <c r="B35" s="127" t="str">
        <f>CONCATENATE("",E1-2,"/",E1-1," Budget Authority Amount:")</f>
        <v>2011/2012 Budget Authority Amount:</v>
      </c>
      <c r="C35" s="376">
        <f>inputOth!B72</f>
        <v>0</v>
      </c>
      <c r="D35" s="231">
        <f>inputPrYr!D27</f>
        <v>0</v>
      </c>
      <c r="E35" s="277" t="s">
        <v>67</v>
      </c>
      <c r="F35" s="268"/>
      <c r="G35" s="828">
        <f>IF(E39&gt;0,E38,E40)</f>
        <v>0</v>
      </c>
      <c r="H35" s="801" t="str">
        <f>CONCATENATE("",E1," Ad Valorem Tax (est.)")</f>
        <v>2013 Ad Valorem Tax (est.)</v>
      </c>
      <c r="I35" s="827"/>
      <c r="J35" s="813"/>
      <c r="K35" s="784" t="str">
        <f>IF(G35=E40,"","Note: Does not include Delinquent Taxes")</f>
        <v/>
      </c>
    </row>
    <row r="36" spans="2:11">
      <c r="B36" s="127"/>
      <c r="C36" s="965" t="s">
        <v>591</v>
      </c>
      <c r="D36" s="966"/>
      <c r="E36" s="56"/>
      <c r="F36" s="885" t="str">
        <f>IF(E33/0.95-E33&lt;E36,"Exceeds 5%","")</f>
        <v/>
      </c>
      <c r="G36" s="826">
        <f>SUM(G33:G35)</f>
        <v>0</v>
      </c>
      <c r="H36" s="801" t="str">
        <f>CONCATENATE("Total ",E1," Resources Available")</f>
        <v>Total 2013 Resources Available</v>
      </c>
      <c r="I36" s="827"/>
      <c r="J36" s="825"/>
    </row>
    <row r="37" spans="2:11">
      <c r="B37" s="538" t="str">
        <f>CONCATENATE(C94,"     ",D94)</f>
        <v xml:space="preserve">     </v>
      </c>
      <c r="C37" s="967" t="s">
        <v>592</v>
      </c>
      <c r="D37" s="968"/>
      <c r="E37" s="218">
        <f>E33+E36</f>
        <v>0</v>
      </c>
      <c r="G37" s="845"/>
      <c r="H37" s="801"/>
      <c r="I37" s="801"/>
      <c r="J37" s="825"/>
    </row>
    <row r="38" spans="2:11">
      <c r="B38" s="538" t="str">
        <f>CONCATENATE(C95,"     ",D95)</f>
        <v xml:space="preserve">     </v>
      </c>
      <c r="C38" s="269"/>
      <c r="D38" s="160" t="s">
        <v>95</v>
      </c>
      <c r="E38" s="71">
        <f>IF(E37-E21&gt;0,E37-E21,0)</f>
        <v>0</v>
      </c>
      <c r="G38" s="828">
        <f>ROUND(C33*0.05+C33,0)</f>
        <v>0</v>
      </c>
      <c r="H38" s="801" t="str">
        <f>CONCATENATE("Less ",E1-2," Expenditures + 5%")</f>
        <v>Less 2011 Expenditures + 5%</v>
      </c>
      <c r="I38" s="827"/>
      <c r="J38" s="825"/>
    </row>
    <row r="39" spans="2:11">
      <c r="B39" s="160"/>
      <c r="C39" s="379" t="s">
        <v>590</v>
      </c>
      <c r="D39" s="747">
        <f>inputOth!$E$50</f>
        <v>0.06</v>
      </c>
      <c r="E39" s="218">
        <f>ROUND(IF(D39&gt;0,(E38*D39),0),0)</f>
        <v>0</v>
      </c>
      <c r="G39" s="846">
        <f>G36-G38</f>
        <v>0</v>
      </c>
      <c r="H39" s="847" t="str">
        <f>CONCATENATE("Projected ",E1+1," carryover (est.)")</f>
        <v>Projected 2014 carryover (est.)</v>
      </c>
      <c r="I39" s="848"/>
      <c r="J39" s="838"/>
    </row>
    <row r="40" spans="2:11" ht="16.5" thickBot="1">
      <c r="B40" s="36"/>
      <c r="C40" s="969" t="str">
        <f>CONCATENATE("Amount of  ",$E$1-1," Ad Valorem Tax")</f>
        <v>Amount of  2012 Ad Valorem Tax</v>
      </c>
      <c r="D40" s="970"/>
      <c r="E40" s="750">
        <f>E38+E39</f>
        <v>0</v>
      </c>
      <c r="G40" s="2"/>
      <c r="H40" s="2"/>
      <c r="I40" s="2"/>
      <c r="J40" s="2"/>
    </row>
    <row r="41" spans="2:11" ht="16.5" thickTop="1">
      <c r="B41" s="36"/>
      <c r="C41" s="36"/>
      <c r="D41" s="36"/>
      <c r="E41" s="36"/>
      <c r="G41" s="962" t="s">
        <v>774</v>
      </c>
      <c r="H41" s="963"/>
      <c r="I41" s="963"/>
      <c r="J41" s="964"/>
    </row>
    <row r="42" spans="2:11">
      <c r="B42" s="41"/>
      <c r="C42" s="133"/>
      <c r="D42" s="133"/>
      <c r="E42" s="133"/>
      <c r="G42" s="790"/>
      <c r="H42" s="791"/>
      <c r="I42" s="792"/>
      <c r="J42" s="793"/>
    </row>
    <row r="43" spans="2:11">
      <c r="B43" s="41" t="s">
        <v>78</v>
      </c>
      <c r="C43" s="416" t="s">
        <v>770</v>
      </c>
      <c r="D43" s="415" t="s">
        <v>771</v>
      </c>
      <c r="E43" s="392" t="s">
        <v>772</v>
      </c>
      <c r="G43" s="794" t="str">
        <f>summ!H24</f>
        <v xml:space="preserve">  </v>
      </c>
      <c r="H43" s="791" t="str">
        <f>CONCATENATE("",E1," Fund Mill Rate")</f>
        <v>2013 Fund Mill Rate</v>
      </c>
      <c r="I43" s="792"/>
      <c r="J43" s="793"/>
    </row>
    <row r="44" spans="2:11">
      <c r="B44" s="542">
        <f>inputPrYr!B28</f>
        <v>0</v>
      </c>
      <c r="C44" s="417" t="str">
        <f>CONCATENATE("Actual for ",E1-2,"")</f>
        <v>Actual for 2011</v>
      </c>
      <c r="D44" s="417" t="str">
        <f>CONCATENATE("Estimate for ",E1-1,"")</f>
        <v>Estimate for 2012</v>
      </c>
      <c r="E44" s="401" t="str">
        <f>CONCATENATE("Year for ",E1,"")</f>
        <v>Year for 2013</v>
      </c>
      <c r="G44" s="795" t="str">
        <f>summ!E24</f>
        <v xml:space="preserve">  </v>
      </c>
      <c r="H44" s="791" t="str">
        <f>CONCATENATE("",E1-1," Fund Mill Rate")</f>
        <v>2012 Fund Mill Rate</v>
      </c>
      <c r="I44" s="792"/>
      <c r="J44" s="793"/>
    </row>
    <row r="45" spans="2:11">
      <c r="B45" s="244" t="s">
        <v>199</v>
      </c>
      <c r="C45" s="249"/>
      <c r="D45" s="247">
        <f>C74</f>
        <v>0</v>
      </c>
      <c r="E45" s="218">
        <f>D74</f>
        <v>0</v>
      </c>
      <c r="G45" s="796">
        <f>summ!H52</f>
        <v>58.234000000000002</v>
      </c>
      <c r="H45" s="791" t="str">
        <f>CONCATENATE("Total ",E1," Mill Rate")</f>
        <v>Total 2013 Mill Rate</v>
      </c>
      <c r="I45" s="792"/>
      <c r="J45" s="793"/>
    </row>
    <row r="46" spans="2:11">
      <c r="B46" s="248" t="s">
        <v>201</v>
      </c>
      <c r="C46" s="150"/>
      <c r="D46" s="150"/>
      <c r="E46" s="76"/>
      <c r="G46" s="795">
        <f>summ!E52</f>
        <v>53.734000000000002</v>
      </c>
      <c r="H46" s="797" t="str">
        <f>CONCATENATE("Total ",E1-1," Mill Rate")</f>
        <v>Total 2012 Mill Rate</v>
      </c>
      <c r="I46" s="798"/>
      <c r="J46" s="799"/>
    </row>
    <row r="47" spans="2:11">
      <c r="B47" s="141" t="s">
        <v>79</v>
      </c>
      <c r="C47" s="249"/>
      <c r="D47" s="247">
        <f>IF(inputPrYr!H16&gt;0,inputPrYr!G28,inputPrYr!E28)</f>
        <v>0</v>
      </c>
      <c r="E47" s="277" t="s">
        <v>67</v>
      </c>
    </row>
    <row r="48" spans="2:11">
      <c r="B48" s="141" t="s">
        <v>80</v>
      </c>
      <c r="C48" s="249"/>
      <c r="D48" s="249"/>
      <c r="E48" s="56"/>
    </row>
    <row r="49" spans="2:10">
      <c r="B49" s="141" t="s">
        <v>81</v>
      </c>
      <c r="C49" s="249"/>
      <c r="D49" s="249"/>
      <c r="E49" s="218" t="str">
        <f>mvalloc!D17</f>
        <v xml:space="preserve">  </v>
      </c>
    </row>
    <row r="50" spans="2:10">
      <c r="B50" s="141" t="s">
        <v>82</v>
      </c>
      <c r="C50" s="249"/>
      <c r="D50" s="249"/>
      <c r="E50" s="218" t="str">
        <f>mvalloc!E17</f>
        <v xml:space="preserve"> </v>
      </c>
    </row>
    <row r="51" spans="2:10">
      <c r="B51" s="150" t="s">
        <v>177</v>
      </c>
      <c r="C51" s="249"/>
      <c r="D51" s="249"/>
      <c r="E51" s="218" t="str">
        <f>mvalloc!F17</f>
        <v xml:space="preserve"> </v>
      </c>
    </row>
    <row r="52" spans="2:10">
      <c r="B52" s="265"/>
      <c r="C52" s="249"/>
      <c r="D52" s="249"/>
      <c r="E52" s="56"/>
    </row>
    <row r="53" spans="2:10">
      <c r="B53" s="265"/>
      <c r="C53" s="249"/>
      <c r="D53" s="249"/>
      <c r="E53" s="56"/>
    </row>
    <row r="54" spans="2:10">
      <c r="B54" s="265"/>
      <c r="C54" s="249"/>
      <c r="D54" s="249"/>
      <c r="E54" s="56"/>
    </row>
    <row r="55" spans="2:10">
      <c r="B55" s="265"/>
      <c r="C55" s="249"/>
      <c r="D55" s="249"/>
      <c r="E55" s="56"/>
    </row>
    <row r="56" spans="2:10">
      <c r="B56" s="265"/>
      <c r="C56" s="249"/>
      <c r="D56" s="249"/>
      <c r="E56" s="56"/>
    </row>
    <row r="57" spans="2:10">
      <c r="B57" s="253" t="s">
        <v>86</v>
      </c>
      <c r="C57" s="249"/>
      <c r="D57" s="249"/>
      <c r="E57" s="56"/>
    </row>
    <row r="58" spans="2:10">
      <c r="B58" s="150" t="s">
        <v>838</v>
      </c>
      <c r="C58" s="249"/>
      <c r="D58" s="249"/>
      <c r="E58" s="56"/>
    </row>
    <row r="59" spans="2:10">
      <c r="B59" s="244" t="s">
        <v>746</v>
      </c>
      <c r="C59" s="254" t="str">
        <f>IF(C60*0.1&lt;C58,"Exceed 10% Rule","")</f>
        <v/>
      </c>
      <c r="D59" s="254" t="str">
        <f>IF(D60*0.1&lt;D58,"Exceed 10% Rule","")</f>
        <v/>
      </c>
      <c r="E59" s="291" t="str">
        <f>IF(E60*0.1+E80&lt;E58,"Exceed 10% Rule","")</f>
        <v/>
      </c>
    </row>
    <row r="60" spans="2:10">
      <c r="B60" s="256" t="s">
        <v>87</v>
      </c>
      <c r="C60" s="258">
        <f>SUM(C47:C58)</f>
        <v>0</v>
      </c>
      <c r="D60" s="258">
        <f>SUM(D47:D58)</f>
        <v>0</v>
      </c>
      <c r="E60" s="259">
        <f>SUM(E47:E58)</f>
        <v>0</v>
      </c>
    </row>
    <row r="61" spans="2:10">
      <c r="B61" s="256" t="s">
        <v>88</v>
      </c>
      <c r="C61" s="258">
        <f>C45+C60</f>
        <v>0</v>
      </c>
      <c r="D61" s="258">
        <f>D45+D60</f>
        <v>0</v>
      </c>
      <c r="E61" s="259">
        <f>E45+E60</f>
        <v>0</v>
      </c>
    </row>
    <row r="62" spans="2:10">
      <c r="B62" s="141" t="s">
        <v>90</v>
      </c>
      <c r="C62" s="266"/>
      <c r="D62" s="266"/>
      <c r="E62" s="54"/>
    </row>
    <row r="63" spans="2:10">
      <c r="B63" s="265"/>
      <c r="C63" s="249"/>
      <c r="D63" s="249"/>
      <c r="E63" s="56"/>
    </row>
    <row r="64" spans="2:10">
      <c r="B64" s="265"/>
      <c r="C64" s="249"/>
      <c r="D64" s="249"/>
      <c r="E64" s="56"/>
      <c r="G64" s="983" t="str">
        <f>CONCATENATE("Desired Carryover Into ",E1+1,"")</f>
        <v>Desired Carryover Into 2014</v>
      </c>
      <c r="H64" s="960"/>
      <c r="I64" s="960"/>
      <c r="J64" s="961"/>
    </row>
    <row r="65" spans="2:11">
      <c r="B65" s="265"/>
      <c r="C65" s="249"/>
      <c r="D65" s="249"/>
      <c r="E65" s="56"/>
      <c r="G65" s="800"/>
      <c r="H65" s="65"/>
      <c r="I65" s="801"/>
      <c r="J65" s="802"/>
    </row>
    <row r="66" spans="2:11">
      <c r="B66" s="265"/>
      <c r="C66" s="249"/>
      <c r="D66" s="249"/>
      <c r="E66" s="56"/>
      <c r="G66" s="803" t="s">
        <v>734</v>
      </c>
      <c r="H66" s="801"/>
      <c r="I66" s="801"/>
      <c r="J66" s="804">
        <v>0</v>
      </c>
    </row>
    <row r="67" spans="2:11">
      <c r="B67" s="265"/>
      <c r="C67" s="249"/>
      <c r="D67" s="249"/>
      <c r="E67" s="56"/>
      <c r="G67" s="800" t="s">
        <v>735</v>
      </c>
      <c r="H67" s="65"/>
      <c r="I67" s="65"/>
      <c r="J67" s="805" t="str">
        <f>IF(J66=0,"",ROUND((J66+E80-G79)/inputOth!E9*1000,3)-G84)</f>
        <v/>
      </c>
    </row>
    <row r="68" spans="2:11">
      <c r="B68" s="265"/>
      <c r="C68" s="249"/>
      <c r="D68" s="249"/>
      <c r="E68" s="56"/>
      <c r="G68" s="806" t="str">
        <f>CONCATENATE("",E1," Tot Exp/Non-Appr Must Be:")</f>
        <v>2013 Tot Exp/Non-Appr Must Be:</v>
      </c>
      <c r="H68" s="807"/>
      <c r="I68" s="808"/>
      <c r="J68" s="809">
        <f>IF(J66&gt;0,IF(E77&lt;E61,IF(J66=G79,E77,((J66-G79)*(1-D79))+E61),E77+(J66-G79)),0)</f>
        <v>0</v>
      </c>
    </row>
    <row r="69" spans="2:11">
      <c r="B69" s="265"/>
      <c r="C69" s="249"/>
      <c r="D69" s="249"/>
      <c r="E69" s="56"/>
      <c r="G69" s="810" t="s">
        <v>773</v>
      </c>
      <c r="H69" s="811"/>
      <c r="I69" s="811"/>
      <c r="J69" s="779">
        <f>IF(J66&gt;0,J68-E77,0)</f>
        <v>0</v>
      </c>
    </row>
    <row r="70" spans="2:11">
      <c r="B70" s="266" t="s">
        <v>837</v>
      </c>
      <c r="C70" s="249"/>
      <c r="D70" s="249"/>
      <c r="E70" s="71" t="str">
        <f>nhood!E16</f>
        <v/>
      </c>
      <c r="J70" s="2"/>
    </row>
    <row r="71" spans="2:11">
      <c r="B71" s="266" t="s">
        <v>838</v>
      </c>
      <c r="C71" s="249"/>
      <c r="D71" s="249"/>
      <c r="E71" s="56"/>
      <c r="G71" s="983" t="str">
        <f>CONCATENATE("Projected Carryover Into ",E1+1,"")</f>
        <v>Projected Carryover Into 2014</v>
      </c>
      <c r="H71" s="985"/>
      <c r="I71" s="985"/>
      <c r="J71" s="986"/>
    </row>
    <row r="72" spans="2:11">
      <c r="B72" s="266" t="s">
        <v>747</v>
      </c>
      <c r="C72" s="254" t="str">
        <f>IF(C73*0.1&lt;C71,"Exceed 10% Rule","")</f>
        <v/>
      </c>
      <c r="D72" s="254" t="str">
        <f>IF(D73*0.1&lt;D71,"Exceed 10% Rule","")</f>
        <v/>
      </c>
      <c r="E72" s="291" t="str">
        <f>IF(E73*0.1&lt;E71,"Exceed 10% Rule","")</f>
        <v/>
      </c>
      <c r="G72" s="824"/>
      <c r="H72" s="65"/>
      <c r="I72" s="65"/>
      <c r="J72" s="831"/>
    </row>
    <row r="73" spans="2:11">
      <c r="B73" s="256" t="s">
        <v>94</v>
      </c>
      <c r="C73" s="258">
        <f>SUM(C63:C71)</f>
        <v>0</v>
      </c>
      <c r="D73" s="258">
        <f>SUM(D63:D71)</f>
        <v>0</v>
      </c>
      <c r="E73" s="259">
        <f>SUM(E63:E71)</f>
        <v>0</v>
      </c>
      <c r="G73" s="826">
        <f>D74</f>
        <v>0</v>
      </c>
      <c r="H73" s="791" t="str">
        <f>CONCATENATE("",E1-1," Ending Cash Balance (est.)")</f>
        <v>2012 Ending Cash Balance (est.)</v>
      </c>
      <c r="I73" s="827"/>
      <c r="J73" s="831"/>
    </row>
    <row r="74" spans="2:11">
      <c r="B74" s="141" t="s">
        <v>200</v>
      </c>
      <c r="C74" s="262">
        <f>C61-C73</f>
        <v>0</v>
      </c>
      <c r="D74" s="262">
        <f>D61-D73</f>
        <v>0</v>
      </c>
      <c r="E74" s="277" t="s">
        <v>67</v>
      </c>
      <c r="G74" s="826">
        <f>E60</f>
        <v>0</v>
      </c>
      <c r="H74" s="801" t="str">
        <f>CONCATENATE("",E1," Non-AV Receipts (est.)")</f>
        <v>2013 Non-AV Receipts (est.)</v>
      </c>
      <c r="I74" s="827"/>
      <c r="J74" s="831"/>
    </row>
    <row r="75" spans="2:11">
      <c r="B75" s="127" t="str">
        <f>CONCATENATE("",E1-2,"/",E1-1," Budget Authority Amount:")</f>
        <v>2011/2012 Budget Authority Amount:</v>
      </c>
      <c r="C75" s="376">
        <f>inputOth!B73</f>
        <v>0</v>
      </c>
      <c r="D75" s="231">
        <f>inputPrYr!D28</f>
        <v>0</v>
      </c>
      <c r="E75" s="277" t="s">
        <v>67</v>
      </c>
      <c r="F75" s="268"/>
      <c r="G75" s="828">
        <f>IF(D79&gt;0,E78,E80)</f>
        <v>0</v>
      </c>
      <c r="H75" s="801" t="str">
        <f>CONCATENATE("",E1," Ad Valorem Tax (est.)")</f>
        <v>2013 Ad Valorem Tax (est.)</v>
      </c>
      <c r="I75" s="827"/>
      <c r="J75" s="831"/>
      <c r="K75" s="784" t="str">
        <f>IF(G75=E80,"","Note: Does not include Delinquent Taxes")</f>
        <v/>
      </c>
    </row>
    <row r="76" spans="2:11">
      <c r="B76" s="127"/>
      <c r="C76" s="965" t="s">
        <v>591</v>
      </c>
      <c r="D76" s="966"/>
      <c r="E76" s="92"/>
      <c r="F76" s="885" t="str">
        <f>IF(E73/0.95-E73&lt;E76,"Exceeds 5%","")</f>
        <v/>
      </c>
      <c r="G76" s="830">
        <f>SUM(G73:G75)</f>
        <v>0</v>
      </c>
      <c r="H76" s="801" t="str">
        <f>CONCATENATE("Total ",E1," Resources Available")</f>
        <v>Total 2013 Resources Available</v>
      </c>
      <c r="I76" s="831"/>
      <c r="J76" s="831"/>
    </row>
    <row r="77" spans="2:11">
      <c r="B77" s="538" t="str">
        <f>CONCATENATE(C96,"     ",D96)</f>
        <v xml:space="preserve">     </v>
      </c>
      <c r="C77" s="967" t="s">
        <v>592</v>
      </c>
      <c r="D77" s="968"/>
      <c r="E77" s="218">
        <f>E73+E76</f>
        <v>0</v>
      </c>
      <c r="G77" s="832"/>
      <c r="H77" s="833"/>
      <c r="I77" s="65"/>
      <c r="J77" s="831"/>
    </row>
    <row r="78" spans="2:11">
      <c r="B78" s="538" t="str">
        <f>CONCATENATE(C97,"     ",D97)</f>
        <v xml:space="preserve">     </v>
      </c>
      <c r="C78" s="269"/>
      <c r="D78" s="160" t="s">
        <v>95</v>
      </c>
      <c r="E78" s="71">
        <f>IF(E77-E61&gt;0,E77-E61,0)</f>
        <v>0</v>
      </c>
      <c r="G78" s="834">
        <f>ROUND(C73*0.05+C73,0)</f>
        <v>0</v>
      </c>
      <c r="H78" s="833" t="str">
        <f>CONCATENATE("Less ",E1-2," Expenditures + 5%")</f>
        <v>Less 2011 Expenditures + 5%</v>
      </c>
      <c r="I78" s="831"/>
      <c r="J78" s="831"/>
    </row>
    <row r="79" spans="2:11">
      <c r="B79" s="127"/>
      <c r="C79" s="379" t="s">
        <v>590</v>
      </c>
      <c r="D79" s="747">
        <f>inputOth!$E$50</f>
        <v>0.06</v>
      </c>
      <c r="E79" s="218">
        <f>ROUND(IF(D79&gt;0,(E78*D79),0),0)</f>
        <v>0</v>
      </c>
      <c r="G79" s="835">
        <f>G76-G78</f>
        <v>0</v>
      </c>
      <c r="H79" s="836" t="str">
        <f>CONCATENATE("Projected ",E1+1," carryover (est.)")</f>
        <v>Projected 2014 carryover (est.)</v>
      </c>
      <c r="I79" s="837"/>
      <c r="J79" s="838"/>
    </row>
    <row r="80" spans="2:11" ht="16.5" thickBot="1">
      <c r="B80" s="160"/>
      <c r="C80" s="969" t="str">
        <f>CONCATENATE("Amount of  ",$E$1-1," Ad Valorem Tax")</f>
        <v>Amount of  2012 Ad Valorem Tax</v>
      </c>
      <c r="D80" s="970"/>
      <c r="E80" s="750">
        <f>E78+E79</f>
        <v>0</v>
      </c>
      <c r="G80" s="2"/>
      <c r="H80" s="2"/>
      <c r="I80" s="2"/>
    </row>
    <row r="81" spans="2:10" ht="16.5" thickTop="1">
      <c r="B81" s="36"/>
      <c r="C81" s="36"/>
      <c r="D81" s="36"/>
      <c r="E81" s="36"/>
      <c r="G81" s="962" t="s">
        <v>774</v>
      </c>
      <c r="H81" s="963"/>
      <c r="I81" s="963"/>
      <c r="J81" s="964"/>
    </row>
    <row r="82" spans="2:10">
      <c r="B82" s="127" t="s">
        <v>97</v>
      </c>
      <c r="C82" s="273"/>
      <c r="D82" s="36"/>
      <c r="E82" s="36"/>
      <c r="G82" s="790"/>
      <c r="H82" s="791"/>
      <c r="I82" s="792"/>
      <c r="J82" s="793"/>
    </row>
    <row r="83" spans="2:10">
      <c r="B83" s="160"/>
      <c r="G83" s="794" t="str">
        <f>summ!H25</f>
        <v xml:space="preserve">  </v>
      </c>
      <c r="H83" s="791" t="str">
        <f>CONCATENATE("",E1," Fund Mill Rate")</f>
        <v>2013 Fund Mill Rate</v>
      </c>
      <c r="I83" s="792"/>
      <c r="J83" s="793"/>
    </row>
    <row r="84" spans="2:10">
      <c r="G84" s="795" t="str">
        <f>summ!E25</f>
        <v xml:space="preserve">  </v>
      </c>
      <c r="H84" s="791" t="str">
        <f>CONCATENATE("",E1-1," Fund Mill Rate")</f>
        <v>2012 Fund Mill Rate</v>
      </c>
      <c r="I84" s="792"/>
      <c r="J84" s="793"/>
    </row>
    <row r="85" spans="2:10">
      <c r="G85" s="796">
        <f>summ!H52</f>
        <v>58.234000000000002</v>
      </c>
      <c r="H85" s="791" t="str">
        <f>CONCATENATE("Total ",E1," Mill Rate")</f>
        <v>Total 2013 Mill Rate</v>
      </c>
      <c r="I85" s="792"/>
      <c r="J85" s="793"/>
    </row>
    <row r="86" spans="2:10">
      <c r="G86" s="795">
        <f>summ!E52</f>
        <v>53.734000000000002</v>
      </c>
      <c r="H86" s="797" t="str">
        <f>CONCATENATE("Total ",E1-1," Mill Rate")</f>
        <v>Total 2012 Mill Rate</v>
      </c>
      <c r="I86" s="798"/>
      <c r="J86" s="799"/>
    </row>
    <row r="94" spans="2:10" hidden="1">
      <c r="C94" s="537" t="str">
        <f>IF(C33&gt;C35,"See Tab A","")</f>
        <v/>
      </c>
      <c r="D94" s="537" t="str">
        <f>IF(D31&gt;D35,"See Tab C","")</f>
        <v/>
      </c>
    </row>
    <row r="95" spans="2:10" hidden="1">
      <c r="C95" s="537" t="str">
        <f>IF(C34&lt;0,"See Tab B","")</f>
        <v/>
      </c>
      <c r="D95" s="537" t="str">
        <f>IF(D34&lt;0,"See Tab D","")</f>
        <v/>
      </c>
    </row>
    <row r="96" spans="2:10" hidden="1">
      <c r="C96" s="537" t="str">
        <f>IF(C71&gt;C75,"See Tab A","")</f>
        <v/>
      </c>
      <c r="D96" s="537" t="str">
        <f>IF(D71&gt;D75,"See Tab C","")</f>
        <v/>
      </c>
    </row>
    <row r="97" spans="3:4" hidden="1">
      <c r="C97" s="537" t="str">
        <f>IF(C74&lt;0,"See Tab B","")</f>
        <v/>
      </c>
      <c r="D97" s="537" t="str">
        <f>IF(D74&lt;0,"See Tab D","")</f>
        <v/>
      </c>
    </row>
  </sheetData>
  <sheetProtection sheet="1"/>
  <mergeCells count="12">
    <mergeCell ref="C80:D80"/>
    <mergeCell ref="C40:D40"/>
    <mergeCell ref="C76:D76"/>
    <mergeCell ref="C77:D77"/>
    <mergeCell ref="G71:J71"/>
    <mergeCell ref="C36:D36"/>
    <mergeCell ref="C37:D37"/>
    <mergeCell ref="G24:J24"/>
    <mergeCell ref="G31:J31"/>
    <mergeCell ref="G41:J41"/>
    <mergeCell ref="G64:J64"/>
    <mergeCell ref="G81:J81"/>
  </mergeCells>
  <phoneticPr fontId="0" type="noConversion"/>
  <conditionalFormatting sqref="E31">
    <cfRule type="cellIs" dxfId="77" priority="3" stopIfTrue="1" operator="greaterThan">
      <formula>$E$33*0.1</formula>
    </cfRule>
  </conditionalFormatting>
  <conditionalFormatting sqref="E36">
    <cfRule type="cellIs" dxfId="76" priority="4" stopIfTrue="1" operator="greaterThan">
      <formula>$E$33/0.95-$E$33</formula>
    </cfRule>
  </conditionalFormatting>
  <conditionalFormatting sqref="E71">
    <cfRule type="cellIs" dxfId="75" priority="5" stopIfTrue="1" operator="greaterThan">
      <formula>$E$73*0.1</formula>
    </cfRule>
  </conditionalFormatting>
  <conditionalFormatting sqref="E76">
    <cfRule type="cellIs" dxfId="74" priority="6" stopIfTrue="1" operator="greaterThan">
      <formula>$E$73/0.95-$E$73</formula>
    </cfRule>
  </conditionalFormatting>
  <conditionalFormatting sqref="C31">
    <cfRule type="cellIs" dxfId="73" priority="7" stopIfTrue="1" operator="greaterThan">
      <formula>$C$33*0.1</formula>
    </cfRule>
  </conditionalFormatting>
  <conditionalFormatting sqref="D31">
    <cfRule type="cellIs" dxfId="72" priority="8" stopIfTrue="1" operator="greaterThan">
      <formula>$D$33*0.1</formula>
    </cfRule>
  </conditionalFormatting>
  <conditionalFormatting sqref="D33">
    <cfRule type="cellIs" dxfId="71" priority="9" stopIfTrue="1" operator="greaterThan">
      <formula>$C$35</formula>
    </cfRule>
  </conditionalFormatting>
  <conditionalFormatting sqref="C33">
    <cfRule type="cellIs" dxfId="70" priority="10" stopIfTrue="1" operator="greaterThan">
      <formula>$C$35</formula>
    </cfRule>
  </conditionalFormatting>
  <conditionalFormatting sqref="C34 C74">
    <cfRule type="cellIs" dxfId="69" priority="11" stopIfTrue="1" operator="lessThan">
      <formula>0</formula>
    </cfRule>
  </conditionalFormatting>
  <conditionalFormatting sqref="C71">
    <cfRule type="cellIs" dxfId="68" priority="12" stopIfTrue="1" operator="greaterThan">
      <formula>$C$73*0.1</formula>
    </cfRule>
  </conditionalFormatting>
  <conditionalFormatting sqref="D73">
    <cfRule type="cellIs" dxfId="67" priority="13" stopIfTrue="1" operator="greaterThan">
      <formula>$C$75</formula>
    </cfRule>
  </conditionalFormatting>
  <conditionalFormatting sqref="C73">
    <cfRule type="cellIs" dxfId="66" priority="14" stopIfTrue="1" operator="greaterThan">
      <formula>$C$75</formula>
    </cfRule>
  </conditionalFormatting>
  <conditionalFormatting sqref="D71">
    <cfRule type="cellIs" dxfId="65" priority="15" stopIfTrue="1" operator="greaterThan">
      <formula>$D$73*0.1</formula>
    </cfRule>
  </conditionalFormatting>
  <conditionalFormatting sqref="D18">
    <cfRule type="cellIs" dxfId="64" priority="16" stopIfTrue="1" operator="greaterThan">
      <formula>$D$20*0.1</formula>
    </cfRule>
  </conditionalFormatting>
  <conditionalFormatting sqref="C18">
    <cfRule type="cellIs" dxfId="63" priority="17" stopIfTrue="1" operator="greaterThan">
      <formula>$C$20*0.1</formula>
    </cfRule>
  </conditionalFormatting>
  <conditionalFormatting sqref="D58">
    <cfRule type="cellIs" dxfId="62" priority="18" stopIfTrue="1" operator="greaterThan">
      <formula>$D$60*0.1</formula>
    </cfRule>
  </conditionalFormatting>
  <conditionalFormatting sqref="C58">
    <cfRule type="cellIs" dxfId="61" priority="19" stopIfTrue="1" operator="greaterThan">
      <formula>$C$60*0.1</formula>
    </cfRule>
  </conditionalFormatting>
  <conditionalFormatting sqref="E58">
    <cfRule type="cellIs" dxfId="60" priority="20" stopIfTrue="1" operator="greaterThan">
      <formula>$E$60*0.1+E80</formula>
    </cfRule>
  </conditionalFormatting>
  <conditionalFormatting sqref="E18">
    <cfRule type="cellIs" dxfId="59" priority="21" stopIfTrue="1" operator="greaterThan">
      <formula>$E$20*0.1+E40</formula>
    </cfRule>
  </conditionalFormatting>
  <conditionalFormatting sqref="D74 D34">
    <cfRule type="cellIs" dxfId="58" priority="2" stopIfTrue="1" operator="lessThan">
      <formula>0</formula>
    </cfRule>
  </conditionalFormatting>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C10" activeCellId="1" sqref="C21:C25 C10:C12"/>
    </sheetView>
  </sheetViews>
  <sheetFormatPr defaultRowHeight="15.75"/>
  <cols>
    <col min="1" max="1" width="2.44140625" style="34" customWidth="1"/>
    <col min="2" max="2" width="31.109375" style="34" customWidth="1"/>
    <col min="3" max="4" width="15.77734375" style="34" customWidth="1"/>
    <col min="5" max="5" width="16.218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c r="B1" s="188" t="str">
        <f>(inputPrYr!D2)</f>
        <v>City of Osawatomie</v>
      </c>
      <c r="C1" s="36"/>
      <c r="D1" s="36"/>
      <c r="E1" s="238">
        <f>inputPrYr!C5</f>
        <v>2013</v>
      </c>
    </row>
    <row r="2" spans="2:5">
      <c r="B2" s="36"/>
      <c r="C2" s="36"/>
      <c r="D2" s="36"/>
      <c r="E2" s="160"/>
    </row>
    <row r="3" spans="2:5">
      <c r="B3" s="239" t="s">
        <v>145</v>
      </c>
      <c r="C3" s="193"/>
      <c r="D3" s="193"/>
      <c r="E3" s="279"/>
    </row>
    <row r="4" spans="2:5">
      <c r="B4" s="41" t="s">
        <v>78</v>
      </c>
      <c r="C4" s="416" t="s">
        <v>770</v>
      </c>
      <c r="D4" s="415" t="s">
        <v>771</v>
      </c>
      <c r="E4" s="392" t="s">
        <v>772</v>
      </c>
    </row>
    <row r="5" spans="2:5">
      <c r="B5" s="542">
        <f>inputPrYr!B29</f>
        <v>0</v>
      </c>
      <c r="C5" s="417" t="str">
        <f>CONCATENATE("Actual for ",E1-2,"")</f>
        <v>Actual for 2011</v>
      </c>
      <c r="D5" s="417" t="str">
        <f>CONCATENATE("Estimate for ",E1-1,"")</f>
        <v>Estimate for 2012</v>
      </c>
      <c r="E5" s="401" t="str">
        <f>CONCATENATE("Year for ",E1,"")</f>
        <v>Year for 2013</v>
      </c>
    </row>
    <row r="6" spans="2:5">
      <c r="B6" s="244" t="s">
        <v>199</v>
      </c>
      <c r="C6" s="249"/>
      <c r="D6" s="247">
        <f>C34</f>
        <v>0</v>
      </c>
      <c r="E6" s="218">
        <f>D34</f>
        <v>0</v>
      </c>
    </row>
    <row r="7" spans="2:5">
      <c r="B7" s="248" t="s">
        <v>201</v>
      </c>
      <c r="C7" s="150"/>
      <c r="D7" s="150"/>
      <c r="E7" s="76"/>
    </row>
    <row r="8" spans="2:5">
      <c r="B8" s="141" t="s">
        <v>79</v>
      </c>
      <c r="C8" s="249"/>
      <c r="D8" s="247">
        <f>IF(inputPrYr!H16&gt;0,inputPrYr!G29,inputPrYr!E29)</f>
        <v>0</v>
      </c>
      <c r="E8" s="277" t="s">
        <v>67</v>
      </c>
    </row>
    <row r="9" spans="2:5">
      <c r="B9" s="141" t="s">
        <v>80</v>
      </c>
      <c r="C9" s="249"/>
      <c r="D9" s="249"/>
      <c r="E9" s="56"/>
    </row>
    <row r="10" spans="2:5">
      <c r="B10" s="141" t="s">
        <v>81</v>
      </c>
      <c r="C10" s="249"/>
      <c r="D10" s="249"/>
      <c r="E10" s="218" t="str">
        <f>mvalloc!D18</f>
        <v xml:space="preserve">  </v>
      </c>
    </row>
    <row r="11" spans="2:5">
      <c r="B11" s="141" t="s">
        <v>82</v>
      </c>
      <c r="C11" s="249"/>
      <c r="D11" s="249"/>
      <c r="E11" s="218" t="str">
        <f>mvalloc!E18</f>
        <v xml:space="preserve"> </v>
      </c>
    </row>
    <row r="12" spans="2:5">
      <c r="B12" s="150" t="s">
        <v>177</v>
      </c>
      <c r="C12" s="249"/>
      <c r="D12" s="249"/>
      <c r="E12" s="218" t="str">
        <f>mvalloc!F18</f>
        <v xml:space="preserve"> </v>
      </c>
    </row>
    <row r="13" spans="2:5">
      <c r="B13" s="265"/>
      <c r="C13" s="249"/>
      <c r="D13" s="249"/>
      <c r="E13" s="56"/>
    </row>
    <row r="14" spans="2:5">
      <c r="B14" s="265"/>
      <c r="C14" s="249"/>
      <c r="D14" s="249"/>
      <c r="E14" s="56"/>
    </row>
    <row r="15" spans="2:5">
      <c r="B15" s="265"/>
      <c r="C15" s="249"/>
      <c r="D15" s="249"/>
      <c r="E15" s="56"/>
    </row>
    <row r="16" spans="2:5">
      <c r="B16" s="265"/>
      <c r="C16" s="249"/>
      <c r="D16" s="249"/>
      <c r="E16" s="56"/>
    </row>
    <row r="17" spans="2:10">
      <c r="B17" s="253" t="s">
        <v>86</v>
      </c>
      <c r="C17" s="249"/>
      <c r="D17" s="249"/>
      <c r="E17" s="56"/>
    </row>
    <row r="18" spans="2:10">
      <c r="B18" s="150" t="s">
        <v>838</v>
      </c>
      <c r="C18" s="249"/>
      <c r="D18" s="249"/>
      <c r="E18" s="56"/>
    </row>
    <row r="19" spans="2:10">
      <c r="B19" s="244" t="s">
        <v>746</v>
      </c>
      <c r="C19" s="254" t="str">
        <f>IF(C20*0.1&lt;C18,"Exceed 10% Rule","")</f>
        <v/>
      </c>
      <c r="D19" s="254" t="str">
        <f>IF(D20*0.1&lt;D18,"Exceed 10% Rule","")</f>
        <v/>
      </c>
      <c r="E19" s="291" t="str">
        <f>IF(E20*0.1+E40&lt;E18,"Exceed 10% Rule","")</f>
        <v/>
      </c>
    </row>
    <row r="20" spans="2:10">
      <c r="B20" s="256" t="s">
        <v>87</v>
      </c>
      <c r="C20" s="258">
        <f>SUM(C8:C18)</f>
        <v>0</v>
      </c>
      <c r="D20" s="258">
        <f>SUM(D8:D18)</f>
        <v>0</v>
      </c>
      <c r="E20" s="259">
        <f>SUM(E8:E18)</f>
        <v>0</v>
      </c>
    </row>
    <row r="21" spans="2:10">
      <c r="B21" s="256" t="s">
        <v>88</v>
      </c>
      <c r="C21" s="258">
        <f>C6+C20</f>
        <v>0</v>
      </c>
      <c r="D21" s="258">
        <f>D6+D20</f>
        <v>0</v>
      </c>
      <c r="E21" s="259">
        <f>E6+E20</f>
        <v>0</v>
      </c>
    </row>
    <row r="22" spans="2:10">
      <c r="B22" s="141" t="s">
        <v>90</v>
      </c>
      <c r="C22" s="266"/>
      <c r="D22" s="266"/>
      <c r="E22" s="54"/>
    </row>
    <row r="23" spans="2:10">
      <c r="B23" s="265"/>
      <c r="C23" s="249"/>
      <c r="D23" s="249"/>
      <c r="E23" s="56"/>
    </row>
    <row r="24" spans="2:10">
      <c r="B24" s="265"/>
      <c r="C24" s="249"/>
      <c r="D24" s="249"/>
      <c r="E24" s="56"/>
      <c r="G24" s="983" t="str">
        <f>CONCATENATE("Desired Carryover Into ",E1+1,"")</f>
        <v>Desired Carryover Into 2014</v>
      </c>
      <c r="H24" s="960"/>
      <c r="I24" s="960"/>
      <c r="J24" s="961"/>
    </row>
    <row r="25" spans="2:10">
      <c r="B25" s="265"/>
      <c r="C25" s="249"/>
      <c r="D25" s="249"/>
      <c r="E25" s="56"/>
      <c r="G25" s="800"/>
      <c r="H25" s="65"/>
      <c r="I25" s="801"/>
      <c r="J25" s="802"/>
    </row>
    <row r="26" spans="2:10">
      <c r="B26" s="265"/>
      <c r="C26" s="249"/>
      <c r="D26" s="249"/>
      <c r="E26" s="56"/>
      <c r="G26" s="803" t="s">
        <v>734</v>
      </c>
      <c r="H26" s="801"/>
      <c r="I26" s="801"/>
      <c r="J26" s="804">
        <v>0</v>
      </c>
    </row>
    <row r="27" spans="2:10">
      <c r="B27" s="265"/>
      <c r="C27" s="249"/>
      <c r="D27" s="249"/>
      <c r="E27" s="56"/>
      <c r="G27" s="800" t="s">
        <v>735</v>
      </c>
      <c r="H27" s="65"/>
      <c r="I27" s="65"/>
      <c r="J27" s="805" t="str">
        <f>IF(J26=0,"",ROUND((J26+E40-G39)/inputOth!E9*1000,3)-G44)</f>
        <v/>
      </c>
    </row>
    <row r="28" spans="2:10">
      <c r="B28" s="265"/>
      <c r="C28" s="249"/>
      <c r="D28" s="249"/>
      <c r="E28" s="56"/>
      <c r="G28" s="806" t="str">
        <f>CONCATENATE("",E1," Tot Exp/Non-Appr Must Be:")</f>
        <v>2013 Tot Exp/Non-Appr Must Be:</v>
      </c>
      <c r="H28" s="807"/>
      <c r="I28" s="808"/>
      <c r="J28" s="809">
        <f>IF(J26&gt;0,IF(E37&lt;E21,IF(J26=G39,E37,((J26-G39)*(1-D39))+E21),E37+(J26-G39)),0)</f>
        <v>0</v>
      </c>
    </row>
    <row r="29" spans="2:10">
      <c r="B29" s="265"/>
      <c r="C29" s="249"/>
      <c r="D29" s="249"/>
      <c r="E29" s="56"/>
      <c r="G29" s="810" t="s">
        <v>773</v>
      </c>
      <c r="H29" s="811"/>
      <c r="I29" s="811"/>
      <c r="J29" s="779">
        <f>IF(J26&gt;0,J28-E37,0)</f>
        <v>0</v>
      </c>
    </row>
    <row r="30" spans="2:10">
      <c r="B30" s="266" t="s">
        <v>837</v>
      </c>
      <c r="C30" s="249"/>
      <c r="D30" s="249"/>
      <c r="E30" s="71" t="str">
        <f>nhood!E17</f>
        <v/>
      </c>
      <c r="J30" s="2"/>
    </row>
    <row r="31" spans="2:10">
      <c r="B31" s="266" t="s">
        <v>838</v>
      </c>
      <c r="C31" s="249"/>
      <c r="D31" s="249"/>
      <c r="E31" s="56"/>
      <c r="G31" s="983" t="str">
        <f>CONCATENATE("Projected Carryover Into ",E1+1,"")</f>
        <v>Projected Carryover Into 2014</v>
      </c>
      <c r="H31" s="988"/>
      <c r="I31" s="988"/>
      <c r="J31" s="986"/>
    </row>
    <row r="32" spans="2:10">
      <c r="B32" s="266" t="s">
        <v>747</v>
      </c>
      <c r="C32" s="254" t="str">
        <f>IF(C33*0.1&lt;C31,"Exceed 10% Rule","")</f>
        <v/>
      </c>
      <c r="D32" s="254" t="str">
        <f>IF(D33*0.1&lt;D31,"Exceed 10% Rule","")</f>
        <v/>
      </c>
      <c r="E32" s="291" t="str">
        <f>IF(E33*0.1&lt;E31,"Exceed 10% Rule","")</f>
        <v/>
      </c>
      <c r="G32" s="800"/>
      <c r="H32" s="801"/>
      <c r="I32" s="801"/>
      <c r="J32" s="825"/>
    </row>
    <row r="33" spans="2:11">
      <c r="B33" s="256" t="s">
        <v>94</v>
      </c>
      <c r="C33" s="258">
        <f>SUM(C23:C31)</f>
        <v>0</v>
      </c>
      <c r="D33" s="258">
        <f>SUM(D23:D31)</f>
        <v>0</v>
      </c>
      <c r="E33" s="259">
        <f>SUM(E23:E31)</f>
        <v>0</v>
      </c>
      <c r="G33" s="826">
        <f>D34</f>
        <v>0</v>
      </c>
      <c r="H33" s="791" t="str">
        <f>CONCATENATE("",E1-1," Ending Cash Balance (est.)")</f>
        <v>2012 Ending Cash Balance (est.)</v>
      </c>
      <c r="I33" s="827"/>
      <c r="J33" s="825"/>
    </row>
    <row r="34" spans="2:11">
      <c r="B34" s="141" t="s">
        <v>200</v>
      </c>
      <c r="C34" s="262">
        <f>C21-C33</f>
        <v>0</v>
      </c>
      <c r="D34" s="262">
        <f>D21-D33</f>
        <v>0</v>
      </c>
      <c r="E34" s="277" t="s">
        <v>67</v>
      </c>
      <c r="G34" s="826">
        <f>E20</f>
        <v>0</v>
      </c>
      <c r="H34" s="801" t="str">
        <f>CONCATENATE("",E1," Non-AV Receipts (est.)")</f>
        <v>2013 Non-AV Receipts (est.)</v>
      </c>
      <c r="I34" s="827"/>
      <c r="J34" s="825"/>
    </row>
    <row r="35" spans="2:11">
      <c r="B35" s="127" t="str">
        <f>CONCATENATE("",E1-2,"/",E1-1," Budget Authority Amount:")</f>
        <v>2011/2012 Budget Authority Amount:</v>
      </c>
      <c r="C35" s="231">
        <f>inputOth!B74</f>
        <v>0</v>
      </c>
      <c r="D35" s="231">
        <f>inputPrYr!D29</f>
        <v>0</v>
      </c>
      <c r="E35" s="277" t="s">
        <v>67</v>
      </c>
      <c r="F35" s="268"/>
      <c r="G35" s="828">
        <f>IF(E39&gt;0,E38,E40)</f>
        <v>0</v>
      </c>
      <c r="H35" s="801" t="str">
        <f>CONCATENATE("",E1," Ad Valorem Tax (est.)")</f>
        <v>2013 Ad Valorem Tax (est.)</v>
      </c>
      <c r="I35" s="827"/>
      <c r="J35" s="813"/>
      <c r="K35" s="784" t="str">
        <f>IF(G35=E40,"","Note: Does not include Delinquent Taxes")</f>
        <v/>
      </c>
    </row>
    <row r="36" spans="2:11">
      <c r="B36" s="127"/>
      <c r="C36" s="965" t="s">
        <v>591</v>
      </c>
      <c r="D36" s="966"/>
      <c r="E36" s="56"/>
      <c r="F36" s="885" t="str">
        <f>IF(E33/0.95-E33&lt;E36,"Exceeds 5%","")</f>
        <v/>
      </c>
      <c r="G36" s="826">
        <f>SUM(G33:G35)</f>
        <v>0</v>
      </c>
      <c r="H36" s="801" t="str">
        <f>CONCATENATE("Total ",E1," Resources Available")</f>
        <v>Total 2013 Resources Available</v>
      </c>
      <c r="I36" s="827"/>
      <c r="J36" s="825"/>
    </row>
    <row r="37" spans="2:11">
      <c r="B37" s="538" t="str">
        <f>CONCATENATE(C94,"     ",D94)</f>
        <v xml:space="preserve">     </v>
      </c>
      <c r="C37" s="967" t="s">
        <v>592</v>
      </c>
      <c r="D37" s="968"/>
      <c r="E37" s="218">
        <f>E33+E36</f>
        <v>0</v>
      </c>
      <c r="G37" s="845"/>
      <c r="H37" s="801"/>
      <c r="I37" s="801"/>
      <c r="J37" s="825"/>
    </row>
    <row r="38" spans="2:11">
      <c r="B38" s="538" t="str">
        <f>CONCATENATE(C95,"     ",D95)</f>
        <v xml:space="preserve">     </v>
      </c>
      <c r="C38" s="269"/>
      <c r="D38" s="160" t="s">
        <v>95</v>
      </c>
      <c r="E38" s="71">
        <f>IF(E37-E21&gt;0,E37-E21,0)</f>
        <v>0</v>
      </c>
      <c r="G38" s="828">
        <f>ROUND(C33*0.05+C33,0)</f>
        <v>0</v>
      </c>
      <c r="H38" s="801" t="str">
        <f>CONCATENATE("Less ",E1-2," Expenditures + 5%")</f>
        <v>Less 2011 Expenditures + 5%</v>
      </c>
      <c r="I38" s="827"/>
      <c r="J38" s="825"/>
    </row>
    <row r="39" spans="2:11">
      <c r="B39" s="160"/>
      <c r="C39" s="379" t="s">
        <v>590</v>
      </c>
      <c r="D39" s="747">
        <f>inputOth!$E$50</f>
        <v>0.06</v>
      </c>
      <c r="E39" s="218">
        <f>ROUND(IF(D39&gt;0,(E38*D39),0),0)</f>
        <v>0</v>
      </c>
      <c r="G39" s="846">
        <f>G36-G38</f>
        <v>0</v>
      </c>
      <c r="H39" s="847" t="str">
        <f>CONCATENATE("Projected ",E1+1," carryover (est.)")</f>
        <v>Projected 2014 carryover (est.)</v>
      </c>
      <c r="I39" s="848"/>
      <c r="J39" s="838"/>
    </row>
    <row r="40" spans="2:11" ht="16.5" thickBot="1">
      <c r="B40" s="36"/>
      <c r="C40" s="969" t="str">
        <f>CONCATENATE("Amount of  ",$E$1-1," Ad Valorem Tax")</f>
        <v>Amount of  2012 Ad Valorem Tax</v>
      </c>
      <c r="D40" s="970"/>
      <c r="E40" s="750">
        <f>E38+E39</f>
        <v>0</v>
      </c>
      <c r="G40" s="2"/>
      <c r="H40" s="2"/>
      <c r="I40" s="2"/>
      <c r="J40" s="2"/>
    </row>
    <row r="41" spans="2:11" ht="16.5" thickTop="1">
      <c r="B41" s="36"/>
      <c r="C41" s="36"/>
      <c r="D41" s="36"/>
      <c r="E41" s="36"/>
      <c r="G41" s="962" t="s">
        <v>774</v>
      </c>
      <c r="H41" s="963"/>
      <c r="I41" s="963"/>
      <c r="J41" s="964"/>
    </row>
    <row r="42" spans="2:11">
      <c r="B42" s="41"/>
      <c r="C42" s="133"/>
      <c r="D42" s="133"/>
      <c r="E42" s="133"/>
      <c r="G42" s="790"/>
      <c r="H42" s="791"/>
      <c r="I42" s="792"/>
      <c r="J42" s="793"/>
    </row>
    <row r="43" spans="2:11">
      <c r="B43" s="41" t="s">
        <v>78</v>
      </c>
      <c r="C43" s="416" t="s">
        <v>770</v>
      </c>
      <c r="D43" s="415" t="s">
        <v>771</v>
      </c>
      <c r="E43" s="392" t="s">
        <v>772</v>
      </c>
      <c r="G43" s="794" t="str">
        <f>summ!H26</f>
        <v xml:space="preserve">  </v>
      </c>
      <c r="H43" s="791" t="str">
        <f>CONCATENATE("",E1," Fund Mill Rate")</f>
        <v>2013 Fund Mill Rate</v>
      </c>
      <c r="I43" s="792"/>
      <c r="J43" s="793"/>
    </row>
    <row r="44" spans="2:11">
      <c r="B44" s="542">
        <f>inputPrYr!B30</f>
        <v>0</v>
      </c>
      <c r="C44" s="417" t="str">
        <f>CONCATENATE("Actual for ",E1-2,"")</f>
        <v>Actual for 2011</v>
      </c>
      <c r="D44" s="417" t="str">
        <f>CONCATENATE("Estimate for ",E1-1,"")</f>
        <v>Estimate for 2012</v>
      </c>
      <c r="E44" s="401" t="str">
        <f>CONCATENATE("Year for ",E1,"")</f>
        <v>Year for 2013</v>
      </c>
      <c r="G44" s="795" t="str">
        <f>summ!E26</f>
        <v xml:space="preserve">  </v>
      </c>
      <c r="H44" s="791" t="str">
        <f>CONCATENATE("",E1-1," Fund Mill Rate")</f>
        <v>2012 Fund Mill Rate</v>
      </c>
      <c r="I44" s="792"/>
      <c r="J44" s="793"/>
    </row>
    <row r="45" spans="2:11">
      <c r="B45" s="244" t="s">
        <v>199</v>
      </c>
      <c r="C45" s="249"/>
      <c r="D45" s="247">
        <f>C74</f>
        <v>0</v>
      </c>
      <c r="E45" s="218">
        <f>D74</f>
        <v>0</v>
      </c>
      <c r="G45" s="796">
        <f>summ!H52</f>
        <v>58.234000000000002</v>
      </c>
      <c r="H45" s="791" t="str">
        <f>CONCATENATE("Total ",E1," Mill Rate")</f>
        <v>Total 2013 Mill Rate</v>
      </c>
      <c r="I45" s="792"/>
      <c r="J45" s="793"/>
    </row>
    <row r="46" spans="2:11">
      <c r="B46" s="248" t="s">
        <v>201</v>
      </c>
      <c r="C46" s="150"/>
      <c r="D46" s="150"/>
      <c r="E46" s="76"/>
      <c r="G46" s="795">
        <f>summ!E52</f>
        <v>53.734000000000002</v>
      </c>
      <c r="H46" s="797" t="str">
        <f>CONCATENATE("Total ",E1-1," Mill Rate")</f>
        <v>Total 2012 Mill Rate</v>
      </c>
      <c r="I46" s="798"/>
      <c r="J46" s="799"/>
    </row>
    <row r="47" spans="2:11">
      <c r="B47" s="141" t="s">
        <v>79</v>
      </c>
      <c r="C47" s="249"/>
      <c r="D47" s="247">
        <f>IF(inputPrYr!H16&gt;0,inputPrYr!G30,inputPrYr!E30)</f>
        <v>0</v>
      </c>
      <c r="E47" s="277" t="s">
        <v>67</v>
      </c>
    </row>
    <row r="48" spans="2:11">
      <c r="B48" s="141" t="s">
        <v>80</v>
      </c>
      <c r="C48" s="249"/>
      <c r="D48" s="249"/>
      <c r="E48" s="56"/>
    </row>
    <row r="49" spans="2:10">
      <c r="B49" s="141" t="s">
        <v>81</v>
      </c>
      <c r="C49" s="249"/>
      <c r="D49" s="249"/>
      <c r="E49" s="218" t="str">
        <f>mvalloc!D19</f>
        <v xml:space="preserve">  </v>
      </c>
    </row>
    <row r="50" spans="2:10">
      <c r="B50" s="141" t="s">
        <v>82</v>
      </c>
      <c r="C50" s="249"/>
      <c r="D50" s="249"/>
      <c r="E50" s="218" t="str">
        <f>mvalloc!E19</f>
        <v xml:space="preserve"> </v>
      </c>
    </row>
    <row r="51" spans="2:10">
      <c r="B51" s="150" t="s">
        <v>177</v>
      </c>
      <c r="C51" s="249"/>
      <c r="D51" s="249"/>
      <c r="E51" s="218" t="str">
        <f>mvalloc!F19</f>
        <v xml:space="preserve"> </v>
      </c>
    </row>
    <row r="52" spans="2:10">
      <c r="B52" s="265"/>
      <c r="C52" s="249"/>
      <c r="D52" s="249"/>
      <c r="E52" s="56"/>
    </row>
    <row r="53" spans="2:10">
      <c r="B53" s="265"/>
      <c r="C53" s="249"/>
      <c r="D53" s="249"/>
      <c r="E53" s="56"/>
    </row>
    <row r="54" spans="2:10">
      <c r="B54" s="265"/>
      <c r="C54" s="249"/>
      <c r="D54" s="249"/>
      <c r="E54" s="56"/>
    </row>
    <row r="55" spans="2:10">
      <c r="B55" s="265"/>
      <c r="C55" s="249"/>
      <c r="D55" s="249"/>
      <c r="E55" s="56"/>
    </row>
    <row r="56" spans="2:10">
      <c r="B56" s="265"/>
      <c r="C56" s="249"/>
      <c r="D56" s="249"/>
      <c r="E56" s="56"/>
    </row>
    <row r="57" spans="2:10">
      <c r="B57" s="253" t="s">
        <v>86</v>
      </c>
      <c r="C57" s="249"/>
      <c r="D57" s="249"/>
      <c r="E57" s="56"/>
    </row>
    <row r="58" spans="2:10">
      <c r="B58" s="150" t="s">
        <v>838</v>
      </c>
      <c r="C58" s="249"/>
      <c r="D58" s="249"/>
      <c r="E58" s="56"/>
    </row>
    <row r="59" spans="2:10">
      <c r="B59" s="244" t="s">
        <v>746</v>
      </c>
      <c r="C59" s="254" t="str">
        <f>IF(C60*0.1&lt;C58,"Exceed 10% Rule","")</f>
        <v/>
      </c>
      <c r="D59" s="254" t="str">
        <f>IF(D60*0.1&lt;D58,"Exceed 10% Rule","")</f>
        <v/>
      </c>
      <c r="E59" s="291" t="str">
        <f>IF(E60*0.1+E80&lt;E58,"Exceed 10% Rule","")</f>
        <v/>
      </c>
    </row>
    <row r="60" spans="2:10">
      <c r="B60" s="256" t="s">
        <v>87</v>
      </c>
      <c r="C60" s="258">
        <f>SUM(C47:C58)</f>
        <v>0</v>
      </c>
      <c r="D60" s="258">
        <f>SUM(D47:D58)</f>
        <v>0</v>
      </c>
      <c r="E60" s="259">
        <f>SUM(E47:E58)</f>
        <v>0</v>
      </c>
    </row>
    <row r="61" spans="2:10">
      <c r="B61" s="256" t="s">
        <v>88</v>
      </c>
      <c r="C61" s="258">
        <f>C45+C60</f>
        <v>0</v>
      </c>
      <c r="D61" s="258">
        <f>D45+D60</f>
        <v>0</v>
      </c>
      <c r="E61" s="259">
        <f>E45+E60</f>
        <v>0</v>
      </c>
    </row>
    <row r="62" spans="2:10">
      <c r="B62" s="141" t="s">
        <v>90</v>
      </c>
      <c r="C62" s="266"/>
      <c r="D62" s="266"/>
      <c r="E62" s="54"/>
    </row>
    <row r="63" spans="2:10">
      <c r="B63" s="265"/>
      <c r="C63" s="249"/>
      <c r="D63" s="249"/>
      <c r="E63" s="56"/>
    </row>
    <row r="64" spans="2:10">
      <c r="B64" s="265"/>
      <c r="C64" s="249"/>
      <c r="D64" s="249"/>
      <c r="E64" s="56"/>
      <c r="G64" s="983" t="str">
        <f>CONCATENATE("Desired Carryover Into ",E1+1,"")</f>
        <v>Desired Carryover Into 2014</v>
      </c>
      <c r="H64" s="960"/>
      <c r="I64" s="960"/>
      <c r="J64" s="961"/>
    </row>
    <row r="65" spans="2:11">
      <c r="B65" s="265"/>
      <c r="C65" s="249"/>
      <c r="D65" s="249"/>
      <c r="E65" s="56"/>
      <c r="G65" s="800"/>
      <c r="H65" s="65"/>
      <c r="I65" s="801"/>
      <c r="J65" s="802"/>
    </row>
    <row r="66" spans="2:11">
      <c r="B66" s="265"/>
      <c r="C66" s="249"/>
      <c r="D66" s="249"/>
      <c r="E66" s="56"/>
      <c r="G66" s="803" t="s">
        <v>734</v>
      </c>
      <c r="H66" s="801"/>
      <c r="I66" s="801"/>
      <c r="J66" s="804">
        <v>0</v>
      </c>
    </row>
    <row r="67" spans="2:11">
      <c r="B67" s="265"/>
      <c r="C67" s="249"/>
      <c r="D67" s="249"/>
      <c r="E67" s="56"/>
      <c r="G67" s="800" t="s">
        <v>735</v>
      </c>
      <c r="H67" s="65"/>
      <c r="I67" s="65"/>
      <c r="J67" s="805" t="str">
        <f>IF(J66=0,"",ROUND((J66+E80-G79)/inputOth!E9*1000,3)-G84)</f>
        <v/>
      </c>
    </row>
    <row r="68" spans="2:11">
      <c r="B68" s="265"/>
      <c r="C68" s="249"/>
      <c r="D68" s="249"/>
      <c r="E68" s="56"/>
      <c r="G68" s="806" t="str">
        <f>CONCATENATE("",E1," Tot Exp/Non-Appr Must Be:")</f>
        <v>2013 Tot Exp/Non-Appr Must Be:</v>
      </c>
      <c r="H68" s="807"/>
      <c r="I68" s="808"/>
      <c r="J68" s="809">
        <f>IF(J66&gt;0,IF(E77&lt;E61,IF(J66=G79,E77,((J66-G79)*(1-D79))+E61),E77+(J66-G79)),0)</f>
        <v>0</v>
      </c>
    </row>
    <row r="69" spans="2:11">
      <c r="B69" s="265"/>
      <c r="C69" s="249"/>
      <c r="D69" s="249"/>
      <c r="E69" s="56"/>
      <c r="G69" s="810" t="s">
        <v>773</v>
      </c>
      <c r="H69" s="811"/>
      <c r="I69" s="811"/>
      <c r="J69" s="779">
        <f>IF(J66&gt;0,J68-E78,0)</f>
        <v>0</v>
      </c>
    </row>
    <row r="70" spans="2:11">
      <c r="B70" s="266" t="s">
        <v>837</v>
      </c>
      <c r="C70" s="249"/>
      <c r="D70" s="249"/>
      <c r="E70" s="71" t="str">
        <f>nhood!E18</f>
        <v/>
      </c>
      <c r="J70" s="2"/>
    </row>
    <row r="71" spans="2:11">
      <c r="B71" s="266" t="s">
        <v>838</v>
      </c>
      <c r="C71" s="249"/>
      <c r="D71" s="249"/>
      <c r="E71" s="56"/>
      <c r="G71" s="983" t="str">
        <f>CONCATENATE("Projected Carryover Into ",E1+1,"")</f>
        <v>Projected Carryover Into 2014</v>
      </c>
      <c r="H71" s="985"/>
      <c r="I71" s="985"/>
      <c r="J71" s="986"/>
    </row>
    <row r="72" spans="2:11">
      <c r="B72" s="266" t="s">
        <v>747</v>
      </c>
      <c r="C72" s="254" t="str">
        <f>IF(C73*0.1&lt;C71,"Exceed 10% Rule","")</f>
        <v/>
      </c>
      <c r="D72" s="254" t="str">
        <f>IF(D73*0.1&lt;D71,"Exceed 10% Rule","")</f>
        <v/>
      </c>
      <c r="E72" s="291" t="str">
        <f>IF(E73*0.1&lt;E71,"Exceed 10% Rule","")</f>
        <v/>
      </c>
      <c r="G72" s="824"/>
      <c r="H72" s="65"/>
      <c r="I72" s="65"/>
      <c r="J72" s="831"/>
    </row>
    <row r="73" spans="2:11">
      <c r="B73" s="256" t="s">
        <v>94</v>
      </c>
      <c r="C73" s="258">
        <f>SUM(C63:C71)</f>
        <v>0</v>
      </c>
      <c r="D73" s="258">
        <f>SUM(D63:D71)</f>
        <v>0</v>
      </c>
      <c r="E73" s="259">
        <f>SUM(E63:E71)</f>
        <v>0</v>
      </c>
      <c r="G73" s="826">
        <f>D74</f>
        <v>0</v>
      </c>
      <c r="H73" s="791" t="str">
        <f>CONCATENATE("",E1-1," Ending Cash Balance (est.)")</f>
        <v>2012 Ending Cash Balance (est.)</v>
      </c>
      <c r="I73" s="827"/>
      <c r="J73" s="831"/>
    </row>
    <row r="74" spans="2:11">
      <c r="B74" s="141" t="s">
        <v>200</v>
      </c>
      <c r="C74" s="262">
        <f>C61-C73</f>
        <v>0</v>
      </c>
      <c r="D74" s="262">
        <f>D61-D73</f>
        <v>0</v>
      </c>
      <c r="E74" s="277" t="s">
        <v>67</v>
      </c>
      <c r="G74" s="826">
        <f>E60</f>
        <v>0</v>
      </c>
      <c r="H74" s="801" t="str">
        <f>CONCATENATE("",E1," Non-AV Receipts (est.)")</f>
        <v>2013 Non-AV Receipts (est.)</v>
      </c>
      <c r="I74" s="827"/>
      <c r="J74" s="831"/>
    </row>
    <row r="75" spans="2:11">
      <c r="B75" s="127" t="str">
        <f>CONCATENATE("",E1-2,"/",E1-1," Budget Authority Amount:")</f>
        <v>2011/2012 Budget Authority Amount:</v>
      </c>
      <c r="C75" s="231">
        <f>inputOth!B75</f>
        <v>0</v>
      </c>
      <c r="D75" s="231">
        <f>inputPrYr!D30</f>
        <v>0</v>
      </c>
      <c r="E75" s="277" t="s">
        <v>67</v>
      </c>
      <c r="F75" s="268"/>
      <c r="G75" s="828">
        <f>IF(D79&gt;0,E78,E80)</f>
        <v>0</v>
      </c>
      <c r="H75" s="801" t="str">
        <f>CONCATENATE("",E1," Ad Valorem Tax (est.)")</f>
        <v>2013 Ad Valorem Tax (est.)</v>
      </c>
      <c r="I75" s="827"/>
      <c r="J75" s="831"/>
      <c r="K75" s="784" t="str">
        <f>IF(G75=E80,"","Note: Does not include Delinquent Taxes")</f>
        <v/>
      </c>
    </row>
    <row r="76" spans="2:11">
      <c r="B76" s="127"/>
      <c r="C76" s="965" t="s">
        <v>591</v>
      </c>
      <c r="D76" s="966"/>
      <c r="E76" s="56"/>
      <c r="F76" s="885" t="str">
        <f>IF(E73/0.95-E73&lt;E76,"Exceeds 5%","")</f>
        <v/>
      </c>
      <c r="G76" s="830">
        <f>SUM(G73:G75)</f>
        <v>0</v>
      </c>
      <c r="H76" s="801" t="str">
        <f>CONCATENATE("Total ",E1," Resources Available")</f>
        <v>Total 2013 Resources Available</v>
      </c>
      <c r="I76" s="831"/>
      <c r="J76" s="831"/>
    </row>
    <row r="77" spans="2:11">
      <c r="B77" s="538" t="str">
        <f>CONCATENATE(C96,"     ",D96)</f>
        <v xml:space="preserve">     </v>
      </c>
      <c r="C77" s="967" t="s">
        <v>592</v>
      </c>
      <c r="D77" s="968"/>
      <c r="E77" s="218">
        <f>E73+E76</f>
        <v>0</v>
      </c>
      <c r="G77" s="832"/>
      <c r="H77" s="833"/>
      <c r="I77" s="65"/>
      <c r="J77" s="831"/>
    </row>
    <row r="78" spans="2:11">
      <c r="B78" s="538" t="str">
        <f>CONCATENATE(C97,"     ",D97)</f>
        <v xml:space="preserve">     </v>
      </c>
      <c r="C78" s="269"/>
      <c r="D78" s="160" t="s">
        <v>95</v>
      </c>
      <c r="E78" s="71">
        <f>IF(E77-E61&gt;0,E77-E61,0)</f>
        <v>0</v>
      </c>
      <c r="G78" s="834">
        <f>ROUND(C73*0.05+C73,0)</f>
        <v>0</v>
      </c>
      <c r="H78" s="833" t="str">
        <f>CONCATENATE("Less ",E1-2," Expenditures + 5%")</f>
        <v>Less 2011 Expenditures + 5%</v>
      </c>
      <c r="I78" s="831"/>
      <c r="J78" s="831"/>
    </row>
    <row r="79" spans="2:11">
      <c r="B79" s="127"/>
      <c r="C79" s="379" t="s">
        <v>590</v>
      </c>
      <c r="D79" s="747">
        <f>inputOth!$E$50</f>
        <v>0.06</v>
      </c>
      <c r="E79" s="218">
        <f>ROUND(IF(D79&gt;0,(E78*D79),0),0)</f>
        <v>0</v>
      </c>
      <c r="G79" s="835">
        <f>G76-G78</f>
        <v>0</v>
      </c>
      <c r="H79" s="836" t="str">
        <f>CONCATENATE("Projected ",E1+1," carryover (est.)")</f>
        <v>Projected 2014 carryover (est.)</v>
      </c>
      <c r="I79" s="837"/>
      <c r="J79" s="838"/>
    </row>
    <row r="80" spans="2:11" ht="16.5" thickBot="1">
      <c r="B80" s="160"/>
      <c r="C80" s="969" t="str">
        <f>CONCATENATE("Amount of  ",$E$1-1," Ad Valorem Tax")</f>
        <v>Amount of  2012 Ad Valorem Tax</v>
      </c>
      <c r="D80" s="970"/>
      <c r="E80" s="750">
        <f>E78+E79</f>
        <v>0</v>
      </c>
      <c r="G80" s="2"/>
      <c r="H80" s="2"/>
      <c r="I80" s="2"/>
    </row>
    <row r="81" spans="2:10" ht="16.5" thickTop="1">
      <c r="B81" s="36"/>
      <c r="C81" s="36"/>
      <c r="D81" s="36"/>
      <c r="E81" s="36"/>
      <c r="G81" s="962" t="s">
        <v>774</v>
      </c>
      <c r="H81" s="963"/>
      <c r="I81" s="963"/>
      <c r="J81" s="964"/>
    </row>
    <row r="82" spans="2:10">
      <c r="B82" s="127" t="s">
        <v>97</v>
      </c>
      <c r="C82" s="273"/>
      <c r="D82" s="36"/>
      <c r="E82" s="36"/>
      <c r="G82" s="790"/>
      <c r="H82" s="791"/>
      <c r="I82" s="792"/>
      <c r="J82" s="793"/>
    </row>
    <row r="83" spans="2:10">
      <c r="B83" s="87"/>
      <c r="G83" s="794" t="str">
        <f>summ!H27</f>
        <v xml:space="preserve">  </v>
      </c>
      <c r="H83" s="791" t="str">
        <f>CONCATENATE("",E1," Fund Mill Rate")</f>
        <v>2013 Fund Mill Rate</v>
      </c>
      <c r="I83" s="792"/>
      <c r="J83" s="793"/>
    </row>
    <row r="84" spans="2:10">
      <c r="G84" s="795" t="str">
        <f>summ!E27</f>
        <v xml:space="preserve">  </v>
      </c>
      <c r="H84" s="791" t="str">
        <f>CONCATENATE("",E1-1," Fund Mill Rate")</f>
        <v>2012 Fund Mill Rate</v>
      </c>
      <c r="I84" s="792"/>
      <c r="J84" s="793"/>
    </row>
    <row r="85" spans="2:10">
      <c r="G85" s="796">
        <f>summ!H52</f>
        <v>58.234000000000002</v>
      </c>
      <c r="H85" s="791" t="str">
        <f>CONCATENATE("Total ",E1," Mill Rate")</f>
        <v>Total 2013 Mill Rate</v>
      </c>
      <c r="I85" s="792"/>
      <c r="J85" s="793"/>
    </row>
    <row r="86" spans="2:10">
      <c r="G86" s="795">
        <f>summ!E52</f>
        <v>53.734000000000002</v>
      </c>
      <c r="H86" s="797" t="str">
        <f>CONCATENATE("Total ",E1-1," Mill Rate")</f>
        <v>Total 2012 Mill Rate</v>
      </c>
      <c r="I86" s="798"/>
      <c r="J86" s="799"/>
    </row>
    <row r="94" spans="2:10" hidden="1">
      <c r="C94" s="537" t="str">
        <f>IF(C33&gt;C35,"See Tab A","")</f>
        <v/>
      </c>
      <c r="D94" s="537" t="str">
        <f>IF(D31&gt;D35,"See Tab C","")</f>
        <v/>
      </c>
    </row>
    <row r="95" spans="2:10" hidden="1">
      <c r="C95" s="537" t="str">
        <f>IF(C34&lt;0,"See Tab B","")</f>
        <v/>
      </c>
      <c r="D95" s="537" t="str">
        <f>IF(D34&lt;0,"See Tab D","")</f>
        <v/>
      </c>
    </row>
    <row r="96" spans="2:10" hidden="1">
      <c r="C96" s="537" t="str">
        <f>IF(C71&gt;C75,"See Tab A","")</f>
        <v/>
      </c>
      <c r="D96" s="537" t="str">
        <f>IF(D71&gt;D75,"See Tab C","")</f>
        <v/>
      </c>
    </row>
    <row r="97" spans="3:4" hidden="1">
      <c r="C97" s="537" t="str">
        <f>IF(C74&lt;0,"See Tab B","")</f>
        <v/>
      </c>
      <c r="D97" s="537" t="str">
        <f>IF(D74&lt;0,"See Tab D","")</f>
        <v/>
      </c>
    </row>
  </sheetData>
  <sheetProtection sheet="1"/>
  <mergeCells count="12">
    <mergeCell ref="C36:D36"/>
    <mergeCell ref="C37:D37"/>
    <mergeCell ref="C80:D80"/>
    <mergeCell ref="C40:D40"/>
    <mergeCell ref="C76:D76"/>
    <mergeCell ref="C77:D77"/>
    <mergeCell ref="G81:J81"/>
    <mergeCell ref="G24:J24"/>
    <mergeCell ref="G31:J31"/>
    <mergeCell ref="G41:J41"/>
    <mergeCell ref="G64:J64"/>
    <mergeCell ref="G71:J71"/>
  </mergeCells>
  <phoneticPr fontId="0" type="noConversion"/>
  <conditionalFormatting sqref="E31">
    <cfRule type="cellIs" dxfId="57" priority="3" stopIfTrue="1" operator="greaterThan">
      <formula>$E$33*0.1</formula>
    </cfRule>
  </conditionalFormatting>
  <conditionalFormatting sqref="E36">
    <cfRule type="cellIs" dxfId="56" priority="4" stopIfTrue="1" operator="greaterThan">
      <formula>$E$33/0.95-$E$33</formula>
    </cfRule>
  </conditionalFormatting>
  <conditionalFormatting sqref="E71">
    <cfRule type="cellIs" dxfId="55" priority="5" stopIfTrue="1" operator="greaterThan">
      <formula>$E$73*0.1</formula>
    </cfRule>
  </conditionalFormatting>
  <conditionalFormatting sqref="E76">
    <cfRule type="cellIs" dxfId="54" priority="6" stopIfTrue="1" operator="greaterThan">
      <formula>$E$73/0.95-$E$73</formula>
    </cfRule>
  </conditionalFormatting>
  <conditionalFormatting sqref="C31">
    <cfRule type="cellIs" dxfId="53" priority="7" stopIfTrue="1" operator="greaterThan">
      <formula>$C$33*0.1</formula>
    </cfRule>
  </conditionalFormatting>
  <conditionalFormatting sqref="D31">
    <cfRule type="cellIs" dxfId="52" priority="8" stopIfTrue="1" operator="greaterThan">
      <formula>$D$33*0.1</formula>
    </cfRule>
  </conditionalFormatting>
  <conditionalFormatting sqref="D33">
    <cfRule type="cellIs" dxfId="51" priority="9" stopIfTrue="1" operator="greaterThan">
      <formula>$C$35</formula>
    </cfRule>
  </conditionalFormatting>
  <conditionalFormatting sqref="C33">
    <cfRule type="cellIs" dxfId="50" priority="10" stopIfTrue="1" operator="greaterThan">
      <formula>$C$35</formula>
    </cfRule>
  </conditionalFormatting>
  <conditionalFormatting sqref="C34 C74">
    <cfRule type="cellIs" dxfId="49" priority="11" stopIfTrue="1" operator="lessThan">
      <formula>0</formula>
    </cfRule>
  </conditionalFormatting>
  <conditionalFormatting sqref="C71">
    <cfRule type="cellIs" dxfId="48" priority="12" stopIfTrue="1" operator="greaterThan">
      <formula>$C$73*0.1</formula>
    </cfRule>
  </conditionalFormatting>
  <conditionalFormatting sqref="D71">
    <cfRule type="cellIs" dxfId="47" priority="13" stopIfTrue="1" operator="greaterThan">
      <formula>$D$73*0.1</formula>
    </cfRule>
  </conditionalFormatting>
  <conditionalFormatting sqref="D73">
    <cfRule type="cellIs" dxfId="46" priority="14" stopIfTrue="1" operator="greaterThan">
      <formula>$C$75</formula>
    </cfRule>
  </conditionalFormatting>
  <conditionalFormatting sqref="C73">
    <cfRule type="cellIs" dxfId="45" priority="15" stopIfTrue="1" operator="greaterThan">
      <formula>$C$75</formula>
    </cfRule>
  </conditionalFormatting>
  <conditionalFormatting sqref="D18">
    <cfRule type="cellIs" dxfId="44" priority="16" stopIfTrue="1" operator="greaterThan">
      <formula>$D$20*0.1</formula>
    </cfRule>
  </conditionalFormatting>
  <conditionalFormatting sqref="C18">
    <cfRule type="cellIs" dxfId="43" priority="17" stopIfTrue="1" operator="greaterThan">
      <formula>$C$20*0.1</formula>
    </cfRule>
  </conditionalFormatting>
  <conditionalFormatting sqref="D58">
    <cfRule type="cellIs" dxfId="42" priority="18" stopIfTrue="1" operator="greaterThan">
      <formula>$D$60*0.1</formula>
    </cfRule>
  </conditionalFormatting>
  <conditionalFormatting sqref="C58">
    <cfRule type="cellIs" dxfId="41" priority="19" stopIfTrue="1" operator="greaterThan">
      <formula>$C$60*0.1</formula>
    </cfRule>
  </conditionalFormatting>
  <conditionalFormatting sqref="E58">
    <cfRule type="cellIs" dxfId="40" priority="20" stopIfTrue="1" operator="greaterThan">
      <formula>$E$60*0.1+E80</formula>
    </cfRule>
  </conditionalFormatting>
  <conditionalFormatting sqref="E18">
    <cfRule type="cellIs" dxfId="39" priority="21" stopIfTrue="1" operator="greaterThan">
      <formula>$E$20*0.1+E40</formula>
    </cfRule>
  </conditionalFormatting>
  <conditionalFormatting sqref="D74 D34">
    <cfRule type="cellIs" dxfId="38" priority="2" stopIfTrue="1" operator="lessThan">
      <formula>0</formula>
    </cfRule>
  </conditionalFormatting>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6"/>
  <sheetViews>
    <sheetView zoomScaleNormal="100" workbookViewId="0">
      <selection activeCell="E6" sqref="E6"/>
    </sheetView>
  </sheetViews>
  <sheetFormatPr defaultRowHeight="15"/>
  <cols>
    <col min="1" max="1" width="15.77734375" style="95" customWidth="1"/>
    <col min="2" max="2" width="20.77734375" style="95" customWidth="1"/>
    <col min="3" max="3" width="9.77734375" style="95" customWidth="1"/>
    <col min="4" max="4" width="15.109375" style="95" customWidth="1"/>
    <col min="5" max="5" width="15.77734375" style="95" customWidth="1"/>
    <col min="6" max="16384" width="8.88671875" style="95"/>
  </cols>
  <sheetData>
    <row r="1" spans="1:5" ht="15.75">
      <c r="A1" s="165" t="str">
        <f>inputPrYr!$D$2</f>
        <v>City of Osawatomie</v>
      </c>
      <c r="B1" s="57"/>
      <c r="C1" s="57"/>
      <c r="D1" s="57"/>
      <c r="E1" s="164">
        <f>inputPrYr!C5</f>
        <v>2013</v>
      </c>
    </row>
    <row r="2" spans="1:5">
      <c r="A2" s="57"/>
      <c r="B2" s="57"/>
      <c r="C2" s="57"/>
      <c r="D2" s="57"/>
      <c r="E2" s="57"/>
    </row>
    <row r="3" spans="1:5" ht="15.75">
      <c r="A3" s="913" t="s">
        <v>301</v>
      </c>
      <c r="B3" s="914"/>
      <c r="C3" s="914"/>
      <c r="D3" s="914"/>
      <c r="E3" s="914"/>
    </row>
    <row r="4" spans="1:5">
      <c r="A4" s="57"/>
      <c r="B4" s="57"/>
      <c r="C4" s="57"/>
      <c r="D4" s="57"/>
      <c r="E4" s="57"/>
    </row>
    <row r="5" spans="1:5" ht="15.75">
      <c r="A5" s="928" t="s">
        <v>600</v>
      </c>
      <c r="B5" s="929"/>
      <c r="C5" s="434"/>
      <c r="D5" s="438" t="s">
        <v>601</v>
      </c>
      <c r="E5" s="437" t="s">
        <v>602</v>
      </c>
    </row>
    <row r="6" spans="1:5" ht="15.75">
      <c r="A6" s="434" t="s">
        <v>603</v>
      </c>
      <c r="B6" s="496"/>
      <c r="C6" s="436"/>
      <c r="D6" s="435" t="s">
        <v>596</v>
      </c>
      <c r="E6" s="495"/>
    </row>
    <row r="7" spans="1:5">
      <c r="A7" s="57"/>
      <c r="B7" s="57"/>
      <c r="C7" s="57"/>
      <c r="D7" s="57"/>
      <c r="E7" s="57"/>
    </row>
    <row r="8" spans="1:5" ht="15.75">
      <c r="A8" s="48" t="str">
        <f>CONCATENATE("From the County Clerks ",E1," Budget Information:")</f>
        <v>From the County Clerks 2013 Budget Information:</v>
      </c>
      <c r="B8" s="49"/>
      <c r="C8" s="36"/>
      <c r="D8" s="36"/>
      <c r="E8" s="86"/>
    </row>
    <row r="9" spans="1:5" ht="15.75">
      <c r="A9" s="96" t="str">
        <f>CONCATENATE("Total Assessed Valuation for ",E1-1,"")</f>
        <v>Total Assessed Valuation for 2012</v>
      </c>
      <c r="B9" s="61"/>
      <c r="C9" s="61"/>
      <c r="D9" s="61"/>
      <c r="E9" s="56">
        <v>22729900</v>
      </c>
    </row>
    <row r="10" spans="1:5" ht="15.75">
      <c r="A10" s="96" t="str">
        <f>CONCATENATE("New Improvements for ",E1-1,"")</f>
        <v>New Improvements for 2012</v>
      </c>
      <c r="B10" s="61"/>
      <c r="C10" s="61"/>
      <c r="D10" s="61"/>
      <c r="E10" s="97">
        <v>4723</v>
      </c>
    </row>
    <row r="11" spans="1:5" ht="15.75">
      <c r="A11" s="96" t="str">
        <f>CONCATENATE("Personal Property excluding oil, gas, mobile homes - ",E1-1,"")</f>
        <v>Personal Property excluding oil, gas, mobile homes - 2012</v>
      </c>
      <c r="B11" s="61"/>
      <c r="C11" s="61"/>
      <c r="D11" s="61"/>
      <c r="E11" s="97">
        <v>313394</v>
      </c>
    </row>
    <row r="12" spans="1:5" ht="15.75">
      <c r="A12" s="98" t="s">
        <v>235</v>
      </c>
      <c r="B12" s="61"/>
      <c r="C12" s="61"/>
      <c r="D12" s="61"/>
      <c r="E12" s="76"/>
    </row>
    <row r="13" spans="1:5" ht="15.75">
      <c r="A13" s="96" t="s">
        <v>192</v>
      </c>
      <c r="B13" s="61"/>
      <c r="C13" s="61"/>
      <c r="D13" s="61"/>
      <c r="E13" s="97">
        <v>0</v>
      </c>
    </row>
    <row r="14" spans="1:5" ht="15.75">
      <c r="A14" s="96" t="s">
        <v>193</v>
      </c>
      <c r="B14" s="61"/>
      <c r="C14" s="61"/>
      <c r="D14" s="61"/>
      <c r="E14" s="97">
        <v>0</v>
      </c>
    </row>
    <row r="15" spans="1:5" ht="15.75">
      <c r="A15" s="96" t="s">
        <v>194</v>
      </c>
      <c r="B15" s="61"/>
      <c r="C15" s="61"/>
      <c r="D15" s="61"/>
      <c r="E15" s="97">
        <v>0</v>
      </c>
    </row>
    <row r="16" spans="1:5" ht="15.75">
      <c r="A16" s="96" t="str">
        <f>CONCATENATE("Property that has changed in use for ",E1-1,"")</f>
        <v>Property that has changed in use for 2012</v>
      </c>
      <c r="B16" s="61"/>
      <c r="C16" s="61"/>
      <c r="D16" s="61"/>
      <c r="E16" s="97">
        <v>1297</v>
      </c>
    </row>
    <row r="17" spans="1:5" ht="15.75">
      <c r="A17" s="96" t="str">
        <f>CONCATENATE("Personal Property  excluding oil, gas, mobile homes- ",E1-2,"")</f>
        <v>Personal Property  excluding oil, gas, mobile homes- 2011</v>
      </c>
      <c r="B17" s="61"/>
      <c r="C17" s="61"/>
      <c r="D17" s="61"/>
      <c r="E17" s="56">
        <v>342524</v>
      </c>
    </row>
    <row r="18" spans="1:5" ht="15.75">
      <c r="A18" s="96" t="str">
        <f>CONCATENATE("Gross earnings (intangible) tax estimate for ",E1,"")</f>
        <v>Gross earnings (intangible) tax estimate for 2013</v>
      </c>
      <c r="B18" s="61"/>
      <c r="C18" s="61"/>
      <c r="D18" s="82"/>
      <c r="E18" s="56">
        <v>0</v>
      </c>
    </row>
    <row r="19" spans="1:5" ht="15.75">
      <c r="A19" s="96" t="s">
        <v>236</v>
      </c>
      <c r="B19" s="61"/>
      <c r="C19" s="61"/>
      <c r="D19" s="61"/>
      <c r="E19" s="92">
        <v>0</v>
      </c>
    </row>
    <row r="20" spans="1:5" ht="15.75">
      <c r="A20" s="64"/>
      <c r="B20" s="65"/>
      <c r="C20" s="65"/>
      <c r="D20" s="65"/>
      <c r="E20" s="73"/>
    </row>
    <row r="21" spans="1:5" ht="15.75">
      <c r="A21" s="64" t="str">
        <f>CONCATENATE("Actual Tax Rates for the ",E1-1," Budget:")</f>
        <v>Actual Tax Rates for the 2012 Budget:</v>
      </c>
      <c r="B21" s="65"/>
      <c r="C21" s="65"/>
      <c r="D21" s="65"/>
      <c r="E21" s="73"/>
    </row>
    <row r="22" spans="1:5" ht="15.75">
      <c r="A22" s="922" t="s">
        <v>64</v>
      </c>
      <c r="B22" s="923"/>
      <c r="C22" s="57"/>
      <c r="D22" s="99" t="s">
        <v>118</v>
      </c>
      <c r="E22" s="73"/>
    </row>
    <row r="23" spans="1:5" ht="15.75">
      <c r="A23" s="59" t="s">
        <v>48</v>
      </c>
      <c r="B23" s="60"/>
      <c r="C23" s="65"/>
      <c r="D23" s="100">
        <v>22.364999999999998</v>
      </c>
      <c r="E23" s="73"/>
    </row>
    <row r="24" spans="1:5" ht="15.75">
      <c r="A24" s="96" t="s">
        <v>19</v>
      </c>
      <c r="B24" s="61"/>
      <c r="C24" s="65"/>
      <c r="D24" s="101">
        <v>10.945</v>
      </c>
      <c r="E24" s="73"/>
    </row>
    <row r="25" spans="1:5" ht="15.75">
      <c r="A25" s="96" t="str">
        <f>IF(inputPrYr!B19&gt;" ",(inputPrYr!B19)," ")</f>
        <v>Library</v>
      </c>
      <c r="B25" s="61"/>
      <c r="C25" s="65"/>
      <c r="D25" s="101"/>
      <c r="E25" s="73"/>
    </row>
    <row r="26" spans="1:5" ht="15.75">
      <c r="A26" s="96" t="str">
        <f>IF(inputPrYr!B21&gt;" ",(inputPrYr!B21)," ")</f>
        <v>Industrial</v>
      </c>
      <c r="B26" s="61"/>
      <c r="C26" s="65"/>
      <c r="D26" s="101"/>
      <c r="E26" s="73"/>
    </row>
    <row r="27" spans="1:5" ht="15.75">
      <c r="A27" s="96" t="str">
        <f>IF(inputPrYr!B22&gt;" ",(inputPrYr!B22)," ")</f>
        <v>Employee Benefits</v>
      </c>
      <c r="B27" s="61"/>
      <c r="C27" s="65"/>
      <c r="D27" s="101">
        <v>19.922999999999998</v>
      </c>
      <c r="E27" s="73"/>
    </row>
    <row r="28" spans="1:5" ht="15.75">
      <c r="A28" s="96" t="str">
        <f>IF(inputPrYr!B23&gt;" ",(inputPrYr!B23)," ")</f>
        <v>Public Safety Equipment</v>
      </c>
      <c r="B28" s="61"/>
      <c r="C28" s="65"/>
      <c r="D28" s="101"/>
      <c r="E28" s="73"/>
    </row>
    <row r="29" spans="1:5" ht="15.75">
      <c r="A29" s="96" t="str">
        <f>IF(inputPrYr!B24&gt;" ",(inputPrYr!B24)," ")</f>
        <v>Recreation Employee Benefits</v>
      </c>
      <c r="B29" s="102"/>
      <c r="C29" s="65"/>
      <c r="D29" s="103">
        <v>0.501</v>
      </c>
      <c r="E29" s="73"/>
    </row>
    <row r="30" spans="1:5" ht="15.75">
      <c r="A30" s="96" t="str">
        <f>IF(inputPrYr!B25&gt;" ",(inputPrYr!B25)," ")</f>
        <v xml:space="preserve"> </v>
      </c>
      <c r="B30" s="102"/>
      <c r="C30" s="65"/>
      <c r="D30" s="103"/>
      <c r="E30" s="73"/>
    </row>
    <row r="31" spans="1:5" ht="15.75">
      <c r="A31" s="96" t="str">
        <f>IF(inputPrYr!B26&gt;" ",(inputPrYr!B26)," ")</f>
        <v xml:space="preserve"> </v>
      </c>
      <c r="B31" s="102"/>
      <c r="C31" s="65"/>
      <c r="D31" s="103"/>
      <c r="E31" s="73"/>
    </row>
    <row r="32" spans="1:5" ht="15.75">
      <c r="A32" s="96" t="str">
        <f>IF(inputPrYr!B27&gt;" ",(inputPrYr!B27)," ")</f>
        <v xml:space="preserve"> </v>
      </c>
      <c r="B32" s="102"/>
      <c r="C32" s="65"/>
      <c r="D32" s="103"/>
      <c r="E32" s="73"/>
    </row>
    <row r="33" spans="1:5" ht="15.75">
      <c r="A33" s="96" t="str">
        <f>IF(inputPrYr!B28&gt;" ",(inputPrYr!B28)," ")</f>
        <v xml:space="preserve"> </v>
      </c>
      <c r="B33" s="102"/>
      <c r="C33" s="65"/>
      <c r="D33" s="103"/>
      <c r="E33" s="73"/>
    </row>
    <row r="34" spans="1:5" ht="15.75">
      <c r="A34" s="96" t="str">
        <f>IF(inputPrYr!B29&gt;" ",(inputPrYr!B29)," ")</f>
        <v xml:space="preserve"> </v>
      </c>
      <c r="B34" s="102"/>
      <c r="C34" s="65"/>
      <c r="D34" s="103"/>
      <c r="E34" s="73"/>
    </row>
    <row r="35" spans="1:5" ht="15.75">
      <c r="A35" s="96" t="str">
        <f>IF(inputPrYr!B30&gt;" ",(inputPrYr!B30)," ")</f>
        <v xml:space="preserve"> </v>
      </c>
      <c r="B35" s="102"/>
      <c r="C35" s="65"/>
      <c r="D35" s="103"/>
      <c r="E35" s="73"/>
    </row>
    <row r="36" spans="1:5" ht="15.75">
      <c r="A36" s="96" t="str">
        <f>inputPrYr!B33</f>
        <v>Recreation</v>
      </c>
      <c r="B36" s="102"/>
      <c r="C36" s="65"/>
      <c r="D36" s="103">
        <v>4</v>
      </c>
      <c r="E36" s="73"/>
    </row>
    <row r="37" spans="1:5" ht="15.75">
      <c r="A37" s="104"/>
      <c r="B37" s="54" t="s">
        <v>50</v>
      </c>
      <c r="C37" s="105"/>
      <c r="D37" s="106">
        <f>SUM(D23:D36)</f>
        <v>57.734000000000002</v>
      </c>
      <c r="E37" s="104"/>
    </row>
    <row r="38" spans="1:5">
      <c r="A38" s="104"/>
      <c r="B38" s="104"/>
      <c r="C38" s="104"/>
      <c r="D38" s="104"/>
      <c r="E38" s="104"/>
    </row>
    <row r="39" spans="1:5" ht="15.75">
      <c r="A39" s="60" t="str">
        <f>CONCATENATE("Final Assessed Valuation from the November 1, ",E1-2," Abstract")</f>
        <v>Final Assessed Valuation from the November 1, 2011 Abstract</v>
      </c>
      <c r="B39" s="107"/>
      <c r="C39" s="107"/>
      <c r="D39" s="107"/>
      <c r="E39" s="92">
        <v>23005714</v>
      </c>
    </row>
    <row r="40" spans="1:5">
      <c r="A40" s="104"/>
      <c r="B40" s="104"/>
      <c r="C40" s="104"/>
      <c r="D40" s="104"/>
      <c r="E40" s="104"/>
    </row>
    <row r="41" spans="1:5" ht="15.75">
      <c r="A41" s="108" t="str">
        <f>CONCATENATE("From the County Treasurer's Budget Information - ",E1," Budget Year Estimates:")</f>
        <v>From the County Treasurer's Budget Information - 2013 Budget Year Estimates:</v>
      </c>
      <c r="B41" s="47"/>
      <c r="C41" s="47"/>
      <c r="D41" s="109"/>
      <c r="E41" s="86"/>
    </row>
    <row r="42" spans="1:5" ht="15.75">
      <c r="A42" s="59" t="s">
        <v>51</v>
      </c>
      <c r="B42" s="60"/>
      <c r="C42" s="60"/>
      <c r="D42" s="110"/>
      <c r="E42" s="56">
        <v>126709.11</v>
      </c>
    </row>
    <row r="43" spans="1:5" ht="15.75">
      <c r="A43" s="96" t="s">
        <v>52</v>
      </c>
      <c r="B43" s="61"/>
      <c r="C43" s="61"/>
      <c r="D43" s="111"/>
      <c r="E43" s="56">
        <v>1785.72</v>
      </c>
    </row>
    <row r="44" spans="1:5" ht="15.75">
      <c r="A44" s="96" t="s">
        <v>237</v>
      </c>
      <c r="B44" s="61"/>
      <c r="C44" s="61"/>
      <c r="D44" s="111"/>
      <c r="E44" s="56">
        <v>640.82000000000005</v>
      </c>
    </row>
    <row r="45" spans="1:5" ht="15.75">
      <c r="A45" s="96" t="s">
        <v>238</v>
      </c>
      <c r="B45" s="61"/>
      <c r="C45" s="61"/>
      <c r="D45" s="111"/>
      <c r="E45" s="56"/>
    </row>
    <row r="46" spans="1:5" ht="15.75">
      <c r="A46" s="96" t="s">
        <v>239</v>
      </c>
      <c r="B46" s="61"/>
      <c r="C46" s="61"/>
      <c r="D46" s="111"/>
      <c r="E46" s="56"/>
    </row>
    <row r="47" spans="1:5" ht="15.75">
      <c r="A47" s="36" t="s">
        <v>240</v>
      </c>
      <c r="B47" s="36"/>
      <c r="C47" s="36"/>
      <c r="D47" s="36"/>
      <c r="E47" s="36"/>
    </row>
    <row r="48" spans="1:5" ht="15.75">
      <c r="A48" s="35" t="s">
        <v>72</v>
      </c>
      <c r="B48" s="45"/>
      <c r="C48" s="45"/>
      <c r="D48" s="36"/>
      <c r="E48" s="36"/>
    </row>
    <row r="49" spans="1:5" ht="15.75">
      <c r="A49" s="59" t="str">
        <f>CONCATENATE("Actual Delinquency for ",E1-3," Tax - (rate .01213 = 1.213%, key in 1.2)")</f>
        <v>Actual Delinquency for 2010 Tax - (rate .01213 = 1.213%, key in 1.2)</v>
      </c>
      <c r="B49" s="60"/>
      <c r="C49" s="60"/>
      <c r="D49" s="70"/>
      <c r="E49" s="760">
        <v>3.3529999999999997E-2</v>
      </c>
    </row>
    <row r="50" spans="1:5" ht="15.75">
      <c r="A50" s="59" t="s">
        <v>869</v>
      </c>
      <c r="B50" s="59"/>
      <c r="C50" s="60"/>
      <c r="D50" s="60"/>
      <c r="E50" s="761">
        <v>0.06</v>
      </c>
    </row>
    <row r="51" spans="1:5" ht="15.75">
      <c r="A51" s="36"/>
      <c r="B51" s="36"/>
      <c r="C51" s="36"/>
      <c r="D51" s="36"/>
      <c r="E51" s="36"/>
    </row>
    <row r="52" spans="1:5" ht="15.75">
      <c r="A52" s="112" t="s">
        <v>829</v>
      </c>
      <c r="B52" s="113"/>
      <c r="C52" s="114"/>
      <c r="D52" s="114"/>
      <c r="E52" s="114"/>
    </row>
    <row r="53" spans="1:5" ht="15.75">
      <c r="A53" s="115" t="str">
        <f>CONCATENATE("",E1," State Distribution for Kansas Gas Tax")</f>
        <v>2013 State Distribution for Kansas Gas Tax</v>
      </c>
      <c r="B53" s="116"/>
      <c r="C53" s="116"/>
      <c r="D53" s="117"/>
      <c r="E53" s="92">
        <v>115740</v>
      </c>
    </row>
    <row r="54" spans="1:5" ht="15.75">
      <c r="A54" s="118" t="str">
        <f>CONCATENATE("",E1," County Transfers for Gas**")</f>
        <v>2013 County Transfers for Gas**</v>
      </c>
      <c r="B54" s="119"/>
      <c r="C54" s="119"/>
      <c r="D54" s="120"/>
      <c r="E54" s="92"/>
    </row>
    <row r="55" spans="1:5" ht="15.75">
      <c r="A55" s="118" t="str">
        <f>CONCATENATE("Adjusted ",E1-1," State Distribution for Kansas Gas Tax")</f>
        <v>Adjusted 2012 State Distribution for Kansas Gas Tax</v>
      </c>
      <c r="B55" s="119"/>
      <c r="C55" s="119"/>
      <c r="D55" s="120"/>
      <c r="E55" s="92">
        <v>114860</v>
      </c>
    </row>
    <row r="56" spans="1:5" ht="15.75">
      <c r="A56" s="118" t="str">
        <f>CONCATENATE("Adjusted ",E1-1," County Transfers for Gas**")</f>
        <v>Adjusted 2012 County Transfers for Gas**</v>
      </c>
      <c r="B56" s="119"/>
      <c r="C56" s="119"/>
      <c r="D56" s="120"/>
      <c r="E56" s="92"/>
    </row>
    <row r="57" spans="1:5">
      <c r="A57" s="924" t="s">
        <v>296</v>
      </c>
      <c r="B57" s="925"/>
      <c r="C57" s="925"/>
      <c r="D57" s="925"/>
      <c r="E57" s="925"/>
    </row>
    <row r="58" spans="1:5">
      <c r="A58" s="121" t="s">
        <v>297</v>
      </c>
      <c r="B58" s="121"/>
      <c r="C58" s="121"/>
      <c r="D58" s="121"/>
      <c r="E58" s="121"/>
    </row>
    <row r="59" spans="1:5">
      <c r="A59" s="57"/>
      <c r="B59" s="57"/>
      <c r="C59" s="57"/>
      <c r="D59" s="57"/>
      <c r="E59" s="57"/>
    </row>
    <row r="60" spans="1:5" ht="15.75">
      <c r="A60" s="926" t="str">
        <f>CONCATENATE("From the ",E1-2," Budget Certificate Page")</f>
        <v>From the 2011 Budget Certificate Page</v>
      </c>
      <c r="B60" s="927"/>
      <c r="C60" s="57"/>
      <c r="D60" s="57"/>
      <c r="E60" s="57"/>
    </row>
    <row r="61" spans="1:5" ht="15.75">
      <c r="A61" s="122"/>
      <c r="B61" s="122" t="str">
        <f>CONCATENATE("",E1-2," Expenditure Amounts")</f>
        <v>2011 Expenditure Amounts</v>
      </c>
      <c r="C61" s="920" t="str">
        <f>CONCATENATE("Note: If the ",E1-2," budget was amended, then the")</f>
        <v>Note: If the 2011 budget was amended, then the</v>
      </c>
      <c r="D61" s="921"/>
      <c r="E61" s="921"/>
    </row>
    <row r="62" spans="1:5" ht="15.75">
      <c r="A62" s="123" t="s">
        <v>833</v>
      </c>
      <c r="B62" s="123" t="s">
        <v>834</v>
      </c>
      <c r="C62" s="124" t="s">
        <v>835</v>
      </c>
      <c r="D62" s="125"/>
      <c r="E62" s="125"/>
    </row>
    <row r="63" spans="1:5" ht="15.75">
      <c r="A63" s="126" t="str">
        <f>inputPrYr!B17</f>
        <v>General</v>
      </c>
      <c r="B63" s="92">
        <v>2391220.7629999993</v>
      </c>
      <c r="C63" s="124" t="s">
        <v>836</v>
      </c>
      <c r="D63" s="125"/>
      <c r="E63" s="125"/>
    </row>
    <row r="64" spans="1:5" ht="15.75">
      <c r="A64" s="126" t="str">
        <f>inputPrYr!B18</f>
        <v>Bond &amp; Interest</v>
      </c>
      <c r="B64" s="92">
        <v>482519</v>
      </c>
      <c r="C64" s="124"/>
      <c r="D64" s="125"/>
      <c r="E64" s="125"/>
    </row>
    <row r="65" spans="1:5" ht="15.75">
      <c r="A65" s="126" t="str">
        <f>inputPrYr!B19</f>
        <v>Library</v>
      </c>
      <c r="B65" s="92">
        <v>46915.610000000008</v>
      </c>
      <c r="C65" s="124"/>
      <c r="D65" s="125"/>
      <c r="E65" s="125"/>
    </row>
    <row r="66" spans="1:5" ht="15.75">
      <c r="A66" s="126" t="str">
        <f>inputPrYr!B21</f>
        <v>Industrial</v>
      </c>
      <c r="B66" s="92">
        <v>22091.48</v>
      </c>
      <c r="C66" s="57"/>
      <c r="D66" s="57"/>
      <c r="E66" s="57"/>
    </row>
    <row r="67" spans="1:5" ht="15.75">
      <c r="A67" s="126" t="str">
        <f>inputPrYr!B22</f>
        <v>Employee Benefits</v>
      </c>
      <c r="B67" s="92">
        <v>572317.46000000008</v>
      </c>
      <c r="C67" s="57"/>
      <c r="D67" s="57"/>
      <c r="E67" s="57"/>
    </row>
    <row r="68" spans="1:5" ht="15.75">
      <c r="A68" s="126" t="str">
        <f>inputPrYr!B23</f>
        <v>Public Safety Equipment</v>
      </c>
      <c r="B68" s="92">
        <v>9817</v>
      </c>
      <c r="C68" s="57"/>
      <c r="D68" s="57"/>
      <c r="E68" s="57"/>
    </row>
    <row r="69" spans="1:5" ht="15.75">
      <c r="A69" s="126" t="str">
        <f>inputPrYr!B24</f>
        <v>Recreation Employee Benefits</v>
      </c>
      <c r="B69" s="92">
        <v>13096</v>
      </c>
      <c r="C69" s="57"/>
      <c r="D69" s="57"/>
      <c r="E69" s="57"/>
    </row>
    <row r="70" spans="1:5" ht="15.75">
      <c r="A70" s="126">
        <f>inputPrYr!B25</f>
        <v>0</v>
      </c>
      <c r="B70" s="92"/>
      <c r="C70" s="57"/>
      <c r="D70" s="57"/>
      <c r="E70" s="57"/>
    </row>
    <row r="71" spans="1:5" ht="15.75">
      <c r="A71" s="126">
        <f>inputPrYr!B26</f>
        <v>0</v>
      </c>
      <c r="B71" s="92"/>
      <c r="C71" s="57"/>
      <c r="D71" s="57"/>
      <c r="E71" s="57"/>
    </row>
    <row r="72" spans="1:5" ht="15.75">
      <c r="A72" s="126">
        <f>inputPrYr!B27</f>
        <v>0</v>
      </c>
      <c r="B72" s="92"/>
      <c r="C72" s="57"/>
      <c r="D72" s="57"/>
      <c r="E72" s="57"/>
    </row>
    <row r="73" spans="1:5" ht="15.75">
      <c r="A73" s="126">
        <f>inputPrYr!B28</f>
        <v>0</v>
      </c>
      <c r="B73" s="92"/>
      <c r="C73" s="57"/>
      <c r="D73" s="57"/>
      <c r="E73" s="57"/>
    </row>
    <row r="74" spans="1:5" ht="15.75">
      <c r="A74" s="126">
        <f>inputPrYr!B29</f>
        <v>0</v>
      </c>
      <c r="B74" s="92"/>
      <c r="C74" s="57"/>
      <c r="D74" s="57"/>
      <c r="E74" s="57"/>
    </row>
    <row r="75" spans="1:5" ht="15.75">
      <c r="A75" s="126">
        <f>inputPrYr!B30</f>
        <v>0</v>
      </c>
      <c r="B75" s="92"/>
      <c r="C75" s="57"/>
      <c r="D75" s="57"/>
      <c r="E75" s="57"/>
    </row>
    <row r="76" spans="1:5" ht="15.75">
      <c r="A76" s="126" t="str">
        <f>inputPrYr!B33</f>
        <v>Recreation</v>
      </c>
      <c r="B76" s="92">
        <v>176766</v>
      </c>
      <c r="C76" s="57"/>
      <c r="D76" s="57"/>
      <c r="E76" s="57"/>
    </row>
    <row r="77" spans="1:5" ht="15.75">
      <c r="A77" s="126" t="str">
        <f>inputPrYr!B36</f>
        <v>Street Improvements</v>
      </c>
      <c r="B77" s="92">
        <v>136488.78</v>
      </c>
      <c r="C77" s="57"/>
      <c r="D77" s="57"/>
      <c r="E77" s="57"/>
    </row>
    <row r="78" spans="1:5" ht="15.75">
      <c r="A78" s="126" t="str">
        <f>inputPrYr!B37</f>
        <v>Refuse</v>
      </c>
      <c r="B78" s="92">
        <v>381950</v>
      </c>
      <c r="C78" s="57"/>
      <c r="D78" s="57"/>
      <c r="E78" s="57"/>
    </row>
    <row r="79" spans="1:5" ht="15.75">
      <c r="A79" s="126" t="str">
        <f>inputPrYr!B38</f>
        <v>Golf Course</v>
      </c>
      <c r="B79" s="92">
        <v>313307</v>
      </c>
      <c r="C79" s="57"/>
      <c r="D79" s="57"/>
      <c r="E79" s="57"/>
    </row>
    <row r="80" spans="1:5" ht="15.75">
      <c r="A80" s="126" t="str">
        <f>inputPrYr!B39</f>
        <v>Special Revenue (911)</v>
      </c>
      <c r="B80" s="92">
        <v>11979</v>
      </c>
      <c r="C80" s="57"/>
      <c r="D80" s="57"/>
      <c r="E80" s="57"/>
    </row>
    <row r="81" spans="1:5" ht="15.75">
      <c r="A81" s="126" t="str">
        <f>inputPrYr!B40</f>
        <v>Tourism</v>
      </c>
      <c r="B81" s="92">
        <v>26150</v>
      </c>
      <c r="C81" s="57"/>
      <c r="D81" s="57"/>
      <c r="E81" s="57"/>
    </row>
    <row r="82" spans="1:5" ht="15.75">
      <c r="A82" s="126">
        <f>inputPrYr!B41</f>
        <v>0</v>
      </c>
      <c r="B82" s="92"/>
      <c r="C82" s="57"/>
      <c r="D82" s="57"/>
      <c r="E82" s="57"/>
    </row>
    <row r="83" spans="1:5" ht="15.75">
      <c r="A83" s="126">
        <f>inputPrYr!B42</f>
        <v>0</v>
      </c>
      <c r="B83" s="92"/>
      <c r="C83" s="57"/>
      <c r="D83" s="57"/>
      <c r="E83" s="57"/>
    </row>
    <row r="84" spans="1:5" ht="15.75">
      <c r="A84" s="126">
        <f>inputPrYr!B43</f>
        <v>0</v>
      </c>
      <c r="B84" s="92"/>
      <c r="C84" s="57"/>
      <c r="D84" s="57"/>
      <c r="E84" s="57"/>
    </row>
    <row r="85" spans="1:5" ht="15.75">
      <c r="A85" s="126">
        <f>inputPrYr!B44</f>
        <v>0</v>
      </c>
      <c r="B85" s="92"/>
      <c r="C85" s="57"/>
      <c r="D85" s="57"/>
      <c r="E85" s="57"/>
    </row>
    <row r="86" spans="1:5" ht="15.75">
      <c r="A86" s="126">
        <f>inputPrYr!B45</f>
        <v>0</v>
      </c>
      <c r="B86" s="92"/>
      <c r="C86" s="57"/>
      <c r="D86" s="57"/>
      <c r="E86" s="57"/>
    </row>
    <row r="87" spans="1:5" ht="15.75">
      <c r="A87" s="126">
        <f>inputPrYr!B46</f>
        <v>0</v>
      </c>
      <c r="B87" s="92"/>
      <c r="C87" s="57"/>
      <c r="D87" s="57"/>
      <c r="E87" s="57"/>
    </row>
    <row r="88" spans="1:5" ht="15.75">
      <c r="A88" s="126">
        <f>inputPrYr!B47</f>
        <v>0</v>
      </c>
      <c r="B88" s="92"/>
      <c r="C88" s="57"/>
      <c r="D88" s="57"/>
      <c r="E88" s="57"/>
    </row>
    <row r="89" spans="1:5" ht="15.75">
      <c r="A89" s="126">
        <f>inputPrYr!B48</f>
        <v>0</v>
      </c>
      <c r="B89" s="92"/>
      <c r="C89" s="57"/>
      <c r="D89" s="57"/>
      <c r="E89" s="57"/>
    </row>
    <row r="90" spans="1:5" ht="15.75">
      <c r="A90" s="126">
        <f>inputPrYr!B49</f>
        <v>0</v>
      </c>
      <c r="B90" s="92"/>
      <c r="C90" s="57"/>
      <c r="D90" s="57"/>
      <c r="E90" s="57"/>
    </row>
    <row r="91" spans="1:5" ht="15.75">
      <c r="A91" s="126">
        <f>inputPrYr!B50</f>
        <v>0</v>
      </c>
      <c r="B91" s="92"/>
      <c r="C91" s="57"/>
      <c r="D91" s="57"/>
      <c r="E91" s="57"/>
    </row>
    <row r="92" spans="1:5" ht="15.75">
      <c r="A92" s="126">
        <f>inputPrYr!B51</f>
        <v>0</v>
      </c>
      <c r="B92" s="92"/>
      <c r="C92" s="57"/>
      <c r="D92" s="57"/>
      <c r="E92" s="57"/>
    </row>
    <row r="93" spans="1:5" ht="15.75">
      <c r="A93" s="126" t="str">
        <f>inputPrYr!B53</f>
        <v>Water</v>
      </c>
      <c r="B93" s="92">
        <v>879167</v>
      </c>
      <c r="C93" s="57"/>
      <c r="D93" s="57"/>
      <c r="E93" s="57"/>
    </row>
    <row r="94" spans="1:5" ht="15.75">
      <c r="A94" s="126" t="str">
        <f>inputPrYr!B54</f>
        <v>Electric</v>
      </c>
      <c r="B94" s="92">
        <v>4756842.8899999997</v>
      </c>
      <c r="C94" s="57"/>
      <c r="D94" s="57"/>
      <c r="E94" s="57"/>
    </row>
    <row r="95" spans="1:5" ht="15.75">
      <c r="A95" s="126" t="str">
        <f>inputPrYr!B55</f>
        <v>Sewer</v>
      </c>
      <c r="B95" s="92">
        <v>853642.34</v>
      </c>
      <c r="C95" s="57"/>
      <c r="D95" s="57"/>
      <c r="E95" s="57"/>
    </row>
    <row r="96" spans="1:5" ht="15.75">
      <c r="A96" s="126" t="str">
        <f>inputPrYr!B56</f>
        <v>Special Parks &amp; Recreation</v>
      </c>
      <c r="B96" s="92">
        <v>12029</v>
      </c>
      <c r="C96" s="57"/>
      <c r="D96" s="57"/>
      <c r="E96" s="57"/>
    </row>
  </sheetData>
  <sheetProtection sheet="1"/>
  <mergeCells count="6">
    <mergeCell ref="C61:E61"/>
    <mergeCell ref="A22:B22"/>
    <mergeCell ref="A57:E57"/>
    <mergeCell ref="A3:E3"/>
    <mergeCell ref="A60:B60"/>
    <mergeCell ref="A5:B5"/>
  </mergeCells>
  <phoneticPr fontId="9" type="noConversion"/>
  <pageMargins left="0.75" right="0.75" top="1" bottom="1" header="0.5" footer="0.5"/>
  <pageSetup scale="44"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B1:E51"/>
  <sheetViews>
    <sheetView topLeftCell="C1" zoomScaleNormal="100" workbookViewId="0">
      <selection activeCell="O11" sqref="O11"/>
    </sheetView>
  </sheetViews>
  <sheetFormatPr defaultRowHeight="15"/>
  <cols>
    <col min="1" max="1" width="2.44140625" style="95" customWidth="1"/>
    <col min="2" max="2" width="31.109375" style="95" customWidth="1"/>
    <col min="3" max="4" width="15.77734375" style="95" customWidth="1"/>
    <col min="5" max="5" width="16.33203125" style="95" customWidth="1"/>
    <col min="6" max="16384" width="8.88671875" style="95"/>
  </cols>
  <sheetData>
    <row r="1" spans="2:5" ht="15.75">
      <c r="B1" s="188" t="str">
        <f>(inputPrYr!D2)</f>
        <v>City of Osawatomie</v>
      </c>
      <c r="C1" s="36"/>
      <c r="D1" s="36"/>
      <c r="E1" s="209">
        <f>inputPrYr!$C$5</f>
        <v>2013</v>
      </c>
    </row>
    <row r="2" spans="2:5" ht="15.75">
      <c r="B2" s="36"/>
      <c r="C2" s="36"/>
      <c r="D2" s="36"/>
      <c r="E2" s="160"/>
    </row>
    <row r="3" spans="2:5" ht="15.75">
      <c r="B3" s="239" t="s">
        <v>146</v>
      </c>
      <c r="C3" s="288"/>
      <c r="D3" s="288"/>
      <c r="E3" s="289"/>
    </row>
    <row r="4" spans="2:5" ht="15.75">
      <c r="B4" s="41" t="s">
        <v>78</v>
      </c>
      <c r="C4" s="416" t="s">
        <v>770</v>
      </c>
      <c r="D4" s="415" t="s">
        <v>771</v>
      </c>
      <c r="E4" s="392" t="s">
        <v>772</v>
      </c>
    </row>
    <row r="5" spans="2:5" ht="15.75">
      <c r="B5" s="542" t="str">
        <f>(inputPrYr!B53)</f>
        <v>Water</v>
      </c>
      <c r="C5" s="417" t="str">
        <f>CONCATENATE("Actual for ",E1-2,"")</f>
        <v>Actual for 2011</v>
      </c>
      <c r="D5" s="417" t="str">
        <f>CONCATENATE("Estimate for ",E1-1,"")</f>
        <v>Estimate for 2012</v>
      </c>
      <c r="E5" s="401" t="str">
        <f>CONCATENATE("Year for ",E1,"")</f>
        <v>Year for 2013</v>
      </c>
    </row>
    <row r="6" spans="2:5" ht="15.75">
      <c r="B6" s="141" t="s">
        <v>199</v>
      </c>
      <c r="C6" s="249">
        <v>-2047.44</v>
      </c>
      <c r="D6" s="247">
        <f>C46</f>
        <v>43575.360000000219</v>
      </c>
      <c r="E6" s="218">
        <f>D46</f>
        <v>34610.929425082984</v>
      </c>
    </row>
    <row r="7" spans="2:5" ht="15.75">
      <c r="B7" s="276" t="s">
        <v>201</v>
      </c>
      <c r="C7" s="150"/>
      <c r="D7" s="150"/>
      <c r="E7" s="76"/>
    </row>
    <row r="8" spans="2:5" ht="15.75">
      <c r="B8" s="265" t="s">
        <v>1100</v>
      </c>
      <c r="C8" s="249">
        <v>741504.6100000001</v>
      </c>
      <c r="D8" s="249">
        <v>774872.31745000009</v>
      </c>
      <c r="E8" s="252">
        <v>785994.8866000002</v>
      </c>
    </row>
    <row r="9" spans="2:5" ht="15.75">
      <c r="B9" s="265" t="s">
        <v>1101</v>
      </c>
      <c r="C9" s="249">
        <v>17127.739999999998</v>
      </c>
      <c r="D9" s="249">
        <v>15000</v>
      </c>
      <c r="E9" s="252">
        <v>16000</v>
      </c>
    </row>
    <row r="10" spans="2:5" ht="15.75">
      <c r="B10" s="265" t="s">
        <v>1102</v>
      </c>
      <c r="C10" s="249">
        <v>800</v>
      </c>
      <c r="D10" s="249">
        <v>1000</v>
      </c>
      <c r="E10" s="252">
        <v>1000</v>
      </c>
    </row>
    <row r="11" spans="2:5" ht="15.75">
      <c r="B11" s="265" t="s">
        <v>1103</v>
      </c>
      <c r="C11" s="249">
        <v>3286.38</v>
      </c>
      <c r="D11" s="249"/>
      <c r="E11" s="252"/>
    </row>
    <row r="12" spans="2:5" ht="15.75">
      <c r="B12" s="265" t="s">
        <v>1104</v>
      </c>
      <c r="C12" s="249">
        <v>75.59999999999998</v>
      </c>
      <c r="D12" s="249">
        <v>1000</v>
      </c>
      <c r="E12" s="252">
        <v>1000</v>
      </c>
    </row>
    <row r="13" spans="2:5" ht="15.75">
      <c r="B13" s="265" t="s">
        <v>1007</v>
      </c>
      <c r="C13" s="249">
        <v>0</v>
      </c>
      <c r="D13" s="249">
        <v>4000</v>
      </c>
      <c r="E13" s="252">
        <v>4000</v>
      </c>
    </row>
    <row r="14" spans="2:5" ht="15.75">
      <c r="B14" s="283" t="s">
        <v>1105</v>
      </c>
      <c r="C14" s="249">
        <v>4312.66</v>
      </c>
      <c r="D14" s="249">
        <v>3486.9254285249999</v>
      </c>
      <c r="E14" s="97">
        <v>3536.9769897000006</v>
      </c>
    </row>
    <row r="15" spans="2:5" ht="15.75">
      <c r="B15" s="265" t="s">
        <v>1106</v>
      </c>
      <c r="C15" s="249">
        <v>11592</v>
      </c>
      <c r="D15" s="249">
        <v>11592</v>
      </c>
      <c r="E15" s="252">
        <v>11592</v>
      </c>
    </row>
    <row r="16" spans="2:5" ht="15.75" hidden="1">
      <c r="B16" s="290" t="s">
        <v>86</v>
      </c>
      <c r="C16" s="249"/>
      <c r="D16" s="249"/>
      <c r="E16" s="252"/>
    </row>
    <row r="17" spans="2:5" ht="15.75" hidden="1">
      <c r="B17" s="150" t="s">
        <v>838</v>
      </c>
      <c r="C17" s="249"/>
      <c r="D17" s="249"/>
      <c r="E17" s="252"/>
    </row>
    <row r="18" spans="2:5" ht="15.75" hidden="1">
      <c r="B18" s="244" t="s">
        <v>746</v>
      </c>
      <c r="C18" s="254" t="str">
        <f>IF(C19*0.1&lt;C17,"Exceed 10% Rule","")</f>
        <v/>
      </c>
      <c r="D18" s="254" t="str">
        <f>IF(D19*0.1&lt;D17,"Exceed 10% Rule","")</f>
        <v/>
      </c>
      <c r="E18" s="291" t="str">
        <f>IF(E19*0.1&lt;E17,"Exceed 10% Rule","")</f>
        <v/>
      </c>
    </row>
    <row r="19" spans="2:5" ht="15.75">
      <c r="B19" s="256" t="s">
        <v>87</v>
      </c>
      <c r="C19" s="258">
        <f>SUM(C8:C17)</f>
        <v>778698.99000000011</v>
      </c>
      <c r="D19" s="258">
        <f>SUM(D8:D17)</f>
        <v>810951.24287852505</v>
      </c>
      <c r="E19" s="259">
        <f>SUM(E8:E17)</f>
        <v>823123.8635897002</v>
      </c>
    </row>
    <row r="20" spans="2:5" ht="15.75">
      <c r="B20" s="256" t="s">
        <v>88</v>
      </c>
      <c r="C20" s="258">
        <f>C6+C19</f>
        <v>776651.55000000016</v>
      </c>
      <c r="D20" s="258">
        <f>D6+D19</f>
        <v>854526.60287852527</v>
      </c>
      <c r="E20" s="259">
        <f>E6+E19</f>
        <v>857734.79301478318</v>
      </c>
    </row>
    <row r="21" spans="2:5" ht="15.75">
      <c r="B21" s="141" t="s">
        <v>90</v>
      </c>
      <c r="C21" s="150"/>
      <c r="D21" s="150"/>
      <c r="E21" s="76"/>
    </row>
    <row r="22" spans="2:5" ht="15.75">
      <c r="B22" s="906" t="s">
        <v>1017</v>
      </c>
      <c r="C22" s="249"/>
      <c r="D22" s="249"/>
      <c r="E22" s="252"/>
    </row>
    <row r="23" spans="2:5" ht="15.75">
      <c r="B23" s="265" t="s">
        <v>1107</v>
      </c>
      <c r="C23" s="249">
        <v>202</v>
      </c>
      <c r="D23" s="249">
        <v>0</v>
      </c>
      <c r="E23" s="252">
        <v>0</v>
      </c>
    </row>
    <row r="24" spans="2:5" ht="15.75">
      <c r="B24" s="265" t="s">
        <v>1108</v>
      </c>
      <c r="C24" s="249">
        <v>19013.379999999997</v>
      </c>
      <c r="D24" s="249">
        <v>21197.637200000001</v>
      </c>
      <c r="E24" s="97">
        <v>21933.872772000002</v>
      </c>
    </row>
    <row r="25" spans="2:5" ht="15.75">
      <c r="B25" s="265" t="s">
        <v>92</v>
      </c>
      <c r="C25" s="249">
        <v>726.68000000000006</v>
      </c>
      <c r="D25" s="249">
        <v>1300</v>
      </c>
      <c r="E25" s="97">
        <v>1300</v>
      </c>
    </row>
    <row r="26" spans="2:5" ht="15.75">
      <c r="B26" s="265" t="s">
        <v>93</v>
      </c>
      <c r="C26" s="249">
        <v>1740</v>
      </c>
      <c r="D26" s="249">
        <v>0</v>
      </c>
      <c r="E26" s="97">
        <v>2000</v>
      </c>
    </row>
    <row r="27" spans="2:5" ht="15.75">
      <c r="B27" s="265" t="s">
        <v>1109</v>
      </c>
      <c r="C27" s="249">
        <v>64982.62000000001</v>
      </c>
      <c r="D27" s="249">
        <v>32491.309999999994</v>
      </c>
      <c r="E27" s="97">
        <v>0</v>
      </c>
    </row>
    <row r="28" spans="2:5" ht="15.75">
      <c r="B28" s="265" t="s">
        <v>1113</v>
      </c>
      <c r="C28" s="249">
        <v>0</v>
      </c>
      <c r="D28" s="249">
        <v>38000</v>
      </c>
      <c r="E28" s="97">
        <v>39000</v>
      </c>
    </row>
    <row r="29" spans="2:5" ht="15.75">
      <c r="B29" s="265" t="s">
        <v>1114</v>
      </c>
      <c r="C29" s="249"/>
      <c r="D29" s="249">
        <v>27235</v>
      </c>
      <c r="E29" s="97">
        <v>59827</v>
      </c>
    </row>
    <row r="30" spans="2:5" ht="15.75">
      <c r="B30" s="265" t="s">
        <v>1115</v>
      </c>
      <c r="C30" s="249">
        <v>0</v>
      </c>
      <c r="D30" s="249">
        <v>10477.970888942309</v>
      </c>
      <c r="E30" s="97">
        <v>22514.913666000004</v>
      </c>
    </row>
    <row r="31" spans="2:5" ht="15.75">
      <c r="B31" s="265" t="s">
        <v>1116</v>
      </c>
      <c r="C31" s="249">
        <v>0</v>
      </c>
      <c r="D31" s="249">
        <v>77400</v>
      </c>
      <c r="E31" s="97">
        <v>77200</v>
      </c>
    </row>
    <row r="32" spans="2:5" ht="15.75">
      <c r="B32" s="265" t="s">
        <v>1110</v>
      </c>
      <c r="C32" s="249">
        <v>37602.9</v>
      </c>
      <c r="D32" s="249">
        <v>40248.723174500003</v>
      </c>
      <c r="E32" s="97">
        <v>41984.948866000006</v>
      </c>
    </row>
    <row r="33" spans="2:5" ht="15.75">
      <c r="B33" s="906" t="s">
        <v>1111</v>
      </c>
      <c r="C33" s="249"/>
      <c r="D33" s="249"/>
      <c r="E33" s="97"/>
    </row>
    <row r="34" spans="2:5" ht="15.75">
      <c r="B34" s="265" t="s">
        <v>1107</v>
      </c>
      <c r="C34" s="249">
        <v>133482.76</v>
      </c>
      <c r="D34" s="249">
        <v>96726.888120000018</v>
      </c>
      <c r="E34" s="97">
        <v>69495.698669750025</v>
      </c>
    </row>
    <row r="35" spans="2:5" ht="15.75">
      <c r="B35" s="265" t="s">
        <v>1108</v>
      </c>
      <c r="C35" s="249">
        <v>58023.07</v>
      </c>
      <c r="D35" s="249">
        <v>63406.96</v>
      </c>
      <c r="E35" s="252">
        <v>65495.238400000002</v>
      </c>
    </row>
    <row r="36" spans="2:5" ht="15.75">
      <c r="B36" s="265" t="s">
        <v>92</v>
      </c>
      <c r="C36" s="249">
        <v>154590.44</v>
      </c>
      <c r="D36" s="249">
        <v>170024.46349000002</v>
      </c>
      <c r="E36" s="252">
        <v>181608.92618600003</v>
      </c>
    </row>
    <row r="37" spans="2:5" ht="15.75">
      <c r="B37" s="265" t="s">
        <v>93</v>
      </c>
      <c r="C37" s="249">
        <v>34812.520000000004</v>
      </c>
      <c r="D37" s="249">
        <v>20000</v>
      </c>
      <c r="E37" s="252">
        <v>20000</v>
      </c>
    </row>
    <row r="38" spans="2:5" ht="15.75">
      <c r="B38" s="906" t="s">
        <v>1112</v>
      </c>
      <c r="C38" s="249"/>
      <c r="D38" s="249"/>
      <c r="E38" s="252"/>
    </row>
    <row r="39" spans="2:5" ht="15.75">
      <c r="B39" s="265" t="s">
        <v>1107</v>
      </c>
      <c r="C39" s="249">
        <v>111953.9</v>
      </c>
      <c r="D39" s="249">
        <v>94471.28637999999</v>
      </c>
      <c r="E39" s="252">
        <v>68350.933305500002</v>
      </c>
    </row>
    <row r="40" spans="2:5" ht="15.75">
      <c r="B40" s="265" t="s">
        <v>1108</v>
      </c>
      <c r="C40" s="249">
        <v>67354.59</v>
      </c>
      <c r="D40" s="249">
        <v>69485.434200000003</v>
      </c>
      <c r="E40" s="252">
        <v>71634.851568000013</v>
      </c>
    </row>
    <row r="41" spans="2:5" ht="15.75">
      <c r="B41" s="265" t="s">
        <v>92</v>
      </c>
      <c r="C41" s="249">
        <v>48591.33</v>
      </c>
      <c r="D41" s="249">
        <v>42450</v>
      </c>
      <c r="E41" s="252">
        <v>42450</v>
      </c>
    </row>
    <row r="42" spans="2:5" ht="15.75">
      <c r="B42" s="265" t="s">
        <v>93</v>
      </c>
      <c r="C42" s="249">
        <v>0</v>
      </c>
      <c r="D42" s="249">
        <v>15000</v>
      </c>
      <c r="E42" s="252">
        <v>30000</v>
      </c>
    </row>
    <row r="43" spans="2:5" ht="15.75" hidden="1">
      <c r="B43" s="266" t="s">
        <v>838</v>
      </c>
      <c r="C43" s="249"/>
      <c r="D43" s="249"/>
      <c r="E43" s="252"/>
    </row>
    <row r="44" spans="2:5" ht="15.75" hidden="1">
      <c r="B44" s="266" t="s">
        <v>747</v>
      </c>
      <c r="C44" s="254" t="str">
        <f>IF(C45*0.1&lt;C43,"Exceed 10% Rule","")</f>
        <v/>
      </c>
      <c r="D44" s="254" t="str">
        <f>IF(D45*0.1&lt;D43,"Exceed 10% Rule","")</f>
        <v/>
      </c>
      <c r="E44" s="291" t="str">
        <f>IF(E45*0.1&lt;E43,"Exceed 10% Rule","")</f>
        <v/>
      </c>
    </row>
    <row r="45" spans="2:5" ht="15.75">
      <c r="B45" s="256" t="s">
        <v>94</v>
      </c>
      <c r="C45" s="258">
        <f>SUM(C22:C43)</f>
        <v>733076.19</v>
      </c>
      <c r="D45" s="258">
        <f>SUM(D22:D43)</f>
        <v>819915.67345344229</v>
      </c>
      <c r="E45" s="259">
        <f>SUM(E22:E43)</f>
        <v>814796.38343325001</v>
      </c>
    </row>
    <row r="46" spans="2:5" ht="15.75">
      <c r="B46" s="141" t="s">
        <v>200</v>
      </c>
      <c r="C46" s="262">
        <f>C20-C45</f>
        <v>43575.360000000219</v>
      </c>
      <c r="D46" s="262">
        <f>D20-D45</f>
        <v>34610.929425082984</v>
      </c>
      <c r="E46" s="71">
        <f>E20-E45</f>
        <v>42938.409581533168</v>
      </c>
    </row>
    <row r="47" spans="2:5" ht="15.75">
      <c r="B47" s="127" t="str">
        <f>CONCATENATE("",E1-2," Budget Authority Limited Amount:")</f>
        <v>2011 Budget Authority Limited Amount:</v>
      </c>
      <c r="C47" s="231">
        <f>inputOth!B93</f>
        <v>879167</v>
      </c>
      <c r="D47" s="231">
        <f>inputPrYr!D53</f>
        <v>832025</v>
      </c>
      <c r="E47" s="371" t="str">
        <f>IF(E46&lt;0,"See Tab E","")</f>
        <v/>
      </c>
    </row>
    <row r="48" spans="2:5" ht="15.75">
      <c r="B48" s="127"/>
      <c r="C48" s="269" t="str">
        <f>IF(C45&gt;C47,"See Tab A","")</f>
        <v/>
      </c>
      <c r="D48" s="269" t="str">
        <f>IF(D45&gt;D47,"See Tab C","")</f>
        <v/>
      </c>
      <c r="E48" s="57"/>
    </row>
    <row r="49" spans="2:5" ht="15.75">
      <c r="B49" s="127"/>
      <c r="C49" s="269" t="str">
        <f>IF(C46&lt;0,"See Tab B","")</f>
        <v/>
      </c>
      <c r="D49" s="269" t="str">
        <f>IF(D46&lt;0,"See Tab D","")</f>
        <v/>
      </c>
      <c r="E49" s="57"/>
    </row>
    <row r="50" spans="2:5">
      <c r="B50" s="57"/>
      <c r="C50" s="57"/>
      <c r="D50" s="57"/>
      <c r="E50" s="57"/>
    </row>
    <row r="51" spans="2:5" ht="15.75">
      <c r="B51" s="160" t="s">
        <v>97</v>
      </c>
      <c r="C51" s="273">
        <v>15</v>
      </c>
      <c r="D51" s="57"/>
      <c r="E51" s="57"/>
    </row>
  </sheetData>
  <phoneticPr fontId="9" type="noConversion"/>
  <conditionalFormatting sqref="E17">
    <cfRule type="cellIs" dxfId="37" priority="4" stopIfTrue="1" operator="greaterThan">
      <formula>$E$19*0.1</formula>
    </cfRule>
  </conditionalFormatting>
  <conditionalFormatting sqref="E43">
    <cfRule type="cellIs" dxfId="36" priority="5" stopIfTrue="1" operator="greaterThan">
      <formula>$E$45*0.1</formula>
    </cfRule>
  </conditionalFormatting>
  <conditionalFormatting sqref="C43">
    <cfRule type="cellIs" dxfId="35" priority="6" stopIfTrue="1" operator="greaterThan">
      <formula>$C$45*0.1</formula>
    </cfRule>
  </conditionalFormatting>
  <conditionalFormatting sqref="D43">
    <cfRule type="cellIs" dxfId="34" priority="7" stopIfTrue="1" operator="greaterThan">
      <formula>$D$45*0.1</formula>
    </cfRule>
  </conditionalFormatting>
  <conditionalFormatting sqref="D45">
    <cfRule type="cellIs" dxfId="33" priority="8" stopIfTrue="1" operator="greaterThan">
      <formula>$D$47</formula>
    </cfRule>
  </conditionalFormatting>
  <conditionalFormatting sqref="C45">
    <cfRule type="cellIs" dxfId="32" priority="9" stopIfTrue="1" operator="greaterThan">
      <formula>$C$47</formula>
    </cfRule>
  </conditionalFormatting>
  <conditionalFormatting sqref="C46 E46">
    <cfRule type="cellIs" dxfId="31" priority="10" stopIfTrue="1" operator="lessThan">
      <formula>0</formula>
    </cfRule>
  </conditionalFormatting>
  <conditionalFormatting sqref="D46">
    <cfRule type="cellIs" dxfId="30" priority="3" stopIfTrue="1" operator="lessThan">
      <formula>0</formula>
    </cfRule>
  </conditionalFormatting>
  <conditionalFormatting sqref="D17">
    <cfRule type="cellIs" dxfId="29" priority="2" stopIfTrue="1" operator="greaterThan">
      <formula>$D$19*0.1</formula>
    </cfRule>
  </conditionalFormatting>
  <conditionalFormatting sqref="C17">
    <cfRule type="cellIs" dxfId="28" priority="1" stopIfTrue="1" operator="greaterThan">
      <formula>$C$19*0.1</formula>
    </cfRule>
  </conditionalFormatting>
  <printOptions horizontalCentered="1"/>
  <pageMargins left="0.5" right="0.5" top="0.5" bottom="0.5" header="0.3" footer="0.3"/>
  <pageSetup orientation="portrait" blackAndWhite="1"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B1:E58"/>
  <sheetViews>
    <sheetView topLeftCell="C1" zoomScaleNormal="100" workbookViewId="0">
      <selection activeCell="O11" sqref="O11"/>
    </sheetView>
  </sheetViews>
  <sheetFormatPr defaultRowHeight="15"/>
  <cols>
    <col min="1" max="1" width="2.44140625" style="95" customWidth="1"/>
    <col min="2" max="2" width="31.109375" style="95" customWidth="1"/>
    <col min="3" max="4" width="15.77734375" style="95" customWidth="1"/>
    <col min="5" max="5" width="16.21875" style="95" customWidth="1"/>
    <col min="6" max="16384" width="8.88671875" style="95"/>
  </cols>
  <sheetData>
    <row r="1" spans="2:5" ht="15.75">
      <c r="B1" s="188" t="str">
        <f>(inputPrYr!D2)</f>
        <v>City of Osawatomie</v>
      </c>
      <c r="C1" s="36"/>
      <c r="D1" s="36"/>
      <c r="E1" s="209">
        <f>inputPrYr!$C$5</f>
        <v>2013</v>
      </c>
    </row>
    <row r="2" spans="2:5" ht="15.75">
      <c r="B2" s="36"/>
      <c r="C2" s="36"/>
      <c r="D2" s="36"/>
      <c r="E2" s="160"/>
    </row>
    <row r="3" spans="2:5" ht="15.75">
      <c r="B3" s="239" t="s">
        <v>146</v>
      </c>
      <c r="C3" s="288"/>
      <c r="D3" s="288"/>
      <c r="E3" s="289"/>
    </row>
    <row r="4" spans="2:5" ht="15.75">
      <c r="B4" s="41" t="s">
        <v>78</v>
      </c>
      <c r="C4" s="416" t="s">
        <v>770</v>
      </c>
      <c r="D4" s="415" t="s">
        <v>771</v>
      </c>
      <c r="E4" s="392" t="s">
        <v>772</v>
      </c>
    </row>
    <row r="5" spans="2:5" ht="15.75">
      <c r="B5" s="542" t="str">
        <f>(inputPrYr!B54)</f>
        <v>Electric</v>
      </c>
      <c r="C5" s="417" t="str">
        <f>CONCATENATE("Actual for ",E1-2,"")</f>
        <v>Actual for 2011</v>
      </c>
      <c r="D5" s="417" t="str">
        <f>CONCATENATE("Estimate for ",E1-1,"")</f>
        <v>Estimate for 2012</v>
      </c>
      <c r="E5" s="401" t="str">
        <f>CONCATENATE("Year for ",E1,"")</f>
        <v>Year for 2013</v>
      </c>
    </row>
    <row r="6" spans="2:5" ht="15.75">
      <c r="B6" s="141" t="s">
        <v>199</v>
      </c>
      <c r="C6" s="56">
        <v>852394.53</v>
      </c>
      <c r="D6" s="218">
        <f>C53</f>
        <v>216890.61999999918</v>
      </c>
      <c r="E6" s="218">
        <f>D53</f>
        <v>453715.19064128259</v>
      </c>
    </row>
    <row r="7" spans="2:5" ht="15.75">
      <c r="B7" s="276" t="s">
        <v>201</v>
      </c>
      <c r="C7" s="76"/>
      <c r="D7" s="76"/>
      <c r="E7" s="76"/>
    </row>
    <row r="8" spans="2:5" ht="15.75">
      <c r="B8" s="265" t="s">
        <v>1117</v>
      </c>
      <c r="C8" s="252">
        <v>3612738.42</v>
      </c>
      <c r="D8" s="252">
        <v>3707931</v>
      </c>
      <c r="E8" s="252">
        <v>3769722</v>
      </c>
    </row>
    <row r="9" spans="2:5" ht="15.75">
      <c r="B9" s="265" t="s">
        <v>1118</v>
      </c>
      <c r="C9" s="252">
        <v>93430.459999999992</v>
      </c>
      <c r="D9" s="252">
        <v>87250</v>
      </c>
      <c r="E9" s="252">
        <v>87250</v>
      </c>
    </row>
    <row r="10" spans="2:5" ht="15.75">
      <c r="B10" s="265" t="s">
        <v>1119</v>
      </c>
      <c r="C10" s="252">
        <v>53450</v>
      </c>
      <c r="D10" s="252">
        <v>50000</v>
      </c>
      <c r="E10" s="252">
        <v>50000</v>
      </c>
    </row>
    <row r="11" spans="2:5" ht="15.75">
      <c r="B11" s="265" t="s">
        <v>1120</v>
      </c>
      <c r="C11" s="252">
        <v>113888.45999999999</v>
      </c>
      <c r="D11" s="252">
        <v>115197.792</v>
      </c>
      <c r="E11" s="252">
        <v>117175.10400000001</v>
      </c>
    </row>
    <row r="12" spans="2:5" ht="15.75">
      <c r="B12" s="265" t="s">
        <v>1121</v>
      </c>
      <c r="C12" s="252">
        <v>22000</v>
      </c>
      <c r="D12" s="252">
        <v>452131.76</v>
      </c>
      <c r="E12" s="252"/>
    </row>
    <row r="13" spans="2:5" ht="15.75">
      <c r="B13" s="265" t="s">
        <v>838</v>
      </c>
      <c r="C13" s="252">
        <v>52716.209999999992</v>
      </c>
      <c r="D13" s="252">
        <v>14000</v>
      </c>
      <c r="E13" s="252">
        <v>14000</v>
      </c>
    </row>
    <row r="14" spans="2:5" ht="15.75" hidden="1">
      <c r="B14" s="290" t="s">
        <v>86</v>
      </c>
      <c r="C14" s="252"/>
      <c r="D14" s="252"/>
      <c r="E14" s="252"/>
    </row>
    <row r="15" spans="2:5" ht="15.75" hidden="1">
      <c r="B15" s="150" t="s">
        <v>838</v>
      </c>
      <c r="C15" s="252"/>
      <c r="D15" s="246"/>
      <c r="E15" s="246"/>
    </row>
    <row r="16" spans="2:5" ht="15.75" hidden="1">
      <c r="B16" s="244" t="s">
        <v>746</v>
      </c>
      <c r="C16" s="291" t="str">
        <f>IF(C17*0.1&lt;C15,"Exceed 10% Rule","")</f>
        <v/>
      </c>
      <c r="D16" s="255" t="str">
        <f>IF(D17*0.1&lt;D15,"Exceed 10% Rule","")</f>
        <v/>
      </c>
      <c r="E16" s="255" t="str">
        <f>IF(E17*0.1&lt;E15,"Exceed 10% Rule","")</f>
        <v/>
      </c>
    </row>
    <row r="17" spans="2:5" ht="15.75">
      <c r="B17" s="256" t="s">
        <v>87</v>
      </c>
      <c r="C17" s="259">
        <f>SUM(C8:C15)</f>
        <v>3948223.55</v>
      </c>
      <c r="D17" s="259">
        <f>SUM(D8:D15)</f>
        <v>4426510.5520000001</v>
      </c>
      <c r="E17" s="259">
        <f>SUM(E8:E15)</f>
        <v>4038147.1039999998</v>
      </c>
    </row>
    <row r="18" spans="2:5" ht="15.75">
      <c r="B18" s="256" t="s">
        <v>88</v>
      </c>
      <c r="C18" s="259">
        <f>C6+C17</f>
        <v>4800618.08</v>
      </c>
      <c r="D18" s="259">
        <f>D6+D17</f>
        <v>4643401.1719999993</v>
      </c>
      <c r="E18" s="259">
        <f>E6+E17</f>
        <v>4491862.2946412824</v>
      </c>
    </row>
    <row r="19" spans="2:5" ht="15.75">
      <c r="B19" s="141" t="s">
        <v>90</v>
      </c>
      <c r="C19" s="76"/>
      <c r="D19" s="76"/>
      <c r="E19" s="76"/>
    </row>
    <row r="20" spans="2:5" ht="15.75">
      <c r="B20" s="906" t="s">
        <v>1017</v>
      </c>
      <c r="C20" s="252"/>
      <c r="D20" s="252"/>
      <c r="E20" s="252"/>
    </row>
    <row r="21" spans="2:5" ht="15.75">
      <c r="B21" s="265" t="s">
        <v>1107</v>
      </c>
      <c r="C21" s="252">
        <v>2199</v>
      </c>
      <c r="D21" s="252"/>
      <c r="E21" s="252"/>
    </row>
    <row r="22" spans="2:5" ht="15.75">
      <c r="B22" s="265" t="s">
        <v>1108</v>
      </c>
      <c r="C22" s="97">
        <v>49488.960000000006</v>
      </c>
      <c r="D22" s="97">
        <v>67552.5</v>
      </c>
      <c r="E22" s="97">
        <v>70560</v>
      </c>
    </row>
    <row r="23" spans="2:5" ht="15.75">
      <c r="B23" s="265" t="s">
        <v>92</v>
      </c>
      <c r="C23" s="97">
        <v>10838.75</v>
      </c>
      <c r="D23" s="97">
        <v>4750</v>
      </c>
      <c r="E23" s="97">
        <v>4750</v>
      </c>
    </row>
    <row r="24" spans="2:5" ht="15.75">
      <c r="B24" s="265" t="s">
        <v>93</v>
      </c>
      <c r="C24" s="97">
        <v>10843.380000000001</v>
      </c>
      <c r="D24" s="97">
        <v>10000</v>
      </c>
      <c r="E24" s="97">
        <v>10000</v>
      </c>
    </row>
    <row r="25" spans="2:5" ht="15.75" hidden="1">
      <c r="B25" s="265" t="s">
        <v>1109</v>
      </c>
      <c r="C25" s="97"/>
      <c r="D25" s="97"/>
      <c r="E25" s="97"/>
    </row>
    <row r="26" spans="2:5" ht="15.75">
      <c r="B26" s="265" t="s">
        <v>1123</v>
      </c>
      <c r="C26" s="97">
        <v>743800</v>
      </c>
      <c r="D26" s="97">
        <v>186000</v>
      </c>
      <c r="E26" s="97">
        <v>113000</v>
      </c>
    </row>
    <row r="27" spans="2:5" ht="15.75">
      <c r="B27" s="265" t="s">
        <v>1124</v>
      </c>
      <c r="C27" s="97">
        <v>27500</v>
      </c>
      <c r="D27" s="97">
        <v>380000</v>
      </c>
      <c r="E27" s="97">
        <v>85000</v>
      </c>
    </row>
    <row r="28" spans="2:5" ht="15.75">
      <c r="B28" s="265" t="s">
        <v>1125</v>
      </c>
      <c r="C28" s="97">
        <v>65000</v>
      </c>
      <c r="D28" s="97">
        <v>45000</v>
      </c>
      <c r="E28" s="97">
        <v>30000</v>
      </c>
    </row>
    <row r="29" spans="2:5" ht="15.75">
      <c r="B29" s="265" t="s">
        <v>1126</v>
      </c>
      <c r="C29" s="97">
        <v>17000</v>
      </c>
      <c r="D29" s="97"/>
      <c r="E29" s="97"/>
    </row>
    <row r="30" spans="2:5" ht="15.75">
      <c r="B30" s="265" t="s">
        <v>1127</v>
      </c>
      <c r="C30" s="97">
        <v>452131.76</v>
      </c>
      <c r="D30" s="97"/>
      <c r="E30" s="97"/>
    </row>
    <row r="31" spans="2:5" ht="15.75">
      <c r="B31" s="265" t="s">
        <v>1128</v>
      </c>
      <c r="C31" s="97"/>
      <c r="D31" s="97"/>
      <c r="E31" s="97">
        <v>25000</v>
      </c>
    </row>
    <row r="32" spans="2:5" ht="15.75">
      <c r="B32" s="265" t="s">
        <v>1129</v>
      </c>
      <c r="C32" s="97"/>
      <c r="D32" s="97">
        <v>90000</v>
      </c>
      <c r="E32" s="97">
        <v>175000</v>
      </c>
    </row>
    <row r="33" spans="2:5" ht="15.75">
      <c r="B33" s="265" t="s">
        <v>1130</v>
      </c>
      <c r="C33" s="97"/>
      <c r="D33" s="97">
        <v>12000</v>
      </c>
      <c r="E33" s="97">
        <v>12000</v>
      </c>
    </row>
    <row r="34" spans="2:5" ht="15.75">
      <c r="B34" s="265" t="s">
        <v>1131</v>
      </c>
      <c r="C34" s="97"/>
      <c r="D34" s="97">
        <v>20267.81976201923</v>
      </c>
      <c r="E34" s="97">
        <v>53347.79772000001</v>
      </c>
    </row>
    <row r="35" spans="2:5" ht="15.75">
      <c r="B35" s="265" t="s">
        <v>1132</v>
      </c>
      <c r="C35" s="97">
        <v>45000</v>
      </c>
      <c r="D35" s="97">
        <v>50000</v>
      </c>
      <c r="E35" s="97"/>
    </row>
    <row r="36" spans="2:5" ht="15.75">
      <c r="B36" s="265" t="s">
        <v>1116</v>
      </c>
      <c r="C36" s="97"/>
      <c r="D36" s="97">
        <v>202200</v>
      </c>
      <c r="E36" s="97">
        <v>201600</v>
      </c>
    </row>
    <row r="37" spans="2:5" ht="15.75">
      <c r="B37" s="265" t="s">
        <v>1133</v>
      </c>
      <c r="C37" s="97">
        <v>52954.99</v>
      </c>
      <c r="D37" s="97">
        <v>51000</v>
      </c>
      <c r="E37" s="97">
        <v>51000</v>
      </c>
    </row>
    <row r="38" spans="2:5" ht="15.75">
      <c r="B38" s="265" t="s">
        <v>1110</v>
      </c>
      <c r="C38" s="97">
        <v>131481.07999999999</v>
      </c>
      <c r="D38" s="97">
        <v>125497.93</v>
      </c>
      <c r="E38" s="97">
        <v>127351.66</v>
      </c>
    </row>
    <row r="39" spans="2:5" ht="15.75">
      <c r="B39" s="265" t="s">
        <v>1027</v>
      </c>
      <c r="C39" s="97">
        <v>15000</v>
      </c>
      <c r="D39" s="97">
        <v>16000</v>
      </c>
      <c r="E39" s="97">
        <v>16000</v>
      </c>
    </row>
    <row r="40" spans="2:5" ht="15.75">
      <c r="B40" s="906" t="s">
        <v>1122</v>
      </c>
      <c r="C40" s="97"/>
      <c r="D40" s="97"/>
      <c r="E40" s="97"/>
    </row>
    <row r="41" spans="2:5" ht="15.75">
      <c r="B41" s="265" t="s">
        <v>1107</v>
      </c>
      <c r="C41" s="97">
        <v>120066.20000000001</v>
      </c>
      <c r="D41" s="97">
        <v>128929.57075000001</v>
      </c>
      <c r="E41" s="97">
        <v>128202.26070650002</v>
      </c>
    </row>
    <row r="42" spans="2:5" ht="15.75">
      <c r="B42" s="265" t="s">
        <v>1108</v>
      </c>
      <c r="C42" s="252">
        <v>2181093.11</v>
      </c>
      <c r="D42" s="252">
        <v>2237370.5396716977</v>
      </c>
      <c r="E42" s="252">
        <v>2278940.8508280055</v>
      </c>
    </row>
    <row r="43" spans="2:5" ht="15.75">
      <c r="B43" s="265" t="s">
        <v>92</v>
      </c>
      <c r="C43" s="252">
        <v>12053</v>
      </c>
      <c r="D43" s="252">
        <v>52500</v>
      </c>
      <c r="E43" s="252">
        <v>52500</v>
      </c>
    </row>
    <row r="44" spans="2:5" ht="15.75" hidden="1">
      <c r="B44" s="265" t="s">
        <v>93</v>
      </c>
      <c r="C44" s="252"/>
      <c r="D44" s="252"/>
      <c r="E44" s="252"/>
    </row>
    <row r="45" spans="2:5" ht="15.75">
      <c r="B45" s="906" t="s">
        <v>1112</v>
      </c>
      <c r="C45" s="252"/>
      <c r="D45" s="252"/>
      <c r="E45" s="252"/>
    </row>
    <row r="46" spans="2:5" ht="15.75">
      <c r="B46" s="265" t="s">
        <v>1107</v>
      </c>
      <c r="C46" s="252">
        <v>269712.34000000003</v>
      </c>
      <c r="D46" s="252">
        <v>293424.11167499999</v>
      </c>
      <c r="E46" s="252">
        <v>285699.41899500001</v>
      </c>
    </row>
    <row r="47" spans="2:5" ht="15.75">
      <c r="B47" s="265" t="s">
        <v>1108</v>
      </c>
      <c r="C47" s="252">
        <v>65363.62000000001</v>
      </c>
      <c r="D47" s="252">
        <v>75793.5095</v>
      </c>
      <c r="E47" s="252">
        <v>78168.184975000011</v>
      </c>
    </row>
    <row r="48" spans="2:5" ht="15.75">
      <c r="B48" s="265" t="s">
        <v>92</v>
      </c>
      <c r="C48" s="252">
        <v>107868.58</v>
      </c>
      <c r="D48" s="252">
        <v>81400</v>
      </c>
      <c r="E48" s="252">
        <v>91400</v>
      </c>
    </row>
    <row r="49" spans="2:5" ht="15.75">
      <c r="B49" s="265" t="s">
        <v>93</v>
      </c>
      <c r="C49" s="252">
        <v>204332.69</v>
      </c>
      <c r="D49" s="252">
        <v>60000</v>
      </c>
      <c r="E49" s="252">
        <v>128000</v>
      </c>
    </row>
    <row r="50" spans="2:5" ht="15.75" hidden="1">
      <c r="B50" s="266" t="s">
        <v>838</v>
      </c>
      <c r="C50" s="252"/>
      <c r="D50" s="246"/>
      <c r="E50" s="246"/>
    </row>
    <row r="51" spans="2:5" ht="15.75" hidden="1">
      <c r="B51" s="266" t="s">
        <v>747</v>
      </c>
      <c r="C51" s="291" t="str">
        <f>IF(C52*0.1&lt;C50,"Exceed 10% Rule","")</f>
        <v/>
      </c>
      <c r="D51" s="255" t="str">
        <f>IF(D52*0.1&lt;D50,"Exceed 10% Rule","")</f>
        <v/>
      </c>
      <c r="E51" s="255" t="str">
        <f>IF(E52*0.1&lt;E50,"Exceed 10% Rule","")</f>
        <v/>
      </c>
    </row>
    <row r="52" spans="2:5" ht="15.75">
      <c r="B52" s="256" t="s">
        <v>94</v>
      </c>
      <c r="C52" s="259">
        <f>SUM(C20:C50)</f>
        <v>4583727.4600000009</v>
      </c>
      <c r="D52" s="259">
        <f>SUM(D20:D50)</f>
        <v>4189685.9813587167</v>
      </c>
      <c r="E52" s="259">
        <f>SUM(E20:E50)</f>
        <v>4017520.1732245055</v>
      </c>
    </row>
    <row r="53" spans="2:5" ht="15.75">
      <c r="B53" s="141" t="s">
        <v>200</v>
      </c>
      <c r="C53" s="71">
        <f>C18-C52</f>
        <v>216890.61999999918</v>
      </c>
      <c r="D53" s="71">
        <f>D18-D52</f>
        <v>453715.19064128259</v>
      </c>
      <c r="E53" s="71">
        <f>E18-E52</f>
        <v>474342.12141677691</v>
      </c>
    </row>
    <row r="54" spans="2:5" ht="15.75">
      <c r="B54" s="127" t="str">
        <f>CONCATENATE("",E1-2," Budget Authority Limited Amount:")</f>
        <v>2011 Budget Authority Limited Amount:</v>
      </c>
      <c r="C54" s="231">
        <f>inputOth!B94</f>
        <v>4756842.8899999997</v>
      </c>
      <c r="D54" s="231">
        <f>inputPrYr!D54</f>
        <v>3765012</v>
      </c>
      <c r="E54" s="371" t="str">
        <f>IF(E53&lt;0,"See Tab E","")</f>
        <v/>
      </c>
    </row>
    <row r="55" spans="2:5" ht="15.75">
      <c r="B55" s="127"/>
      <c r="C55" s="269" t="str">
        <f>IF(C52&gt;C54,"See Tab A","")</f>
        <v/>
      </c>
      <c r="D55" s="269" t="str">
        <f>IF(D52&gt;D54,"See Tab C","")</f>
        <v>See Tab C</v>
      </c>
      <c r="E55" s="57"/>
    </row>
    <row r="56" spans="2:5" ht="15.75">
      <c r="B56" s="127"/>
      <c r="C56" s="269" t="str">
        <f>IF(C53&lt;0,"See Tab B","")</f>
        <v/>
      </c>
      <c r="D56" s="269" t="str">
        <f>IF(D53&lt;0,"See Tab D","")</f>
        <v/>
      </c>
      <c r="E56" s="57"/>
    </row>
    <row r="57" spans="2:5">
      <c r="B57" s="57"/>
      <c r="C57" s="57"/>
      <c r="D57" s="57"/>
      <c r="E57" s="57"/>
    </row>
    <row r="58" spans="2:5" ht="15.75">
      <c r="B58" s="160" t="s">
        <v>97</v>
      </c>
      <c r="C58" s="273">
        <v>16</v>
      </c>
      <c r="D58" s="57"/>
      <c r="E58" s="57"/>
    </row>
  </sheetData>
  <phoneticPr fontId="9" type="noConversion"/>
  <conditionalFormatting sqref="E15">
    <cfRule type="cellIs" dxfId="27" priority="2" stopIfTrue="1" operator="greaterThan">
      <formula>$E$17*0.1</formula>
    </cfRule>
  </conditionalFormatting>
  <conditionalFormatting sqref="E50">
    <cfRule type="cellIs" dxfId="26" priority="3" stopIfTrue="1" operator="greaterThan">
      <formula>$E$52*0.1</formula>
    </cfRule>
  </conditionalFormatting>
  <conditionalFormatting sqref="D15">
    <cfRule type="cellIs" dxfId="25" priority="4" stopIfTrue="1" operator="greaterThan">
      <formula>$D$17*0.1</formula>
    </cfRule>
  </conditionalFormatting>
  <conditionalFormatting sqref="D50">
    <cfRule type="cellIs" dxfId="24" priority="5" stopIfTrue="1" operator="greaterThan">
      <formula>$D$52*0.1</formula>
    </cfRule>
  </conditionalFormatting>
  <conditionalFormatting sqref="C15">
    <cfRule type="cellIs" dxfId="23" priority="6" stopIfTrue="1" operator="greaterThan">
      <formula>$C$17*0.1</formula>
    </cfRule>
  </conditionalFormatting>
  <conditionalFormatting sqref="C50">
    <cfRule type="cellIs" dxfId="22" priority="7" stopIfTrue="1" operator="greaterThan">
      <formula>$C$52*0.1</formula>
    </cfRule>
  </conditionalFormatting>
  <conditionalFormatting sqref="D52">
    <cfRule type="cellIs" dxfId="21" priority="8" stopIfTrue="1" operator="greaterThan">
      <formula>$D$54</formula>
    </cfRule>
  </conditionalFormatting>
  <conditionalFormatting sqref="C52">
    <cfRule type="cellIs" dxfId="20" priority="9" stopIfTrue="1" operator="greaterThan">
      <formula>$C$54</formula>
    </cfRule>
  </conditionalFormatting>
  <conditionalFormatting sqref="C53 E53">
    <cfRule type="cellIs" dxfId="19" priority="10" stopIfTrue="1" operator="lessThan">
      <formula>0</formula>
    </cfRule>
  </conditionalFormatting>
  <conditionalFormatting sqref="D53">
    <cfRule type="cellIs" dxfId="18" priority="1" stopIfTrue="1" operator="lessThan">
      <formula>0</formula>
    </cfRule>
  </conditionalFormatting>
  <printOptions horizontalCentered="1"/>
  <pageMargins left="0.5" right="0.5" top="0.5" bottom="0.5" header="0.3" footer="0.3"/>
  <pageSetup scale="91" orientation="portrait" blackAndWhite="1" r:id="rId1"/>
  <headerFooter alignWithMargins="0"/>
</worksheet>
</file>

<file path=xl/worksheets/sheet32.xml><?xml version="1.0" encoding="utf-8"?>
<worksheet xmlns="http://schemas.openxmlformats.org/spreadsheetml/2006/main" xmlns:r="http://schemas.openxmlformats.org/officeDocument/2006/relationships">
  <sheetPr>
    <pageSetUpPr fitToPage="1"/>
  </sheetPr>
  <dimension ref="B1:E33"/>
  <sheetViews>
    <sheetView topLeftCell="C1" zoomScaleNormal="100" workbookViewId="0">
      <selection activeCell="O11" sqref="O11"/>
    </sheetView>
  </sheetViews>
  <sheetFormatPr defaultRowHeight="15"/>
  <cols>
    <col min="1" max="1" width="2.44140625" style="95" customWidth="1"/>
    <col min="2" max="2" width="31.109375" style="95" customWidth="1"/>
    <col min="3" max="4" width="15.77734375" style="95" customWidth="1"/>
    <col min="5" max="5" width="16.44140625" style="95" customWidth="1"/>
    <col min="6" max="16384" width="8.88671875" style="95"/>
  </cols>
  <sheetData>
    <row r="1" spans="2:5" ht="15.75">
      <c r="B1" s="188" t="str">
        <f>(inputPrYr!D2)</f>
        <v>City of Osawatomie</v>
      </c>
      <c r="C1" s="36"/>
      <c r="D1" s="36"/>
      <c r="E1" s="209">
        <f>inputPrYr!$C$5</f>
        <v>2013</v>
      </c>
    </row>
    <row r="2" spans="2:5" ht="15.75">
      <c r="B2" s="36"/>
      <c r="C2" s="36"/>
      <c r="D2" s="36"/>
      <c r="E2" s="160"/>
    </row>
    <row r="3" spans="2:5" ht="15.75">
      <c r="B3" s="239" t="s">
        <v>146</v>
      </c>
      <c r="C3" s="288"/>
      <c r="D3" s="288"/>
      <c r="E3" s="289"/>
    </row>
    <row r="4" spans="2:5" ht="15.75">
      <c r="B4" s="41" t="s">
        <v>78</v>
      </c>
      <c r="C4" s="416" t="s">
        <v>770</v>
      </c>
      <c r="D4" s="415" t="s">
        <v>771</v>
      </c>
      <c r="E4" s="392" t="s">
        <v>772</v>
      </c>
    </row>
    <row r="5" spans="2:5" ht="15.75">
      <c r="B5" s="542" t="str">
        <f>(inputPrYr!B55)</f>
        <v>Sewer</v>
      </c>
      <c r="C5" s="417" t="str">
        <f>CONCATENATE("Actual for ",E1-2,"")</f>
        <v>Actual for 2011</v>
      </c>
      <c r="D5" s="417" t="str">
        <f>CONCATENATE("Estimate for ",E1-1,"")</f>
        <v>Estimate for 2012</v>
      </c>
      <c r="E5" s="401" t="str">
        <f>CONCATENATE("Year for ",E1,"")</f>
        <v>Year for 2013</v>
      </c>
    </row>
    <row r="6" spans="2:5" ht="15.75">
      <c r="B6" s="141" t="s">
        <v>199</v>
      </c>
      <c r="C6" s="249">
        <v>428138.09</v>
      </c>
      <c r="D6" s="247">
        <f>C28</f>
        <v>361440.34999999986</v>
      </c>
      <c r="E6" s="218">
        <f>D28</f>
        <v>289399.89177146135</v>
      </c>
    </row>
    <row r="7" spans="2:5" ht="15.75">
      <c r="B7" s="276" t="s">
        <v>201</v>
      </c>
      <c r="C7" s="150"/>
      <c r="D7" s="150"/>
      <c r="E7" s="76"/>
    </row>
    <row r="8" spans="2:5" ht="15.75">
      <c r="B8" s="265" t="s">
        <v>1077</v>
      </c>
      <c r="C8" s="249">
        <v>771764.80999999994</v>
      </c>
      <c r="D8" s="249">
        <v>771764.80999999994</v>
      </c>
      <c r="E8" s="252">
        <v>775623.63404999988</v>
      </c>
    </row>
    <row r="9" spans="2:5" ht="15.75">
      <c r="B9" s="265" t="s">
        <v>1102</v>
      </c>
      <c r="C9" s="249">
        <v>350</v>
      </c>
      <c r="D9" s="249">
        <v>500</v>
      </c>
      <c r="E9" s="252">
        <v>500</v>
      </c>
    </row>
    <row r="10" spans="2:5" ht="15.75" hidden="1">
      <c r="B10" s="290" t="s">
        <v>86</v>
      </c>
      <c r="C10" s="249"/>
      <c r="D10" s="249"/>
      <c r="E10" s="252"/>
    </row>
    <row r="11" spans="2:5" ht="15.75" hidden="1">
      <c r="B11" s="150" t="s">
        <v>838</v>
      </c>
      <c r="C11" s="249"/>
      <c r="D11" s="249"/>
      <c r="E11" s="252"/>
    </row>
    <row r="12" spans="2:5" ht="15.75" hidden="1">
      <c r="B12" s="244" t="s">
        <v>746</v>
      </c>
      <c r="C12" s="254" t="str">
        <f>IF(C13*0.1&lt;C11,"Exceed 10% Rule","")</f>
        <v/>
      </c>
      <c r="D12" s="254" t="str">
        <f>IF(D13*0.1&lt;D11,"Exceed 10% Rule","")</f>
        <v/>
      </c>
      <c r="E12" s="291" t="str">
        <f>IF(E13*0.1&lt;E11,"Exceed 10% Rule","")</f>
        <v/>
      </c>
    </row>
    <row r="13" spans="2:5" ht="15.75">
      <c r="B13" s="256" t="s">
        <v>87</v>
      </c>
      <c r="C13" s="258">
        <f>SUM(C8:C11)</f>
        <v>772114.80999999994</v>
      </c>
      <c r="D13" s="258">
        <f>SUM(D8:D11)</f>
        <v>772264.80999999994</v>
      </c>
      <c r="E13" s="259">
        <f>SUM(E8:E11)</f>
        <v>776123.63404999988</v>
      </c>
    </row>
    <row r="14" spans="2:5" ht="15.75">
      <c r="B14" s="256" t="s">
        <v>88</v>
      </c>
      <c r="C14" s="258">
        <f>C6+C13</f>
        <v>1200252.8999999999</v>
      </c>
      <c r="D14" s="258">
        <f>D6+D13</f>
        <v>1133705.1599999997</v>
      </c>
      <c r="E14" s="259">
        <f>E6+E13</f>
        <v>1065523.5258214613</v>
      </c>
    </row>
    <row r="15" spans="2:5" ht="15.75">
      <c r="B15" s="141" t="s">
        <v>90</v>
      </c>
      <c r="C15" s="150"/>
      <c r="D15" s="150"/>
      <c r="E15" s="76"/>
    </row>
    <row r="16" spans="2:5" ht="15.75">
      <c r="B16" s="265" t="s">
        <v>1107</v>
      </c>
      <c r="C16" s="249">
        <v>114948.76</v>
      </c>
      <c r="D16" s="249">
        <v>107111.526292</v>
      </c>
      <c r="E16" s="252">
        <v>97710.438776100011</v>
      </c>
    </row>
    <row r="17" spans="2:5" ht="15.75">
      <c r="B17" s="265" t="s">
        <v>1108</v>
      </c>
      <c r="C17" s="249">
        <v>63948.94000000001</v>
      </c>
      <c r="D17" s="249">
        <v>74950</v>
      </c>
      <c r="E17" s="252">
        <v>74950</v>
      </c>
    </row>
    <row r="18" spans="2:5" ht="15.75">
      <c r="B18" s="265" t="s">
        <v>92</v>
      </c>
      <c r="C18" s="249">
        <v>43140.390000000007</v>
      </c>
      <c r="D18" s="249">
        <v>53650</v>
      </c>
      <c r="E18" s="97">
        <v>53650</v>
      </c>
    </row>
    <row r="19" spans="2:5" ht="15.75">
      <c r="B19" s="265" t="s">
        <v>93</v>
      </c>
      <c r="C19" s="249">
        <v>88161</v>
      </c>
      <c r="D19" s="249">
        <v>50000</v>
      </c>
      <c r="E19" s="97">
        <v>25000</v>
      </c>
    </row>
    <row r="20" spans="2:5" ht="15.75">
      <c r="B20" s="265" t="s">
        <v>1109</v>
      </c>
      <c r="C20" s="249">
        <v>250713.46</v>
      </c>
      <c r="D20" s="249">
        <v>125356.73</v>
      </c>
      <c r="E20" s="97">
        <v>20000</v>
      </c>
    </row>
    <row r="21" spans="2:5" ht="15.75">
      <c r="B21" s="265" t="s">
        <v>1113</v>
      </c>
      <c r="C21" s="249">
        <v>77900</v>
      </c>
      <c r="D21" s="249">
        <v>39000</v>
      </c>
      <c r="E21" s="97">
        <v>39000</v>
      </c>
    </row>
    <row r="22" spans="2:5" ht="15.75">
      <c r="B22" s="265" t="s">
        <v>1115</v>
      </c>
      <c r="C22" s="249"/>
      <c r="D22" s="249">
        <v>6837.0119365384617</v>
      </c>
      <c r="E22" s="97">
        <v>14739.032952000001</v>
      </c>
    </row>
    <row r="23" spans="2:5" ht="15.75">
      <c r="B23" s="265" t="s">
        <v>1134</v>
      </c>
      <c r="C23" s="249">
        <v>200000</v>
      </c>
      <c r="D23" s="249">
        <v>310000</v>
      </c>
      <c r="E23" s="97">
        <v>434000</v>
      </c>
    </row>
    <row r="24" spans="2:5" ht="15.75">
      <c r="B24" s="265" t="s">
        <v>1116</v>
      </c>
      <c r="C24" s="249">
        <v>0</v>
      </c>
      <c r="D24" s="249">
        <v>77400</v>
      </c>
      <c r="E24" s="97">
        <v>77200</v>
      </c>
    </row>
    <row r="25" spans="2:5" ht="15.75" hidden="1">
      <c r="B25" s="266" t="s">
        <v>838</v>
      </c>
      <c r="C25" s="249"/>
      <c r="D25" s="249"/>
      <c r="E25" s="252"/>
    </row>
    <row r="26" spans="2:5" ht="15.75" hidden="1">
      <c r="B26" s="266" t="s">
        <v>747</v>
      </c>
      <c r="C26" s="254" t="str">
        <f>IF(C27*0.1&lt;C25,"Exceed 10% Rule","")</f>
        <v/>
      </c>
      <c r="D26" s="254" t="str">
        <f>IF(D27*0.1&lt;D25,"Exceed 10% Rule","")</f>
        <v/>
      </c>
      <c r="E26" s="291" t="str">
        <f>IF(E27*0.1&lt;E25,"Exceed 10% Rule","")</f>
        <v/>
      </c>
    </row>
    <row r="27" spans="2:5" ht="15.75">
      <c r="B27" s="256" t="s">
        <v>94</v>
      </c>
      <c r="C27" s="258">
        <f>SUM(C16:C25)</f>
        <v>838812.55</v>
      </c>
      <c r="D27" s="258">
        <f>SUM(D16:D25)</f>
        <v>844305.26822853833</v>
      </c>
      <c r="E27" s="259">
        <f>SUM(E16:E25)</f>
        <v>836249.47172809998</v>
      </c>
    </row>
    <row r="28" spans="2:5" ht="15.75">
      <c r="B28" s="141" t="s">
        <v>200</v>
      </c>
      <c r="C28" s="262">
        <f>C14-C27</f>
        <v>361440.34999999986</v>
      </c>
      <c r="D28" s="262">
        <f>D14-D27</f>
        <v>289399.89177146135</v>
      </c>
      <c r="E28" s="71">
        <f>E14-E27</f>
        <v>229274.05409336137</v>
      </c>
    </row>
    <row r="29" spans="2:5" ht="15.75">
      <c r="B29" s="127" t="str">
        <f>CONCATENATE("",E1-2,"/",E1-1," Budget Authority Amount:")</f>
        <v>2011/2012 Budget Authority Amount:</v>
      </c>
      <c r="C29" s="231">
        <f>inputOth!B95</f>
        <v>853642.34</v>
      </c>
      <c r="D29" s="231">
        <f>inputPrYr!D55</f>
        <v>837988</v>
      </c>
      <c r="E29" s="371" t="str">
        <f>IF(E28&lt;0,"See Tab E","")</f>
        <v/>
      </c>
    </row>
    <row r="30" spans="2:5" ht="15.75">
      <c r="B30" s="127"/>
      <c r="C30" s="269" t="str">
        <f>IF(C27&gt;C29,"See Tab A","")</f>
        <v/>
      </c>
      <c r="D30" s="269" t="str">
        <f>IF(D27&gt;D29,"See Tab C","")</f>
        <v>See Tab C</v>
      </c>
      <c r="E30" s="57"/>
    </row>
    <row r="31" spans="2:5" ht="15.75">
      <c r="B31" s="127"/>
      <c r="C31" s="269" t="str">
        <f>IF(C28&lt;0,"See Tab B","")</f>
        <v/>
      </c>
      <c r="D31" s="269" t="str">
        <f>IF(D28&lt;0,"See Tab D","")</f>
        <v/>
      </c>
      <c r="E31" s="57"/>
    </row>
    <row r="32" spans="2:5">
      <c r="B32" s="57"/>
      <c r="C32" s="57"/>
      <c r="D32" s="57"/>
      <c r="E32" s="57"/>
    </row>
    <row r="33" spans="2:5" ht="15.75">
      <c r="B33" s="160" t="s">
        <v>97</v>
      </c>
      <c r="C33" s="273">
        <v>17</v>
      </c>
      <c r="D33" s="57"/>
      <c r="E33" s="57"/>
    </row>
  </sheetData>
  <phoneticPr fontId="9" type="noConversion"/>
  <conditionalFormatting sqref="E11">
    <cfRule type="cellIs" dxfId="17" priority="4" stopIfTrue="1" operator="greaterThan">
      <formula>$E$13*0.1</formula>
    </cfRule>
  </conditionalFormatting>
  <conditionalFormatting sqref="E25">
    <cfRule type="cellIs" dxfId="16" priority="5" stopIfTrue="1" operator="greaterThan">
      <formula>$E$27*0.1</formula>
    </cfRule>
  </conditionalFormatting>
  <conditionalFormatting sqref="C25">
    <cfRule type="cellIs" dxfId="15" priority="6" stopIfTrue="1" operator="greaterThan">
      <formula>$C$27*0.1</formula>
    </cfRule>
  </conditionalFormatting>
  <conditionalFormatting sqref="D25">
    <cfRule type="cellIs" dxfId="14" priority="7" stopIfTrue="1" operator="greaterThan">
      <formula>$D$27*0.1</formula>
    </cfRule>
  </conditionalFormatting>
  <conditionalFormatting sqref="D27">
    <cfRule type="cellIs" dxfId="13" priority="8" stopIfTrue="1" operator="greaterThan">
      <formula>$D$29</formula>
    </cfRule>
  </conditionalFormatting>
  <conditionalFormatting sqref="C27">
    <cfRule type="cellIs" dxfId="12" priority="9" stopIfTrue="1" operator="greaterThan">
      <formula>$C$29</formula>
    </cfRule>
  </conditionalFormatting>
  <conditionalFormatting sqref="C28 E28">
    <cfRule type="cellIs" dxfId="11" priority="10" stopIfTrue="1" operator="lessThan">
      <formula>0</formula>
    </cfRule>
  </conditionalFormatting>
  <conditionalFormatting sqref="D28">
    <cfRule type="cellIs" dxfId="10" priority="3" stopIfTrue="1" operator="lessThan">
      <formula>0</formula>
    </cfRule>
  </conditionalFormatting>
  <conditionalFormatting sqref="D11">
    <cfRule type="cellIs" dxfId="9" priority="2" stopIfTrue="1" operator="greaterThan">
      <formula>$D$13*0.1</formula>
    </cfRule>
  </conditionalFormatting>
  <conditionalFormatting sqref="C11">
    <cfRule type="cellIs" dxfId="8" priority="1" stopIfTrue="1" operator="greaterThan">
      <formula>$C$13*0.1</formula>
    </cfRule>
  </conditionalFormatting>
  <printOptions horizontalCentered="1"/>
  <pageMargins left="0.5" right="0.5" top="0.5" bottom="0.5" header="0.3" footer="0.3"/>
  <pageSetup orientation="portrait" blackAndWhite="1" r:id="rId1"/>
  <headerFooter alignWithMargins="0"/>
</worksheet>
</file>

<file path=xl/worksheets/sheet33.xml><?xml version="1.0" encoding="utf-8"?>
<worksheet xmlns="http://schemas.openxmlformats.org/spreadsheetml/2006/main" xmlns:r="http://schemas.openxmlformats.org/officeDocument/2006/relationships">
  <sheetPr>
    <pageSetUpPr fitToPage="1"/>
  </sheetPr>
  <dimension ref="B1:E43"/>
  <sheetViews>
    <sheetView topLeftCell="C1" zoomScaleNormal="100" workbookViewId="0">
      <selection activeCell="O11" sqref="O11"/>
    </sheetView>
  </sheetViews>
  <sheetFormatPr defaultRowHeight="15"/>
  <cols>
    <col min="1" max="1" width="2.44140625" style="95" customWidth="1"/>
    <col min="2" max="2" width="31.109375" style="95" customWidth="1"/>
    <col min="3" max="4" width="15.77734375" style="95" customWidth="1"/>
    <col min="5" max="5" width="16.5546875" style="95" customWidth="1"/>
    <col min="6" max="16384" width="8.88671875" style="95"/>
  </cols>
  <sheetData>
    <row r="1" spans="2:5" ht="15.75">
      <c r="B1" s="188" t="str">
        <f>(inputPrYr!D2)</f>
        <v>City of Osawatomie</v>
      </c>
      <c r="C1" s="36"/>
      <c r="D1" s="36"/>
      <c r="E1" s="209">
        <f>inputPrYr!$C$5</f>
        <v>2013</v>
      </c>
    </row>
    <row r="2" spans="2:5" ht="15.75">
      <c r="B2" s="36"/>
      <c r="C2" s="36"/>
      <c r="D2" s="36"/>
      <c r="E2" s="160"/>
    </row>
    <row r="3" spans="2:5" ht="15.75">
      <c r="B3" s="239" t="s">
        <v>146</v>
      </c>
      <c r="C3" s="288"/>
      <c r="D3" s="288"/>
      <c r="E3" s="289"/>
    </row>
    <row r="4" spans="2:5" ht="15.75">
      <c r="B4" s="41" t="s">
        <v>78</v>
      </c>
      <c r="C4" s="416" t="s">
        <v>770</v>
      </c>
      <c r="D4" s="415" t="s">
        <v>771</v>
      </c>
      <c r="E4" s="392" t="s">
        <v>772</v>
      </c>
    </row>
    <row r="5" spans="2:5" ht="15.75">
      <c r="B5" s="542" t="str">
        <f>(inputPrYr!B56)</f>
        <v>Special Parks &amp; Recreation</v>
      </c>
      <c r="C5" s="417" t="str">
        <f>CONCATENATE("Actual for ",E1-2,"")</f>
        <v>Actual for 2011</v>
      </c>
      <c r="D5" s="417" t="str">
        <f>CONCATENATE("Estimate for ",E1-1,"")</f>
        <v>Estimate for 2012</v>
      </c>
      <c r="E5" s="401" t="str">
        <f>CONCATENATE("Year for ",E1,"")</f>
        <v>Year for 2013</v>
      </c>
    </row>
    <row r="6" spans="2:5" ht="15.75">
      <c r="B6" s="141" t="s">
        <v>199</v>
      </c>
      <c r="C6" s="249">
        <v>9295.91</v>
      </c>
      <c r="D6" s="247">
        <f>C38</f>
        <v>12692.43</v>
      </c>
      <c r="E6" s="218">
        <f>D38</f>
        <v>39889.949999999953</v>
      </c>
    </row>
    <row r="7" spans="2:5" ht="15.75">
      <c r="B7" s="276" t="s">
        <v>201</v>
      </c>
      <c r="C7" s="150"/>
      <c r="D7" s="150"/>
      <c r="E7" s="76"/>
    </row>
    <row r="8" spans="2:5" ht="15.75">
      <c r="B8" s="265" t="s">
        <v>1135</v>
      </c>
      <c r="C8" s="249">
        <v>3629.92</v>
      </c>
      <c r="D8" s="249">
        <v>4500</v>
      </c>
      <c r="E8" s="252">
        <v>3543.7550000000001</v>
      </c>
    </row>
    <row r="9" spans="2:5" ht="15.75">
      <c r="B9" s="265" t="s">
        <v>1136</v>
      </c>
      <c r="C9" s="249"/>
      <c r="D9" s="249">
        <v>24000</v>
      </c>
      <c r="E9" s="252">
        <v>24000</v>
      </c>
    </row>
    <row r="10" spans="2:5" ht="15.75">
      <c r="B10" s="265" t="s">
        <v>1137</v>
      </c>
      <c r="C10" s="249"/>
      <c r="D10" s="249"/>
      <c r="E10" s="252"/>
    </row>
    <row r="11" spans="2:5" ht="15.75">
      <c r="B11" s="265" t="s">
        <v>1138</v>
      </c>
      <c r="C11" s="249"/>
      <c r="D11" s="249"/>
      <c r="E11" s="252"/>
    </row>
    <row r="12" spans="2:5" ht="15.75">
      <c r="B12" s="265" t="s">
        <v>1139</v>
      </c>
      <c r="C12" s="249"/>
      <c r="D12" s="249">
        <v>15000</v>
      </c>
      <c r="E12" s="252">
        <v>15000</v>
      </c>
    </row>
    <row r="13" spans="2:5" ht="15.75">
      <c r="B13" s="265" t="s">
        <v>1140</v>
      </c>
      <c r="C13" s="249"/>
      <c r="D13" s="249">
        <v>6000</v>
      </c>
      <c r="E13" s="252">
        <v>6000</v>
      </c>
    </row>
    <row r="14" spans="2:5" ht="15.75">
      <c r="B14" s="265" t="s">
        <v>1044</v>
      </c>
      <c r="C14" s="249"/>
      <c r="D14" s="249">
        <v>0</v>
      </c>
      <c r="E14" s="252"/>
    </row>
    <row r="15" spans="2:5" ht="15.75">
      <c r="B15" s="265" t="s">
        <v>1007</v>
      </c>
      <c r="C15" s="249"/>
      <c r="D15" s="249">
        <v>48000</v>
      </c>
      <c r="E15" s="252">
        <v>0</v>
      </c>
    </row>
    <row r="16" spans="2:5" ht="15.75">
      <c r="B16" s="283" t="s">
        <v>1141</v>
      </c>
      <c r="C16" s="249">
        <v>0</v>
      </c>
      <c r="D16" s="249">
        <v>98720.43</v>
      </c>
      <c r="E16" s="97">
        <v>13456</v>
      </c>
    </row>
    <row r="17" spans="2:5" ht="15.75">
      <c r="B17" s="265" t="s">
        <v>1142</v>
      </c>
      <c r="C17" s="249"/>
      <c r="D17" s="249">
        <v>90000</v>
      </c>
      <c r="E17" s="252">
        <v>175000</v>
      </c>
    </row>
    <row r="18" spans="2:5" ht="15.75">
      <c r="B18" s="290" t="s">
        <v>1143</v>
      </c>
      <c r="C18" s="249"/>
      <c r="D18" s="249">
        <v>2000</v>
      </c>
      <c r="E18" s="252"/>
    </row>
    <row r="19" spans="2:5" ht="15.75">
      <c r="B19" s="150" t="s">
        <v>838</v>
      </c>
      <c r="C19" s="249"/>
      <c r="D19" s="249">
        <v>5800</v>
      </c>
      <c r="E19" s="252">
        <v>5000</v>
      </c>
    </row>
    <row r="20" spans="2:5" ht="15.75">
      <c r="B20" s="244" t="s">
        <v>746</v>
      </c>
      <c r="C20" s="254" t="str">
        <f>IF(C21*0.1&lt;C19,"Exceed 10% Rule","")</f>
        <v/>
      </c>
      <c r="D20" s="254" t="str">
        <f>IF(D21*0.1&lt;D19,"Exceed 10% Rule","")</f>
        <v/>
      </c>
      <c r="E20" s="291" t="str">
        <f>IF(E21*0.1&lt;E19,"Exceed 10% Rule","")</f>
        <v/>
      </c>
    </row>
    <row r="21" spans="2:5" ht="15.75">
      <c r="B21" s="256" t="s">
        <v>87</v>
      </c>
      <c r="C21" s="258">
        <f>SUM(C8:C19)</f>
        <v>3629.92</v>
      </c>
      <c r="D21" s="258">
        <f>SUM(D8:D19)</f>
        <v>294020.43</v>
      </c>
      <c r="E21" s="259">
        <f>SUM(E8:E19)</f>
        <v>241999.755</v>
      </c>
    </row>
    <row r="22" spans="2:5" ht="15.75">
      <c r="B22" s="256" t="s">
        <v>88</v>
      </c>
      <c r="C22" s="258">
        <f>C6+C21</f>
        <v>12925.83</v>
      </c>
      <c r="D22" s="258">
        <f>D6+D21</f>
        <v>306712.86</v>
      </c>
      <c r="E22" s="259">
        <f>E6+E21</f>
        <v>281889.70499999996</v>
      </c>
    </row>
    <row r="23" spans="2:5" ht="15.75">
      <c r="B23" s="141" t="s">
        <v>90</v>
      </c>
      <c r="C23" s="150"/>
      <c r="D23" s="150"/>
      <c r="E23" s="76"/>
    </row>
    <row r="24" spans="2:5" ht="15.75">
      <c r="B24" s="906" t="s">
        <v>1144</v>
      </c>
      <c r="C24" s="249"/>
      <c r="D24" s="249"/>
      <c r="E24" s="252"/>
    </row>
    <row r="25" spans="2:5" ht="15.75">
      <c r="B25" s="265" t="s">
        <v>1145</v>
      </c>
      <c r="C25" s="249">
        <v>0</v>
      </c>
      <c r="D25" s="249">
        <v>54310.710000000006</v>
      </c>
      <c r="E25" s="252">
        <v>55649</v>
      </c>
    </row>
    <row r="26" spans="2:5" ht="15.75">
      <c r="B26" s="265" t="s">
        <v>1108</v>
      </c>
      <c r="C26" s="249">
        <v>141.9</v>
      </c>
      <c r="D26" s="249">
        <v>24450</v>
      </c>
      <c r="E26" s="97">
        <v>24450</v>
      </c>
    </row>
    <row r="27" spans="2:5" ht="15.75">
      <c r="B27" s="265" t="s">
        <v>92</v>
      </c>
      <c r="C27" s="249">
        <v>91.5</v>
      </c>
      <c r="D27" s="249">
        <v>30350</v>
      </c>
      <c r="E27" s="97">
        <v>30350</v>
      </c>
    </row>
    <row r="28" spans="2:5" ht="15.75">
      <c r="B28" s="265" t="s">
        <v>93</v>
      </c>
      <c r="C28" s="249">
        <v>0</v>
      </c>
      <c r="D28" s="249">
        <v>12000</v>
      </c>
      <c r="E28" s="97">
        <v>17000</v>
      </c>
    </row>
    <row r="29" spans="2:5" ht="15.75">
      <c r="B29" s="906" t="s">
        <v>1146</v>
      </c>
      <c r="C29" s="249"/>
      <c r="D29" s="249"/>
      <c r="E29" s="97"/>
    </row>
    <row r="30" spans="2:5" ht="15.75">
      <c r="B30" s="265" t="s">
        <v>1145</v>
      </c>
      <c r="C30" s="249">
        <v>0</v>
      </c>
      <c r="D30" s="249">
        <v>49737.2</v>
      </c>
      <c r="E30" s="97">
        <v>52354.400000000001</v>
      </c>
    </row>
    <row r="31" spans="2:5" ht="15.75">
      <c r="B31" s="265" t="s">
        <v>1108</v>
      </c>
      <c r="C31" s="249">
        <v>0</v>
      </c>
      <c r="D31" s="249">
        <v>35200</v>
      </c>
      <c r="E31" s="97">
        <v>26200</v>
      </c>
    </row>
    <row r="32" spans="2:5" ht="15.75">
      <c r="B32" s="265" t="s">
        <v>92</v>
      </c>
      <c r="C32" s="249">
        <v>0</v>
      </c>
      <c r="D32" s="249">
        <v>37000</v>
      </c>
      <c r="E32" s="97">
        <v>33000</v>
      </c>
    </row>
    <row r="33" spans="2:5" ht="15.75">
      <c r="B33" s="265" t="s">
        <v>93</v>
      </c>
      <c r="C33" s="249">
        <v>0</v>
      </c>
      <c r="D33" s="249">
        <v>0</v>
      </c>
      <c r="E33" s="97">
        <v>0</v>
      </c>
    </row>
    <row r="34" spans="2:5" ht="15.75">
      <c r="B34" s="265" t="s">
        <v>1164</v>
      </c>
      <c r="C34" s="249">
        <v>0</v>
      </c>
      <c r="D34" s="249">
        <v>23775</v>
      </c>
      <c r="E34" s="97">
        <v>1275</v>
      </c>
    </row>
    <row r="35" spans="2:5" ht="15.75" hidden="1">
      <c r="B35" s="266" t="s">
        <v>838</v>
      </c>
      <c r="C35" s="249"/>
      <c r="D35" s="249"/>
      <c r="E35" s="252"/>
    </row>
    <row r="36" spans="2:5" ht="15.75" hidden="1">
      <c r="B36" s="266" t="s">
        <v>747</v>
      </c>
      <c r="C36" s="254" t="str">
        <f>IF(C37*0.1&lt;C35,"Exceed 10% Rule","")</f>
        <v/>
      </c>
      <c r="D36" s="254" t="str">
        <f>IF(D37*0.1&lt;D35,"Exceed 10% Rule","")</f>
        <v/>
      </c>
      <c r="E36" s="291" t="str">
        <f>IF(E37*0.1&lt;E35,"Exceed 10% Rule","")</f>
        <v/>
      </c>
    </row>
    <row r="37" spans="2:5" ht="15.75">
      <c r="B37" s="256" t="s">
        <v>94</v>
      </c>
      <c r="C37" s="258">
        <f>SUM(C24:C35)</f>
        <v>233.4</v>
      </c>
      <c r="D37" s="258">
        <f>SUM(D24:D35)</f>
        <v>266822.91000000003</v>
      </c>
      <c r="E37" s="259">
        <f>SUM(E24:E35)</f>
        <v>240278.39999999999</v>
      </c>
    </row>
    <row r="38" spans="2:5" ht="15.75">
      <c r="B38" s="141" t="s">
        <v>200</v>
      </c>
      <c r="C38" s="262">
        <f>C22-C37</f>
        <v>12692.43</v>
      </c>
      <c r="D38" s="262">
        <f>D22-D37</f>
        <v>39889.949999999953</v>
      </c>
      <c r="E38" s="71">
        <f>E22-E37</f>
        <v>41611.304999999964</v>
      </c>
    </row>
    <row r="39" spans="2:5" ht="15.75">
      <c r="B39" s="127" t="str">
        <f>CONCATENATE("",E1-2,"/",E1-1," Budget Authority Amount:")</f>
        <v>2011/2012 Budget Authority Amount:</v>
      </c>
      <c r="C39" s="231">
        <f>inputOth!B96</f>
        <v>12029</v>
      </c>
      <c r="D39" s="231">
        <f>inputPrYr!D56</f>
        <v>13674</v>
      </c>
      <c r="E39" s="371" t="str">
        <f>IF(E38&lt;0,"See Tab E","")</f>
        <v/>
      </c>
    </row>
    <row r="40" spans="2:5" ht="15.75">
      <c r="B40" s="127"/>
      <c r="C40" s="269" t="str">
        <f>IF(C37&gt;C39,"See Tab A","")</f>
        <v/>
      </c>
      <c r="D40" s="269" t="str">
        <f>IF(D37&gt;D39,"See Tab C","")</f>
        <v>See Tab C</v>
      </c>
      <c r="E40" s="57"/>
    </row>
    <row r="41" spans="2:5" ht="15.75">
      <c r="B41" s="127"/>
      <c r="C41" s="269" t="str">
        <f>IF(C38&lt;0,"See Tab B","")</f>
        <v/>
      </c>
      <c r="D41" s="269" t="str">
        <f>IF(D38&lt;0,"See Tab D","")</f>
        <v/>
      </c>
      <c r="E41" s="57"/>
    </row>
    <row r="42" spans="2:5">
      <c r="B42" s="57"/>
      <c r="C42" s="57"/>
      <c r="D42" s="57"/>
      <c r="E42" s="57"/>
    </row>
    <row r="43" spans="2:5" ht="15.75">
      <c r="B43" s="160" t="s">
        <v>97</v>
      </c>
      <c r="C43" s="273">
        <v>18</v>
      </c>
      <c r="D43" s="57"/>
      <c r="E43" s="57"/>
    </row>
  </sheetData>
  <phoneticPr fontId="9" type="noConversion"/>
  <conditionalFormatting sqref="E35">
    <cfRule type="cellIs" dxfId="7" priority="5" stopIfTrue="1" operator="greaterThan">
      <formula>$E$37*0.1</formula>
    </cfRule>
  </conditionalFormatting>
  <conditionalFormatting sqref="E38 C38">
    <cfRule type="cellIs" dxfId="6" priority="6" stopIfTrue="1" operator="lessThan">
      <formula>0</formula>
    </cfRule>
  </conditionalFormatting>
  <conditionalFormatting sqref="D35">
    <cfRule type="cellIs" dxfId="5" priority="7" stopIfTrue="1" operator="greaterThan">
      <formula>$D$37*0.1</formula>
    </cfRule>
  </conditionalFormatting>
  <conditionalFormatting sqref="C35">
    <cfRule type="cellIs" dxfId="4" priority="8" stopIfTrue="1" operator="greaterThan">
      <formula>$C$37*0.1</formula>
    </cfRule>
  </conditionalFormatting>
  <conditionalFormatting sqref="D37">
    <cfRule type="cellIs" dxfId="3" priority="9" stopIfTrue="1" operator="greaterThan">
      <formula>$D$39</formula>
    </cfRule>
  </conditionalFormatting>
  <conditionalFormatting sqref="C37">
    <cfRule type="cellIs" dxfId="2" priority="10" stopIfTrue="1" operator="greaterThan">
      <formula>$C$39</formula>
    </cfRule>
  </conditionalFormatting>
  <conditionalFormatting sqref="D38">
    <cfRule type="cellIs" dxfId="1" priority="3" stopIfTrue="1" operator="lessThan">
      <formula>0</formula>
    </cfRule>
  </conditionalFormatting>
  <conditionalFormatting sqref="C19">
    <cfRule type="cellIs" dxfId="0" priority="1" stopIfTrue="1" operator="greaterThan">
      <formula>$C$21*0.1</formula>
    </cfRule>
  </conditionalFormatting>
  <printOptions horizontalCentered="1"/>
  <pageMargins left="0.5" right="0.5" top="0.5" bottom="0.5" header="0.3" footer="0.3"/>
  <pageSetup orientation="portrait" blackAndWhite="1" r:id="rId1"/>
  <headerFooter alignWithMargins="0"/>
</worksheet>
</file>

<file path=xl/worksheets/sheet34.xml><?xml version="1.0" encoding="utf-8"?>
<worksheet xmlns="http://schemas.openxmlformats.org/spreadsheetml/2006/main" xmlns:r="http://schemas.openxmlformats.org/officeDocument/2006/relationships">
  <sheetPr>
    <pageSetUpPr fitToPage="1"/>
  </sheetPr>
  <dimension ref="A1:L35"/>
  <sheetViews>
    <sheetView topLeftCell="G14" zoomScale="145" zoomScaleNormal="145" workbookViewId="0">
      <selection activeCell="Q32" sqref="Q31:Q32"/>
    </sheetView>
  </sheetViews>
  <sheetFormatPr defaultRowHeight="15.75"/>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c r="A1" s="165" t="str">
        <f>inputPrYr!$D$2</f>
        <v>City of Osawatomie</v>
      </c>
      <c r="B1" s="292"/>
      <c r="C1" s="164"/>
      <c r="D1" s="164"/>
      <c r="E1" s="164"/>
      <c r="F1" s="166" t="s">
        <v>224</v>
      </c>
      <c r="G1" s="164"/>
      <c r="H1" s="164"/>
      <c r="I1" s="164"/>
      <c r="J1" s="164"/>
      <c r="K1" s="164">
        <f>inputPrYr!$C$5</f>
        <v>2013</v>
      </c>
    </row>
    <row r="2" spans="1:11">
      <c r="A2" s="164"/>
      <c r="B2" s="164"/>
      <c r="C2" s="164"/>
      <c r="D2" s="164"/>
      <c r="E2" s="164"/>
      <c r="F2" s="293" t="str">
        <f>CONCATENATE("(Only the actual budget year for ",K1-2," is to be shown)")</f>
        <v>(Only the actual budget year for 2011 is to be shown)</v>
      </c>
      <c r="G2" s="164"/>
      <c r="H2" s="164"/>
      <c r="I2" s="164"/>
      <c r="J2" s="164"/>
      <c r="K2" s="164"/>
    </row>
    <row r="3" spans="1:11">
      <c r="A3" s="164" t="s">
        <v>1161</v>
      </c>
      <c r="B3" s="164"/>
      <c r="C3" s="164"/>
      <c r="D3" s="164"/>
      <c r="E3" s="164"/>
      <c r="F3" s="294"/>
      <c r="G3" s="164"/>
      <c r="H3" s="164"/>
      <c r="I3" s="164"/>
      <c r="J3" s="164"/>
      <c r="K3" s="164"/>
    </row>
    <row r="4" spans="1:11">
      <c r="A4" s="164" t="s">
        <v>225</v>
      </c>
      <c r="B4" s="164"/>
      <c r="C4" s="164" t="s">
        <v>226</v>
      </c>
      <c r="D4" s="164"/>
      <c r="E4" s="164" t="s">
        <v>227</v>
      </c>
      <c r="F4" s="292"/>
      <c r="G4" s="164" t="s">
        <v>228</v>
      </c>
      <c r="H4" s="164"/>
      <c r="I4" s="164" t="s">
        <v>229</v>
      </c>
      <c r="J4" s="164"/>
      <c r="K4" s="164"/>
    </row>
    <row r="5" spans="1:11">
      <c r="A5" s="989" t="str">
        <f>IF(inputPrYr!B59&gt;" ",(inputPrYr!B59)," ")</f>
        <v>Capital Projects - General</v>
      </c>
      <c r="B5" s="990"/>
      <c r="C5" s="989" t="str">
        <f>IF(inputPrYr!B60&gt;" ",(inputPrYr!B60)," ")</f>
        <v>Capital Improve. - Street</v>
      </c>
      <c r="D5" s="990"/>
      <c r="E5" s="989" t="str">
        <f>IF(inputPrYr!B61&gt;" ",(inputPrYr!B61)," ")</f>
        <v>Capital Improve. - Sewer</v>
      </c>
      <c r="F5" s="990"/>
      <c r="G5" s="989" t="str">
        <f>IF(inputPrYr!B62&gt;" ",(inputPrYr!B62)," ")</f>
        <v>Capital Improve. - Grants</v>
      </c>
      <c r="H5" s="990"/>
      <c r="I5" s="989" t="str">
        <f>IF(inputPrYr!B63&gt;" ",(inputPrYr!B63)," ")</f>
        <v xml:space="preserve"> </v>
      </c>
      <c r="J5" s="990"/>
      <c r="K5" s="115"/>
    </row>
    <row r="6" spans="1:11">
      <c r="A6" s="296" t="s">
        <v>230</v>
      </c>
      <c r="B6" s="297"/>
      <c r="C6" s="298" t="s">
        <v>230</v>
      </c>
      <c r="D6" s="299"/>
      <c r="E6" s="298" t="s">
        <v>230</v>
      </c>
      <c r="F6" s="295"/>
      <c r="G6" s="298" t="s">
        <v>230</v>
      </c>
      <c r="H6" s="300"/>
      <c r="I6" s="298" t="s">
        <v>230</v>
      </c>
      <c r="J6" s="164"/>
      <c r="K6" s="301" t="s">
        <v>50</v>
      </c>
    </row>
    <row r="7" spans="1:11">
      <c r="A7" s="302" t="s">
        <v>845</v>
      </c>
      <c r="B7" s="303">
        <v>1074.55</v>
      </c>
      <c r="C7" s="304" t="s">
        <v>845</v>
      </c>
      <c r="D7" s="303">
        <v>0</v>
      </c>
      <c r="E7" s="304" t="s">
        <v>845</v>
      </c>
      <c r="F7" s="303">
        <v>0</v>
      </c>
      <c r="G7" s="304" t="s">
        <v>845</v>
      </c>
      <c r="H7" s="303">
        <v>1180.1400000000001</v>
      </c>
      <c r="I7" s="304" t="s">
        <v>845</v>
      </c>
      <c r="J7" s="303"/>
      <c r="K7" s="305">
        <f>SUM(B7+D7+F7+H7+J7)</f>
        <v>2254.69</v>
      </c>
    </row>
    <row r="8" spans="1:11">
      <c r="A8" s="306" t="s">
        <v>201</v>
      </c>
      <c r="B8" s="307"/>
      <c r="C8" s="306" t="s">
        <v>201</v>
      </c>
      <c r="D8" s="308"/>
      <c r="E8" s="306" t="s">
        <v>201</v>
      </c>
      <c r="F8" s="292"/>
      <c r="G8" s="306" t="s">
        <v>201</v>
      </c>
      <c r="H8" s="164"/>
      <c r="I8" s="306" t="s">
        <v>201</v>
      </c>
      <c r="J8" s="164"/>
      <c r="K8" s="292"/>
    </row>
    <row r="9" spans="1:11">
      <c r="A9" s="309" t="s">
        <v>1057</v>
      </c>
      <c r="B9" s="303">
        <v>27500</v>
      </c>
      <c r="C9" s="309" t="s">
        <v>1148</v>
      </c>
      <c r="D9" s="303">
        <v>496945</v>
      </c>
      <c r="E9" s="309"/>
      <c r="F9" s="303"/>
      <c r="G9" s="309" t="s">
        <v>1148</v>
      </c>
      <c r="H9" s="303">
        <v>50432</v>
      </c>
      <c r="I9" s="309"/>
      <c r="J9" s="303"/>
      <c r="K9" s="292"/>
    </row>
    <row r="10" spans="1:11">
      <c r="A10" s="309"/>
      <c r="B10" s="303"/>
      <c r="C10" s="309" t="s">
        <v>1057</v>
      </c>
      <c r="D10" s="303">
        <v>452131.76</v>
      </c>
      <c r="E10" s="309"/>
      <c r="F10" s="303"/>
      <c r="G10" s="309" t="s">
        <v>1149</v>
      </c>
      <c r="H10" s="303">
        <v>20019.900000000001</v>
      </c>
      <c r="I10" s="309"/>
      <c r="J10" s="303"/>
      <c r="K10" s="292"/>
    </row>
    <row r="11" spans="1:11">
      <c r="A11" s="309"/>
      <c r="B11" s="303"/>
      <c r="C11" s="310"/>
      <c r="D11" s="303"/>
      <c r="E11" s="310"/>
      <c r="F11" s="303"/>
      <c r="G11" s="310"/>
      <c r="H11" s="303"/>
      <c r="I11" s="311"/>
      <c r="J11" s="303"/>
      <c r="K11" s="292"/>
    </row>
    <row r="12" spans="1:11">
      <c r="A12" s="309"/>
      <c r="B12" s="303"/>
      <c r="C12" s="309"/>
      <c r="D12" s="303"/>
      <c r="E12" s="312"/>
      <c r="F12" s="303"/>
      <c r="G12" s="312"/>
      <c r="H12" s="303"/>
      <c r="I12" s="312"/>
      <c r="J12" s="303"/>
      <c r="K12" s="292"/>
    </row>
    <row r="13" spans="1:11">
      <c r="A13" s="309"/>
      <c r="B13" s="303"/>
      <c r="C13" s="309"/>
      <c r="D13" s="303"/>
      <c r="E13" s="309"/>
      <c r="F13" s="303"/>
      <c r="G13" s="312"/>
      <c r="H13" s="303"/>
      <c r="I13" s="309"/>
      <c r="J13" s="303"/>
      <c r="K13" s="292"/>
    </row>
    <row r="14" spans="1:11">
      <c r="A14" s="306" t="s">
        <v>87</v>
      </c>
      <c r="B14" s="305">
        <f>SUM(B9:B13)</f>
        <v>27500</v>
      </c>
      <c r="C14" s="306" t="s">
        <v>87</v>
      </c>
      <c r="D14" s="305">
        <f>SUM(D9:D13)</f>
        <v>949076.76</v>
      </c>
      <c r="E14" s="306" t="s">
        <v>87</v>
      </c>
      <c r="F14" s="368">
        <f>SUM(F9:F13)</f>
        <v>0</v>
      </c>
      <c r="G14" s="306" t="s">
        <v>87</v>
      </c>
      <c r="H14" s="305">
        <f>SUM(H9:H13)</f>
        <v>70451.899999999994</v>
      </c>
      <c r="I14" s="306" t="s">
        <v>87</v>
      </c>
      <c r="J14" s="305">
        <f>SUM(J9:J13)</f>
        <v>0</v>
      </c>
      <c r="K14" s="305">
        <f>SUM(B14+D14+F14+H14+J14)</f>
        <v>1047028.66</v>
      </c>
    </row>
    <row r="15" spans="1:11">
      <c r="A15" s="306" t="s">
        <v>88</v>
      </c>
      <c r="B15" s="305">
        <f>SUM(B7+B14)</f>
        <v>28574.55</v>
      </c>
      <c r="C15" s="306" t="s">
        <v>88</v>
      </c>
      <c r="D15" s="305">
        <f>SUM(D7+D14)</f>
        <v>949076.76</v>
      </c>
      <c r="E15" s="306" t="s">
        <v>88</v>
      </c>
      <c r="F15" s="305">
        <f>SUM(F7+F14)</f>
        <v>0</v>
      </c>
      <c r="G15" s="306" t="s">
        <v>88</v>
      </c>
      <c r="H15" s="305">
        <f>SUM(H7+H14)</f>
        <v>71632.039999999994</v>
      </c>
      <c r="I15" s="306" t="s">
        <v>88</v>
      </c>
      <c r="J15" s="305">
        <f>SUM(J7+J14)</f>
        <v>0</v>
      </c>
      <c r="K15" s="305">
        <f>SUM(B15+D15+F15+H15+J15)</f>
        <v>1049283.3500000001</v>
      </c>
    </row>
    <row r="16" spans="1:11">
      <c r="A16" s="306" t="s">
        <v>90</v>
      </c>
      <c r="B16" s="307"/>
      <c r="C16" s="306" t="s">
        <v>90</v>
      </c>
      <c r="D16" s="308"/>
      <c r="E16" s="306" t="s">
        <v>90</v>
      </c>
      <c r="F16" s="292"/>
      <c r="G16" s="306" t="s">
        <v>90</v>
      </c>
      <c r="H16" s="164"/>
      <c r="I16" s="306" t="s">
        <v>90</v>
      </c>
      <c r="J16" s="164"/>
      <c r="K16" s="292"/>
    </row>
    <row r="17" spans="1:12">
      <c r="A17" s="309" t="s">
        <v>1045</v>
      </c>
      <c r="B17" s="303">
        <v>12164.26</v>
      </c>
      <c r="C17" s="312" t="s">
        <v>982</v>
      </c>
      <c r="D17" s="303">
        <v>949076.76</v>
      </c>
      <c r="E17" s="312"/>
      <c r="F17" s="303"/>
      <c r="G17" s="312" t="s">
        <v>1150</v>
      </c>
      <c r="H17" s="303">
        <v>71632.03</v>
      </c>
      <c r="I17" s="312"/>
      <c r="J17" s="303"/>
      <c r="K17" s="292"/>
    </row>
    <row r="18" spans="1:12">
      <c r="A18" s="309" t="s">
        <v>1147</v>
      </c>
      <c r="B18" s="303">
        <v>12620</v>
      </c>
      <c r="C18" s="312"/>
      <c r="D18" s="303"/>
      <c r="E18" s="312"/>
      <c r="F18" s="303"/>
      <c r="G18" s="312"/>
      <c r="H18" s="303"/>
      <c r="I18" s="312"/>
      <c r="J18" s="303"/>
      <c r="K18" s="292"/>
    </row>
    <row r="19" spans="1:12">
      <c r="A19" s="309"/>
      <c r="B19" s="303"/>
      <c r="C19" s="314"/>
      <c r="D19" s="303"/>
      <c r="E19" s="314"/>
      <c r="F19" s="303"/>
      <c r="G19" s="314"/>
      <c r="H19" s="303"/>
      <c r="I19" s="311"/>
      <c r="J19" s="303"/>
      <c r="K19" s="292"/>
    </row>
    <row r="20" spans="1:12">
      <c r="A20" s="309"/>
      <c r="B20" s="303"/>
      <c r="C20" s="312"/>
      <c r="D20" s="303"/>
      <c r="E20" s="312"/>
      <c r="F20" s="303"/>
      <c r="G20" s="312"/>
      <c r="H20" s="303"/>
      <c r="I20" s="312"/>
      <c r="J20" s="303"/>
      <c r="K20" s="292"/>
    </row>
    <row r="21" spans="1:12">
      <c r="A21" s="309"/>
      <c r="B21" s="303"/>
      <c r="C21" s="309"/>
      <c r="D21" s="303"/>
      <c r="E21" s="309"/>
      <c r="F21" s="303"/>
      <c r="G21" s="312"/>
      <c r="H21" s="303"/>
      <c r="I21" s="312"/>
      <c r="J21" s="303"/>
      <c r="K21" s="292"/>
    </row>
    <row r="22" spans="1:12">
      <c r="A22" s="306" t="s">
        <v>94</v>
      </c>
      <c r="B22" s="305">
        <f>SUM(B17:B21)</f>
        <v>24784.260000000002</v>
      </c>
      <c r="C22" s="306" t="s">
        <v>94</v>
      </c>
      <c r="D22" s="305">
        <f>SUM(D17:D21)</f>
        <v>949076.76</v>
      </c>
      <c r="E22" s="306" t="s">
        <v>94</v>
      </c>
      <c r="F22" s="368">
        <f>SUM(F17:F21)</f>
        <v>0</v>
      </c>
      <c r="G22" s="306" t="s">
        <v>94</v>
      </c>
      <c r="H22" s="368">
        <f>SUM(H17:H21)</f>
        <v>71632.03</v>
      </c>
      <c r="I22" s="306" t="s">
        <v>94</v>
      </c>
      <c r="J22" s="305">
        <f>SUM(J17:J21)</f>
        <v>0</v>
      </c>
      <c r="K22" s="305">
        <f>SUM(B22+D22+F22+H22+J22)</f>
        <v>1045493.05</v>
      </c>
    </row>
    <row r="23" spans="1:12">
      <c r="A23" s="306" t="s">
        <v>231</v>
      </c>
      <c r="B23" s="305">
        <f>SUM(B15-B22)</f>
        <v>3790.2899999999972</v>
      </c>
      <c r="C23" s="306" t="s">
        <v>231</v>
      </c>
      <c r="D23" s="305">
        <f>SUM(D15-D22)</f>
        <v>0</v>
      </c>
      <c r="E23" s="306" t="s">
        <v>231</v>
      </c>
      <c r="F23" s="305">
        <f>SUM(F15-F22)</f>
        <v>0</v>
      </c>
      <c r="G23" s="306" t="s">
        <v>231</v>
      </c>
      <c r="H23" s="305">
        <f>SUM(H15-H22)</f>
        <v>9.9999999947613105E-3</v>
      </c>
      <c r="I23" s="306" t="s">
        <v>231</v>
      </c>
      <c r="J23" s="305">
        <f>SUM(J15-J22)</f>
        <v>0</v>
      </c>
      <c r="K23" s="315">
        <f>SUM(B23+D23+F23+H23+J23)</f>
        <v>3790.299999999992</v>
      </c>
      <c r="L23" s="21" t="s">
        <v>305</v>
      </c>
    </row>
    <row r="24" spans="1:12">
      <c r="A24" s="306"/>
      <c r="B24" s="339" t="str">
        <f>IF(B23&lt;0,"See Tab B","")</f>
        <v/>
      </c>
      <c r="C24" s="306"/>
      <c r="D24" s="339" t="str">
        <f>IF(D23&lt;0,"See Tab B","")</f>
        <v/>
      </c>
      <c r="E24" s="306"/>
      <c r="F24" s="339" t="str">
        <f>IF(F23&lt;0,"See Tab B","")</f>
        <v/>
      </c>
      <c r="G24" s="164"/>
      <c r="H24" s="339" t="str">
        <f>IF(H23&lt;0,"See Tab B","")</f>
        <v/>
      </c>
      <c r="I24" s="164"/>
      <c r="J24" s="339" t="str">
        <f>IF(J23&lt;0,"See Tab B","")</f>
        <v/>
      </c>
      <c r="K24" s="315">
        <f>SUM(K7+K14-K22)</f>
        <v>3790.3000000000466</v>
      </c>
      <c r="L24" s="21" t="s">
        <v>305</v>
      </c>
    </row>
    <row r="25" spans="1:12">
      <c r="A25" s="164"/>
      <c r="B25" s="169"/>
      <c r="C25" s="164"/>
      <c r="D25" s="292"/>
      <c r="E25" s="164"/>
      <c r="F25" s="164"/>
      <c r="G25" s="32" t="s">
        <v>307</v>
      </c>
      <c r="H25" s="32"/>
      <c r="I25" s="32"/>
      <c r="J25" s="32"/>
      <c r="K25" s="164"/>
    </row>
    <row r="26" spans="1:12">
      <c r="A26" s="164"/>
      <c r="B26" s="169"/>
      <c r="C26" s="164"/>
      <c r="D26" s="164"/>
      <c r="E26" s="164"/>
      <c r="F26" s="164"/>
      <c r="G26" s="164"/>
      <c r="H26" s="164"/>
      <c r="I26" s="164"/>
      <c r="J26" s="164"/>
      <c r="K26" s="164"/>
    </row>
    <row r="27" spans="1:12">
      <c r="A27" s="164"/>
      <c r="B27" s="169"/>
      <c r="C27" s="164"/>
      <c r="D27" s="164"/>
      <c r="E27" s="178" t="s">
        <v>97</v>
      </c>
      <c r="F27" s="273">
        <v>19</v>
      </c>
      <c r="G27" s="164"/>
      <c r="H27" s="164"/>
      <c r="I27" s="164"/>
      <c r="J27" s="164"/>
      <c r="K27" s="164"/>
    </row>
    <row r="28" spans="1:12">
      <c r="B28" s="316"/>
    </row>
    <row r="29" spans="1:12">
      <c r="B29" s="316"/>
    </row>
    <row r="30" spans="1:12">
      <c r="B30" s="316"/>
    </row>
    <row r="31" spans="1:12">
      <c r="B31" s="316"/>
    </row>
    <row r="32" spans="1:12">
      <c r="B32" s="316"/>
    </row>
    <row r="33" spans="2:2">
      <c r="B33" s="316"/>
    </row>
    <row r="34" spans="2:2">
      <c r="B34" s="316"/>
    </row>
    <row r="35" spans="2:2">
      <c r="B35" s="316"/>
    </row>
  </sheetData>
  <mergeCells count="5">
    <mergeCell ref="I5:J5"/>
    <mergeCell ref="A5:B5"/>
    <mergeCell ref="C5:D5"/>
    <mergeCell ref="E5:F5"/>
    <mergeCell ref="G5:H5"/>
  </mergeCells>
  <phoneticPr fontId="9" type="noConversion"/>
  <printOptions horizontalCentered="1"/>
  <pageMargins left="0.5" right="0.5" top="0.5" bottom="0.5" header="0.3" footer="0.3"/>
  <pageSetup orientation="landscape" blackAndWhite="1"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L35"/>
  <sheetViews>
    <sheetView zoomScaleNormal="100" workbookViewId="0">
      <selection activeCell="O11" sqref="O11"/>
    </sheetView>
  </sheetViews>
  <sheetFormatPr defaultRowHeight="15.75"/>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c r="A1" s="165" t="str">
        <f>inputPrYr!$D$2</f>
        <v>City of Osawatomie</v>
      </c>
      <c r="B1" s="292"/>
      <c r="C1" s="164"/>
      <c r="D1" s="164"/>
      <c r="E1" s="164"/>
      <c r="F1" s="166" t="s">
        <v>232</v>
      </c>
      <c r="G1" s="164"/>
      <c r="H1" s="164"/>
      <c r="I1" s="164"/>
      <c r="J1" s="164"/>
      <c r="K1" s="164">
        <f>inputPrYr!$C$5</f>
        <v>2013</v>
      </c>
    </row>
    <row r="2" spans="1:11">
      <c r="A2" s="164"/>
      <c r="B2" s="164"/>
      <c r="C2" s="164"/>
      <c r="D2" s="164"/>
      <c r="E2" s="164"/>
      <c r="F2" s="293" t="str">
        <f>CONCATENATE("(Only the actual budget year for ",K1-2," is to be shown)")</f>
        <v>(Only the actual budget year for 2011 is to be shown)</v>
      </c>
      <c r="G2" s="164"/>
      <c r="H2" s="164"/>
      <c r="I2" s="164"/>
      <c r="J2" s="164"/>
      <c r="K2" s="164"/>
    </row>
    <row r="3" spans="1:11">
      <c r="A3" s="164" t="s">
        <v>1162</v>
      </c>
      <c r="B3" s="164"/>
      <c r="C3" s="164"/>
      <c r="D3" s="164"/>
      <c r="E3" s="164"/>
      <c r="F3" s="292"/>
      <c r="G3" s="164"/>
      <c r="H3" s="164"/>
      <c r="I3" s="164"/>
      <c r="J3" s="164"/>
      <c r="K3" s="164"/>
    </row>
    <row r="4" spans="1:11">
      <c r="A4" s="164" t="s">
        <v>225</v>
      </c>
      <c r="B4" s="164"/>
      <c r="C4" s="164" t="s">
        <v>226</v>
      </c>
      <c r="D4" s="164"/>
      <c r="E4" s="164" t="s">
        <v>227</v>
      </c>
      <c r="F4" s="292"/>
      <c r="G4" s="164" t="s">
        <v>228</v>
      </c>
      <c r="H4" s="164"/>
      <c r="I4" s="164" t="s">
        <v>229</v>
      </c>
      <c r="J4" s="164"/>
      <c r="K4" s="164"/>
    </row>
    <row r="5" spans="1:11">
      <c r="A5" s="989" t="str">
        <f>IF(inputPrYr!B65&gt;" ",(inputPrYr!B65)," ")</f>
        <v>Fire Insurance Proceeds</v>
      </c>
      <c r="B5" s="990"/>
      <c r="C5" s="989" t="str">
        <f>IF(inputPrYr!B66&gt;" ",(inputPrYr!B66)," ")</f>
        <v>Rural Fire</v>
      </c>
      <c r="D5" s="990"/>
      <c r="E5" s="989" t="str">
        <f>IF(inputPrYr!B67&gt;" ",(inputPrYr!B67)," ")</f>
        <v>Revolving Fund</v>
      </c>
      <c r="F5" s="990"/>
      <c r="G5" s="989" t="str">
        <f>IF(inputPrYr!B68&gt;" ",(inputPrYr!B68)," ")</f>
        <v>Cafeteria 125-HRA</v>
      </c>
      <c r="H5" s="990"/>
      <c r="I5" s="989" t="str">
        <f>IF(inputPrYr!B69&gt;" ",(inputPrYr!B69)," ")</f>
        <v xml:space="preserve"> </v>
      </c>
      <c r="J5" s="990"/>
      <c r="K5" s="115"/>
    </row>
    <row r="6" spans="1:11">
      <c r="A6" s="296" t="s">
        <v>230</v>
      </c>
      <c r="B6" s="297"/>
      <c r="C6" s="298" t="s">
        <v>230</v>
      </c>
      <c r="D6" s="299"/>
      <c r="E6" s="298" t="s">
        <v>230</v>
      </c>
      <c r="F6" s="295"/>
      <c r="G6" s="298" t="s">
        <v>230</v>
      </c>
      <c r="H6" s="300"/>
      <c r="I6" s="298" t="s">
        <v>230</v>
      </c>
      <c r="J6" s="164"/>
      <c r="K6" s="301" t="s">
        <v>50</v>
      </c>
    </row>
    <row r="7" spans="1:11">
      <c r="A7" s="302" t="s">
        <v>845</v>
      </c>
      <c r="B7" s="303">
        <v>0.83999999999650754</v>
      </c>
      <c r="C7" s="304" t="s">
        <v>845</v>
      </c>
      <c r="D7" s="303">
        <v>0</v>
      </c>
      <c r="E7" s="304" t="s">
        <v>845</v>
      </c>
      <c r="F7" s="303">
        <v>72485.5</v>
      </c>
      <c r="G7" s="304" t="s">
        <v>845</v>
      </c>
      <c r="H7" s="303">
        <v>136.87</v>
      </c>
      <c r="I7" s="304" t="s">
        <v>845</v>
      </c>
      <c r="J7" s="303"/>
      <c r="K7" s="305">
        <f>SUM(B7+D7+F7+H7+J7)</f>
        <v>72623.209999999992</v>
      </c>
    </row>
    <row r="8" spans="1:11">
      <c r="A8" s="306" t="s">
        <v>201</v>
      </c>
      <c r="B8" s="307"/>
      <c r="C8" s="306" t="s">
        <v>201</v>
      </c>
      <c r="D8" s="308"/>
      <c r="E8" s="306" t="s">
        <v>201</v>
      </c>
      <c r="F8" s="292"/>
      <c r="G8" s="306" t="s">
        <v>201</v>
      </c>
      <c r="H8" s="164"/>
      <c r="I8" s="306" t="s">
        <v>201</v>
      </c>
      <c r="J8" s="164"/>
      <c r="K8" s="292"/>
    </row>
    <row r="9" spans="1:11">
      <c r="A9" s="309" t="s">
        <v>129</v>
      </c>
      <c r="B9" s="303">
        <v>30.64</v>
      </c>
      <c r="C9" s="309" t="s">
        <v>1007</v>
      </c>
      <c r="D9" s="303">
        <v>45400</v>
      </c>
      <c r="E9" s="309" t="s">
        <v>1080</v>
      </c>
      <c r="F9" s="303">
        <v>184.62</v>
      </c>
      <c r="G9" s="309" t="s">
        <v>1092</v>
      </c>
      <c r="H9" s="303">
        <v>1863.11</v>
      </c>
      <c r="I9" s="313"/>
      <c r="J9" s="303"/>
      <c r="K9" s="292"/>
    </row>
    <row r="10" spans="1:11">
      <c r="A10" s="309" t="s">
        <v>1066</v>
      </c>
      <c r="B10" s="303">
        <v>27857.86</v>
      </c>
      <c r="C10" s="309"/>
      <c r="D10" s="303"/>
      <c r="E10" s="309"/>
      <c r="F10" s="303"/>
      <c r="G10" s="309"/>
      <c r="H10" s="303"/>
      <c r="I10" s="309"/>
      <c r="J10" s="303"/>
      <c r="K10" s="292"/>
    </row>
    <row r="11" spans="1:11">
      <c r="A11" s="309"/>
      <c r="B11" s="303"/>
      <c r="C11" s="312"/>
      <c r="D11" s="303"/>
      <c r="E11" s="312"/>
      <c r="F11" s="303"/>
      <c r="G11" s="312"/>
      <c r="H11" s="303"/>
      <c r="I11" s="312"/>
      <c r="J11" s="303"/>
      <c r="K11" s="292"/>
    </row>
    <row r="12" spans="1:11">
      <c r="A12" s="309"/>
      <c r="B12" s="303"/>
      <c r="C12" s="312"/>
      <c r="D12" s="303"/>
      <c r="E12" s="312"/>
      <c r="F12" s="303"/>
      <c r="G12" s="312"/>
      <c r="H12" s="303"/>
      <c r="I12" s="312"/>
      <c r="J12" s="303"/>
      <c r="K12" s="292"/>
    </row>
    <row r="13" spans="1:11">
      <c r="A13" s="309"/>
      <c r="B13" s="303"/>
      <c r="C13" s="309"/>
      <c r="D13" s="303"/>
      <c r="E13" s="309"/>
      <c r="F13" s="303"/>
      <c r="G13" s="312"/>
      <c r="H13" s="303"/>
      <c r="I13" s="309"/>
      <c r="J13" s="303"/>
      <c r="K13" s="292"/>
    </row>
    <row r="14" spans="1:11">
      <c r="A14" s="306" t="s">
        <v>87</v>
      </c>
      <c r="B14" s="305">
        <f>SUM(B9:B13)</f>
        <v>27888.5</v>
      </c>
      <c r="C14" s="306" t="s">
        <v>87</v>
      </c>
      <c r="D14" s="305">
        <f>SUM(D9:D13)</f>
        <v>45400</v>
      </c>
      <c r="E14" s="306" t="s">
        <v>87</v>
      </c>
      <c r="F14" s="368">
        <f>SUM(F9:F13)</f>
        <v>184.62</v>
      </c>
      <c r="G14" s="306" t="s">
        <v>87</v>
      </c>
      <c r="H14" s="305">
        <f>SUM(H9:H13)</f>
        <v>1863.11</v>
      </c>
      <c r="I14" s="306" t="s">
        <v>87</v>
      </c>
      <c r="J14" s="305">
        <f>SUM(J9:J13)</f>
        <v>0</v>
      </c>
      <c r="K14" s="305">
        <f>SUM(B14+D14+F14+H14+J14)</f>
        <v>75336.23</v>
      </c>
    </row>
    <row r="15" spans="1:11">
      <c r="A15" s="306" t="s">
        <v>88</v>
      </c>
      <c r="B15" s="305">
        <f>SUM(B7+B14)</f>
        <v>27889.339999999997</v>
      </c>
      <c r="C15" s="306" t="s">
        <v>88</v>
      </c>
      <c r="D15" s="305">
        <f>SUM(D7+D14)</f>
        <v>45400</v>
      </c>
      <c r="E15" s="306" t="s">
        <v>88</v>
      </c>
      <c r="F15" s="305">
        <f>SUM(F7+F14)</f>
        <v>72670.12</v>
      </c>
      <c r="G15" s="306" t="s">
        <v>88</v>
      </c>
      <c r="H15" s="305">
        <f>SUM(H7+H14)</f>
        <v>1999.98</v>
      </c>
      <c r="I15" s="306" t="s">
        <v>88</v>
      </c>
      <c r="J15" s="305">
        <f>SUM(J7+J14)</f>
        <v>0</v>
      </c>
      <c r="K15" s="305">
        <f>SUM(B15+D15+F15+H15+J15)</f>
        <v>147959.44</v>
      </c>
    </row>
    <row r="16" spans="1:11">
      <c r="A16" s="306" t="s">
        <v>90</v>
      </c>
      <c r="B16" s="307"/>
      <c r="C16" s="306" t="s">
        <v>90</v>
      </c>
      <c r="D16" s="308"/>
      <c r="E16" s="306" t="s">
        <v>90</v>
      </c>
      <c r="F16" s="292"/>
      <c r="G16" s="306" t="s">
        <v>90</v>
      </c>
      <c r="H16" s="164"/>
      <c r="I16" s="306" t="s">
        <v>90</v>
      </c>
      <c r="J16" s="164"/>
      <c r="K16" s="292"/>
    </row>
    <row r="17" spans="1:12">
      <c r="A17" s="309" t="s">
        <v>1067</v>
      </c>
      <c r="B17" s="303">
        <v>27888.5</v>
      </c>
      <c r="C17" s="309" t="s">
        <v>1157</v>
      </c>
      <c r="D17" s="303">
        <v>42012.880000000005</v>
      </c>
      <c r="E17" s="312"/>
      <c r="F17" s="303"/>
      <c r="G17" s="309" t="s">
        <v>1093</v>
      </c>
      <c r="H17" s="303">
        <v>1862.44</v>
      </c>
      <c r="I17" s="309"/>
      <c r="J17" s="303"/>
      <c r="K17" s="292"/>
    </row>
    <row r="18" spans="1:12">
      <c r="A18" s="309"/>
      <c r="B18" s="303"/>
      <c r="C18" s="312"/>
      <c r="D18" s="303"/>
      <c r="E18" s="312"/>
      <c r="F18" s="303"/>
      <c r="G18" s="312"/>
      <c r="H18" s="303"/>
      <c r="I18" s="312"/>
      <c r="J18" s="303"/>
      <c r="K18" s="292"/>
    </row>
    <row r="19" spans="1:12">
      <c r="A19" s="309"/>
      <c r="B19" s="303"/>
      <c r="C19" s="312"/>
      <c r="D19" s="303"/>
      <c r="E19" s="312"/>
      <c r="F19" s="303"/>
      <c r="G19" s="312"/>
      <c r="H19" s="303"/>
      <c r="I19" s="312"/>
      <c r="J19" s="303"/>
      <c r="K19" s="292"/>
    </row>
    <row r="20" spans="1:12">
      <c r="A20" s="309"/>
      <c r="B20" s="303"/>
      <c r="C20" s="312"/>
      <c r="D20" s="303"/>
      <c r="E20" s="312"/>
      <c r="F20" s="303"/>
      <c r="G20" s="312"/>
      <c r="H20" s="303"/>
      <c r="I20" s="312"/>
      <c r="J20" s="303"/>
      <c r="K20" s="292"/>
    </row>
    <row r="21" spans="1:12">
      <c r="A21" s="309"/>
      <c r="B21" s="303"/>
      <c r="C21" s="309"/>
      <c r="D21" s="303"/>
      <c r="E21" s="309"/>
      <c r="F21" s="303"/>
      <c r="G21" s="312"/>
      <c r="H21" s="303"/>
      <c r="I21" s="312"/>
      <c r="J21" s="303"/>
      <c r="K21" s="292"/>
    </row>
    <row r="22" spans="1:12">
      <c r="A22" s="306" t="s">
        <v>94</v>
      </c>
      <c r="B22" s="305">
        <f>SUM(B17:B21)</f>
        <v>27888.5</v>
      </c>
      <c r="C22" s="306" t="s">
        <v>94</v>
      </c>
      <c r="D22" s="305">
        <f>SUM(D17:D21)</f>
        <v>42012.880000000005</v>
      </c>
      <c r="E22" s="306" t="s">
        <v>94</v>
      </c>
      <c r="F22" s="368">
        <f>SUM(F17:F21)</f>
        <v>0</v>
      </c>
      <c r="G22" s="306" t="s">
        <v>94</v>
      </c>
      <c r="H22" s="368">
        <f>SUM(H17:H21)</f>
        <v>1862.44</v>
      </c>
      <c r="I22" s="306" t="s">
        <v>94</v>
      </c>
      <c r="J22" s="305">
        <f>SUM(J17:J21)</f>
        <v>0</v>
      </c>
      <c r="K22" s="305">
        <f>SUM(B22+D22+F22+H22+J22)</f>
        <v>71763.820000000007</v>
      </c>
    </row>
    <row r="23" spans="1:12">
      <c r="A23" s="306" t="s">
        <v>231</v>
      </c>
      <c r="B23" s="305">
        <f>SUM(B15-B22)</f>
        <v>0.83999999999650754</v>
      </c>
      <c r="C23" s="306" t="s">
        <v>231</v>
      </c>
      <c r="D23" s="305">
        <f>SUM(D15-D22)</f>
        <v>3387.1199999999953</v>
      </c>
      <c r="E23" s="306" t="s">
        <v>231</v>
      </c>
      <c r="F23" s="305">
        <f>SUM(F15-F22)</f>
        <v>72670.12</v>
      </c>
      <c r="G23" s="306" t="s">
        <v>231</v>
      </c>
      <c r="H23" s="305">
        <f>SUM(H15-H22)</f>
        <v>137.53999999999996</v>
      </c>
      <c r="I23" s="306" t="s">
        <v>231</v>
      </c>
      <c r="J23" s="305">
        <f>SUM(J15-J22)</f>
        <v>0</v>
      </c>
      <c r="K23" s="315">
        <f>SUM(B23+D23+F23+H23+J23)</f>
        <v>76195.619999999981</v>
      </c>
      <c r="L23" s="21" t="s">
        <v>305</v>
      </c>
    </row>
    <row r="24" spans="1:12">
      <c r="A24" s="306"/>
      <c r="B24" s="339" t="str">
        <f>IF(B23&lt;0,"See Tab B","")</f>
        <v/>
      </c>
      <c r="C24" s="306"/>
      <c r="D24" s="339" t="str">
        <f>IF(D23&lt;0,"See Tab B","")</f>
        <v/>
      </c>
      <c r="E24" s="306"/>
      <c r="F24" s="339" t="str">
        <f>IF(F23&lt;0,"See Tab B","")</f>
        <v/>
      </c>
      <c r="G24" s="164"/>
      <c r="H24" s="339" t="str">
        <f>IF(H23&lt;0,"See Tab B","")</f>
        <v/>
      </c>
      <c r="I24" s="164"/>
      <c r="J24" s="339" t="str">
        <f>IF(J23&lt;0,"See Tab B","")</f>
        <v/>
      </c>
      <c r="K24" s="315">
        <f>SUM(K7+K14-K22)</f>
        <v>76195.62</v>
      </c>
      <c r="L24" s="21" t="s">
        <v>305</v>
      </c>
    </row>
    <row r="25" spans="1:12">
      <c r="A25" s="164"/>
      <c r="B25" s="169"/>
      <c r="C25" s="164"/>
      <c r="D25" s="292"/>
      <c r="E25" s="164"/>
      <c r="F25" s="164"/>
      <c r="G25" s="32" t="s">
        <v>307</v>
      </c>
      <c r="H25" s="32"/>
      <c r="I25" s="32"/>
      <c r="J25" s="32"/>
      <c r="K25" s="164"/>
    </row>
    <row r="26" spans="1:12">
      <c r="A26" s="164"/>
      <c r="B26" s="169"/>
      <c r="C26" s="164"/>
      <c r="D26" s="164"/>
      <c r="E26" s="164"/>
      <c r="F26" s="164"/>
      <c r="G26" s="164"/>
      <c r="H26" s="164"/>
      <c r="I26" s="164"/>
      <c r="J26" s="164"/>
      <c r="K26" s="164"/>
    </row>
    <row r="27" spans="1:12">
      <c r="A27" s="164"/>
      <c r="B27" s="169"/>
      <c r="C27" s="164"/>
      <c r="D27" s="164"/>
      <c r="E27" s="178" t="s">
        <v>97</v>
      </c>
      <c r="F27" s="273">
        <v>20</v>
      </c>
      <c r="G27" s="164"/>
      <c r="H27" s="164"/>
      <c r="I27" s="164"/>
      <c r="J27" s="164"/>
      <c r="K27" s="164"/>
    </row>
    <row r="28" spans="1:12">
      <c r="B28" s="316"/>
    </row>
    <row r="29" spans="1:12">
      <c r="B29" s="316"/>
    </row>
    <row r="30" spans="1:12">
      <c r="B30" s="316"/>
    </row>
    <row r="31" spans="1:12">
      <c r="B31" s="316"/>
    </row>
    <row r="32" spans="1:12">
      <c r="B32" s="316"/>
    </row>
    <row r="33" spans="2:2">
      <c r="B33" s="316"/>
    </row>
    <row r="34" spans="2:2">
      <c r="B34" s="316"/>
    </row>
    <row r="35" spans="2:2">
      <c r="B35" s="316"/>
    </row>
  </sheetData>
  <mergeCells count="5">
    <mergeCell ref="I5:J5"/>
    <mergeCell ref="A5:B5"/>
    <mergeCell ref="C5:D5"/>
    <mergeCell ref="E5:F5"/>
    <mergeCell ref="G5:H5"/>
  </mergeCells>
  <phoneticPr fontId="9" type="noConversion"/>
  <printOptions horizontalCentered="1"/>
  <pageMargins left="0.5" right="0.5" top="0.5" bottom="0.5" header="0.3" footer="0.3"/>
  <pageSetup orientation="landscape" blackAndWhite="1" r:id="rId1"/>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A1:L35"/>
  <sheetViews>
    <sheetView zoomScaleNormal="100" workbookViewId="0">
      <selection activeCell="O11" sqref="O11"/>
    </sheetView>
  </sheetViews>
  <sheetFormatPr defaultRowHeight="15.75"/>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c r="A1" s="165" t="str">
        <f>inputPrYr!$D$2</f>
        <v>City of Osawatomie</v>
      </c>
      <c r="B1" s="292"/>
      <c r="C1" s="164"/>
      <c r="D1" s="164"/>
      <c r="E1" s="164"/>
      <c r="F1" s="166" t="s">
        <v>233</v>
      </c>
      <c r="G1" s="164"/>
      <c r="H1" s="164"/>
      <c r="I1" s="164"/>
      <c r="J1" s="164"/>
      <c r="K1" s="164">
        <f>inputPrYr!$C$5</f>
        <v>2013</v>
      </c>
    </row>
    <row r="2" spans="1:11">
      <c r="A2" s="164"/>
      <c r="B2" s="164"/>
      <c r="C2" s="164"/>
      <c r="D2" s="164"/>
      <c r="E2" s="164"/>
      <c r="F2" s="293" t="str">
        <f>CONCATENATE("(Only the actual budget year for ",K1-2," is to be shown)")</f>
        <v>(Only the actual budget year for 2011 is to be shown)</v>
      </c>
      <c r="G2" s="164"/>
      <c r="H2" s="164"/>
      <c r="I2" s="164"/>
      <c r="J2" s="164"/>
      <c r="K2" s="164"/>
    </row>
    <row r="3" spans="1:11">
      <c r="A3" s="164" t="s">
        <v>1163</v>
      </c>
      <c r="B3" s="164"/>
      <c r="C3" s="164"/>
      <c r="D3" s="164"/>
      <c r="E3" s="164"/>
      <c r="F3" s="292"/>
      <c r="G3" s="164"/>
      <c r="H3" s="164"/>
      <c r="I3" s="164"/>
      <c r="J3" s="164"/>
      <c r="K3" s="164"/>
    </row>
    <row r="4" spans="1:11">
      <c r="A4" s="164" t="s">
        <v>225</v>
      </c>
      <c r="B4" s="164"/>
      <c r="C4" s="164" t="s">
        <v>226</v>
      </c>
      <c r="D4" s="164"/>
      <c r="E4" s="164" t="s">
        <v>227</v>
      </c>
      <c r="F4" s="292"/>
      <c r="G4" s="164" t="s">
        <v>228</v>
      </c>
      <c r="H4" s="164"/>
      <c r="I4" s="164" t="s">
        <v>229</v>
      </c>
      <c r="J4" s="164"/>
      <c r="K4" s="164"/>
    </row>
    <row r="5" spans="1:11">
      <c r="A5" s="989" t="str">
        <f>IF(inputPrYr!B71&gt;" ",(inputPrYr!B71)," ")</f>
        <v>Court ADSAP</v>
      </c>
      <c r="B5" s="990"/>
      <c r="C5" s="989" t="str">
        <f>IF(inputPrYr!B72&gt;" ",(inputPrYr!B72)," ")</f>
        <v>Court Bonds</v>
      </c>
      <c r="D5" s="990"/>
      <c r="E5" s="989" t="str">
        <f>IF(inputPrYr!B73&gt;" ",(inputPrYr!B73)," ")</f>
        <v>Forfeitures</v>
      </c>
      <c r="F5" s="990"/>
      <c r="G5" s="989" t="str">
        <f>IF(inputPrYr!B74&gt;" ",(inputPrYr!B74)," ")</f>
        <v>Old Stone Church</v>
      </c>
      <c r="H5" s="990"/>
      <c r="I5" s="989" t="str">
        <f>IF(inputPrYr!B75&gt;" ",(inputPrYr!B75)," ")</f>
        <v xml:space="preserve"> </v>
      </c>
      <c r="J5" s="990"/>
      <c r="K5" s="115"/>
    </row>
    <row r="6" spans="1:11">
      <c r="A6" s="296" t="s">
        <v>230</v>
      </c>
      <c r="B6" s="297"/>
      <c r="C6" s="298" t="s">
        <v>230</v>
      </c>
      <c r="D6" s="299"/>
      <c r="E6" s="298" t="s">
        <v>230</v>
      </c>
      <c r="F6" s="295"/>
      <c r="G6" s="298" t="s">
        <v>230</v>
      </c>
      <c r="H6" s="300"/>
      <c r="I6" s="298" t="s">
        <v>230</v>
      </c>
      <c r="J6" s="164"/>
      <c r="K6" s="301" t="s">
        <v>50</v>
      </c>
    </row>
    <row r="7" spans="1:11">
      <c r="A7" s="302" t="s">
        <v>845</v>
      </c>
      <c r="B7" s="303">
        <v>4661</v>
      </c>
      <c r="C7" s="304" t="s">
        <v>845</v>
      </c>
      <c r="D7" s="303">
        <v>4033.86</v>
      </c>
      <c r="E7" s="304" t="s">
        <v>845</v>
      </c>
      <c r="F7" s="303">
        <v>289.08999999999997</v>
      </c>
      <c r="G7" s="304" t="s">
        <v>845</v>
      </c>
      <c r="H7" s="303">
        <v>303.07</v>
      </c>
      <c r="I7" s="304" t="s">
        <v>845</v>
      </c>
      <c r="J7" s="303"/>
      <c r="K7" s="305">
        <f>SUM(B7+D7+F7+H7+J7)</f>
        <v>9287.02</v>
      </c>
    </row>
    <row r="8" spans="1:11">
      <c r="A8" s="306" t="s">
        <v>201</v>
      </c>
      <c r="B8" s="307"/>
      <c r="C8" s="306" t="s">
        <v>201</v>
      </c>
      <c r="D8" s="308"/>
      <c r="E8" s="306" t="s">
        <v>201</v>
      </c>
      <c r="F8" s="292"/>
      <c r="G8" s="306" t="s">
        <v>201</v>
      </c>
      <c r="H8" s="164"/>
      <c r="I8" s="306" t="s">
        <v>201</v>
      </c>
      <c r="J8" s="164"/>
      <c r="K8" s="292"/>
    </row>
    <row r="9" spans="1:11">
      <c r="A9" s="309" t="s">
        <v>1094</v>
      </c>
      <c r="B9" s="303">
        <v>3000</v>
      </c>
      <c r="C9" s="309" t="s">
        <v>1095</v>
      </c>
      <c r="D9" s="303">
        <v>16842.2</v>
      </c>
      <c r="E9" s="309" t="s">
        <v>1097</v>
      </c>
      <c r="F9" s="303">
        <v>0</v>
      </c>
      <c r="G9" s="309" t="s">
        <v>1044</v>
      </c>
      <c r="H9" s="303"/>
      <c r="I9" s="309"/>
      <c r="J9" s="303"/>
      <c r="K9" s="292"/>
    </row>
    <row r="10" spans="1:11">
      <c r="A10" s="309"/>
      <c r="B10" s="303"/>
      <c r="C10" s="309"/>
      <c r="D10" s="303"/>
      <c r="E10" s="309"/>
      <c r="F10" s="303"/>
      <c r="G10" s="309"/>
      <c r="H10" s="303"/>
      <c r="I10" s="309"/>
      <c r="J10" s="303"/>
      <c r="K10" s="292"/>
    </row>
    <row r="11" spans="1:11">
      <c r="A11" s="309"/>
      <c r="B11" s="303"/>
      <c r="C11" s="312"/>
      <c r="D11" s="303"/>
      <c r="E11" s="312"/>
      <c r="F11" s="303"/>
      <c r="G11" s="312"/>
      <c r="H11" s="303"/>
      <c r="I11" s="312"/>
      <c r="J11" s="303"/>
      <c r="K11" s="292"/>
    </row>
    <row r="12" spans="1:11">
      <c r="A12" s="309"/>
      <c r="B12" s="303"/>
      <c r="C12" s="312"/>
      <c r="D12" s="303"/>
      <c r="E12" s="312"/>
      <c r="F12" s="303"/>
      <c r="G12" s="312"/>
      <c r="H12" s="303"/>
      <c r="I12" s="312"/>
      <c r="J12" s="303"/>
      <c r="K12" s="292"/>
    </row>
    <row r="13" spans="1:11">
      <c r="A13" s="309"/>
      <c r="B13" s="303"/>
      <c r="C13" s="309"/>
      <c r="D13" s="303"/>
      <c r="E13" s="309"/>
      <c r="F13" s="303"/>
      <c r="G13" s="312"/>
      <c r="H13" s="303"/>
      <c r="I13" s="309"/>
      <c r="J13" s="303"/>
      <c r="K13" s="292"/>
    </row>
    <row r="14" spans="1:11">
      <c r="A14" s="306" t="s">
        <v>87</v>
      </c>
      <c r="B14" s="305">
        <f>SUM(B9:B13)</f>
        <v>3000</v>
      </c>
      <c r="C14" s="306" t="s">
        <v>87</v>
      </c>
      <c r="D14" s="305">
        <f>SUM(D9:D13)</f>
        <v>16842.2</v>
      </c>
      <c r="E14" s="306" t="s">
        <v>87</v>
      </c>
      <c r="F14" s="368">
        <f>SUM(F9:F13)</f>
        <v>0</v>
      </c>
      <c r="G14" s="306" t="s">
        <v>87</v>
      </c>
      <c r="H14" s="305">
        <f>SUM(H9:H13)</f>
        <v>0</v>
      </c>
      <c r="I14" s="306" t="s">
        <v>87</v>
      </c>
      <c r="J14" s="305">
        <f>SUM(J9:J13)</f>
        <v>0</v>
      </c>
      <c r="K14" s="305">
        <f>SUM(B14+D14+F14+H14+J14)</f>
        <v>19842.2</v>
      </c>
    </row>
    <row r="15" spans="1:11">
      <c r="A15" s="306" t="s">
        <v>88</v>
      </c>
      <c r="B15" s="305">
        <f>SUM(B7+B14)</f>
        <v>7661</v>
      </c>
      <c r="C15" s="306" t="s">
        <v>88</v>
      </c>
      <c r="D15" s="305">
        <f>SUM(D7+D14)</f>
        <v>20876.060000000001</v>
      </c>
      <c r="E15" s="306" t="s">
        <v>88</v>
      </c>
      <c r="F15" s="305">
        <f>SUM(F7+F14)</f>
        <v>289.08999999999997</v>
      </c>
      <c r="G15" s="306" t="s">
        <v>88</v>
      </c>
      <c r="H15" s="305">
        <f>SUM(H7+H14)</f>
        <v>303.07</v>
      </c>
      <c r="I15" s="306" t="s">
        <v>88</v>
      </c>
      <c r="J15" s="305">
        <f>SUM(J7+J14)</f>
        <v>0</v>
      </c>
      <c r="K15" s="305">
        <f>SUM(B15+D15+F15+H15+J15)</f>
        <v>29129.22</v>
      </c>
    </row>
    <row r="16" spans="1:11">
      <c r="A16" s="306" t="s">
        <v>90</v>
      </c>
      <c r="B16" s="307"/>
      <c r="C16" s="306" t="s">
        <v>90</v>
      </c>
      <c r="D16" s="308"/>
      <c r="E16" s="306" t="s">
        <v>90</v>
      </c>
      <c r="F16" s="292"/>
      <c r="G16" s="306" t="s">
        <v>90</v>
      </c>
      <c r="H16" s="164"/>
      <c r="I16" s="306" t="s">
        <v>90</v>
      </c>
      <c r="J16" s="164"/>
      <c r="K16" s="292"/>
    </row>
    <row r="17" spans="1:12">
      <c r="A17" s="309" t="s">
        <v>1093</v>
      </c>
      <c r="B17" s="303">
        <v>2660</v>
      </c>
      <c r="C17" s="309" t="s">
        <v>1096</v>
      </c>
      <c r="D17" s="303">
        <v>15217.52</v>
      </c>
      <c r="E17" s="312" t="s">
        <v>1098</v>
      </c>
      <c r="F17" s="303">
        <v>270</v>
      </c>
      <c r="G17" s="312" t="s">
        <v>1099</v>
      </c>
      <c r="H17" s="303">
        <v>289.97000000000003</v>
      </c>
      <c r="I17" s="312"/>
      <c r="J17" s="303"/>
      <c r="K17" s="292"/>
    </row>
    <row r="18" spans="1:12">
      <c r="A18" s="309"/>
      <c r="B18" s="303"/>
      <c r="C18" s="312"/>
      <c r="D18" s="303"/>
      <c r="E18" s="312"/>
      <c r="F18" s="303"/>
      <c r="G18" s="312"/>
      <c r="H18" s="303"/>
      <c r="I18" s="312"/>
      <c r="J18" s="303"/>
      <c r="K18" s="292"/>
    </row>
    <row r="19" spans="1:12">
      <c r="A19" s="309"/>
      <c r="B19" s="303"/>
      <c r="C19" s="314"/>
      <c r="D19" s="303"/>
      <c r="E19" s="314"/>
      <c r="F19" s="303"/>
      <c r="G19" s="314"/>
      <c r="H19" s="303"/>
      <c r="I19" s="311"/>
      <c r="J19" s="303"/>
      <c r="K19" s="292"/>
    </row>
    <row r="20" spans="1:12">
      <c r="A20" s="309"/>
      <c r="B20" s="303"/>
      <c r="C20" s="312"/>
      <c r="D20" s="303"/>
      <c r="E20" s="312"/>
      <c r="F20" s="303"/>
      <c r="G20" s="312"/>
      <c r="H20" s="303"/>
      <c r="I20" s="312"/>
      <c r="J20" s="303"/>
      <c r="K20" s="292"/>
    </row>
    <row r="21" spans="1:12">
      <c r="A21" s="309"/>
      <c r="B21" s="303"/>
      <c r="C21" s="309"/>
      <c r="D21" s="303"/>
      <c r="E21" s="309"/>
      <c r="F21" s="303"/>
      <c r="G21" s="312"/>
      <c r="H21" s="303"/>
      <c r="I21" s="312"/>
      <c r="J21" s="303"/>
      <c r="K21" s="292"/>
    </row>
    <row r="22" spans="1:12">
      <c r="A22" s="306" t="s">
        <v>94</v>
      </c>
      <c r="B22" s="305">
        <f>SUM(B17:B21)</f>
        <v>2660</v>
      </c>
      <c r="C22" s="306" t="s">
        <v>94</v>
      </c>
      <c r="D22" s="305">
        <f>SUM(D17:D21)</f>
        <v>15217.52</v>
      </c>
      <c r="E22" s="306" t="s">
        <v>94</v>
      </c>
      <c r="F22" s="368">
        <f>SUM(F17:F21)</f>
        <v>270</v>
      </c>
      <c r="G22" s="306" t="s">
        <v>94</v>
      </c>
      <c r="H22" s="368">
        <f>SUM(H17:H21)</f>
        <v>289.97000000000003</v>
      </c>
      <c r="I22" s="306" t="s">
        <v>94</v>
      </c>
      <c r="J22" s="305">
        <f>SUM(J17:J21)</f>
        <v>0</v>
      </c>
      <c r="K22" s="305">
        <f>SUM(B22+D22+F22+H22+J22)</f>
        <v>18437.490000000002</v>
      </c>
    </row>
    <row r="23" spans="1:12">
      <c r="A23" s="306" t="s">
        <v>231</v>
      </c>
      <c r="B23" s="305">
        <f>SUM(B15-B22)</f>
        <v>5001</v>
      </c>
      <c r="C23" s="306" t="s">
        <v>231</v>
      </c>
      <c r="D23" s="305">
        <f>SUM(D15-D22)</f>
        <v>5658.5400000000009</v>
      </c>
      <c r="E23" s="306" t="s">
        <v>231</v>
      </c>
      <c r="F23" s="305">
        <f>SUM(F15-F22)</f>
        <v>19.089999999999975</v>
      </c>
      <c r="G23" s="306" t="s">
        <v>231</v>
      </c>
      <c r="H23" s="305">
        <f>SUM(H15-H22)</f>
        <v>13.099999999999966</v>
      </c>
      <c r="I23" s="306" t="s">
        <v>231</v>
      </c>
      <c r="J23" s="305">
        <f>SUM(J15-J22)</f>
        <v>0</v>
      </c>
      <c r="K23" s="315">
        <f>SUM(B23+D23+F23+H23+J23)</f>
        <v>10691.730000000001</v>
      </c>
      <c r="L23" s="21" t="s">
        <v>305</v>
      </c>
    </row>
    <row r="24" spans="1:12">
      <c r="A24" s="306"/>
      <c r="B24" s="339" t="str">
        <f>IF(B23&lt;0,"See Tab B","")</f>
        <v/>
      </c>
      <c r="C24" s="306"/>
      <c r="D24" s="339" t="str">
        <f>IF(D23&lt;0,"See Tab B","")</f>
        <v/>
      </c>
      <c r="E24" s="306"/>
      <c r="F24" s="339" t="str">
        <f>IF(F23&lt;0,"See Tab B","")</f>
        <v/>
      </c>
      <c r="G24" s="164"/>
      <c r="H24" s="339" t="str">
        <f>IF(H23&lt;0,"See Tab B","")</f>
        <v/>
      </c>
      <c r="I24" s="164"/>
      <c r="J24" s="339" t="str">
        <f>IF(J23&lt;0,"See Tab B","")</f>
        <v/>
      </c>
      <c r="K24" s="315">
        <f>SUM(K7+K14-K22)</f>
        <v>10691.73</v>
      </c>
      <c r="L24" s="21" t="s">
        <v>305</v>
      </c>
    </row>
    <row r="25" spans="1:12">
      <c r="A25" s="164"/>
      <c r="B25" s="169"/>
      <c r="C25" s="164"/>
      <c r="D25" s="292"/>
      <c r="E25" s="164"/>
      <c r="F25" s="164"/>
      <c r="G25" s="32" t="s">
        <v>307</v>
      </c>
      <c r="H25" s="32"/>
      <c r="I25" s="32"/>
      <c r="J25" s="32"/>
      <c r="K25" s="164"/>
    </row>
    <row r="26" spans="1:12">
      <c r="A26" s="164"/>
      <c r="B26" s="169"/>
      <c r="C26" s="164"/>
      <c r="D26" s="164"/>
      <c r="E26" s="164"/>
      <c r="F26" s="164"/>
      <c r="G26" s="317"/>
      <c r="H26" s="164"/>
      <c r="I26" s="164"/>
      <c r="J26" s="164"/>
      <c r="K26" s="164"/>
    </row>
    <row r="27" spans="1:12">
      <c r="A27" s="164"/>
      <c r="B27" s="169"/>
      <c r="C27" s="164"/>
      <c r="D27" s="164"/>
      <c r="E27" s="178" t="s">
        <v>97</v>
      </c>
      <c r="F27" s="273">
        <v>21</v>
      </c>
      <c r="G27" s="164"/>
      <c r="H27" s="164"/>
      <c r="I27" s="164"/>
      <c r="J27" s="164"/>
      <c r="K27" s="164"/>
    </row>
    <row r="28" spans="1:12">
      <c r="B28" s="316"/>
    </row>
    <row r="29" spans="1:12">
      <c r="B29" s="316"/>
    </row>
    <row r="30" spans="1:12">
      <c r="B30" s="316"/>
    </row>
    <row r="31" spans="1:12">
      <c r="B31" s="316"/>
    </row>
    <row r="32" spans="1:12">
      <c r="B32" s="316"/>
    </row>
    <row r="33" spans="2:2">
      <c r="B33" s="316"/>
    </row>
    <row r="34" spans="2:2">
      <c r="B34" s="316"/>
    </row>
    <row r="35" spans="2:2">
      <c r="B35" s="316"/>
    </row>
  </sheetData>
  <mergeCells count="5">
    <mergeCell ref="I5:J5"/>
    <mergeCell ref="A5:B5"/>
    <mergeCell ref="C5:D5"/>
    <mergeCell ref="E5:F5"/>
    <mergeCell ref="G5:H5"/>
  </mergeCells>
  <phoneticPr fontId="9" type="noConversion"/>
  <printOptions horizontalCentered="1"/>
  <pageMargins left="0.5" right="0.5" top="0.5" bottom="0.5" header="0.3" footer="0.3"/>
  <pageSetup orientation="landscape" blackAndWhite="1" r:id="rId1"/>
  <headerFooter alignWithMargins="0"/>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workbookViewId="0">
      <selection activeCell="A56" sqref="A56"/>
    </sheetView>
  </sheetViews>
  <sheetFormatPr defaultRowHeight="15.75"/>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c r="A1" s="165" t="str">
        <f>inputPrYr!$D$2</f>
        <v>City of Osawatomie</v>
      </c>
      <c r="B1" s="292"/>
      <c r="C1" s="164"/>
      <c r="D1" s="164"/>
      <c r="E1" s="164"/>
      <c r="F1" s="166" t="s">
        <v>234</v>
      </c>
      <c r="G1" s="164"/>
      <c r="H1" s="164"/>
      <c r="I1" s="164"/>
      <c r="J1" s="164"/>
      <c r="K1" s="164">
        <f>inputPrYr!$C$5</f>
        <v>2013</v>
      </c>
    </row>
    <row r="2" spans="1:11">
      <c r="A2" s="164"/>
      <c r="B2" s="164"/>
      <c r="C2" s="164"/>
      <c r="D2" s="164"/>
      <c r="E2" s="164"/>
      <c r="F2" s="293" t="str">
        <f>CONCATENATE("(Only the actual budget year for ",K1-2," is to be shown)")</f>
        <v>(Only the actual budget year for 2011 is to be shown)</v>
      </c>
      <c r="G2" s="164"/>
      <c r="H2" s="164"/>
      <c r="I2" s="164"/>
      <c r="J2" s="164"/>
      <c r="K2" s="164"/>
    </row>
    <row r="3" spans="1:11">
      <c r="A3" s="164" t="s">
        <v>268</v>
      </c>
      <c r="B3" s="164"/>
      <c r="C3" s="164"/>
      <c r="D3" s="164"/>
      <c r="E3" s="164"/>
      <c r="F3" s="292"/>
      <c r="G3" s="164"/>
      <c r="H3" s="164"/>
      <c r="I3" s="164"/>
      <c r="J3" s="164"/>
      <c r="K3" s="164"/>
    </row>
    <row r="4" spans="1:11">
      <c r="A4" s="164" t="s">
        <v>225</v>
      </c>
      <c r="B4" s="164"/>
      <c r="C4" s="164" t="s">
        <v>226</v>
      </c>
      <c r="D4" s="164"/>
      <c r="E4" s="164" t="s">
        <v>227</v>
      </c>
      <c r="F4" s="292"/>
      <c r="G4" s="164" t="s">
        <v>228</v>
      </c>
      <c r="H4" s="164"/>
      <c r="I4" s="164" t="s">
        <v>229</v>
      </c>
      <c r="J4" s="164"/>
      <c r="K4" s="164"/>
    </row>
    <row r="5" spans="1:11">
      <c r="A5" s="989" t="str">
        <f>IF(inputPrYr!B77&gt;" ",(inputPrYr!B77)," ")</f>
        <v xml:space="preserve"> </v>
      </c>
      <c r="B5" s="990"/>
      <c r="C5" s="989" t="str">
        <f>IF(inputPrYr!B78&gt;" ",(inputPrYr!B78)," ")</f>
        <v xml:space="preserve"> </v>
      </c>
      <c r="D5" s="990"/>
      <c r="E5" s="989" t="str">
        <f>IF(inputPrYr!B79&gt;" ",(inputPrYr!B79)," ")</f>
        <v xml:space="preserve"> </v>
      </c>
      <c r="F5" s="990"/>
      <c r="G5" s="989" t="str">
        <f>IF(inputPrYr!B80&gt;" ",(inputPrYr!B80)," ")</f>
        <v xml:space="preserve"> </v>
      </c>
      <c r="H5" s="990"/>
      <c r="I5" s="989" t="str">
        <f>IF(inputPrYr!B81&gt;" ",(inputPrYr!B81)," ")</f>
        <v xml:space="preserve"> </v>
      </c>
      <c r="J5" s="990"/>
      <c r="K5" s="115"/>
    </row>
    <row r="6" spans="1:11">
      <c r="A6" s="296" t="s">
        <v>230</v>
      </c>
      <c r="B6" s="297"/>
      <c r="C6" s="298" t="s">
        <v>230</v>
      </c>
      <c r="D6" s="299"/>
      <c r="E6" s="298" t="s">
        <v>230</v>
      </c>
      <c r="F6" s="295"/>
      <c r="G6" s="298" t="s">
        <v>230</v>
      </c>
      <c r="H6" s="300"/>
      <c r="I6" s="298" t="s">
        <v>230</v>
      </c>
      <c r="J6" s="164"/>
      <c r="K6" s="301" t="s">
        <v>50</v>
      </c>
    </row>
    <row r="7" spans="1:11">
      <c r="A7" s="302" t="s">
        <v>845</v>
      </c>
      <c r="B7" s="303"/>
      <c r="C7" s="304" t="s">
        <v>845</v>
      </c>
      <c r="D7" s="303"/>
      <c r="E7" s="304" t="s">
        <v>845</v>
      </c>
      <c r="F7" s="303"/>
      <c r="G7" s="304" t="s">
        <v>845</v>
      </c>
      <c r="H7" s="303"/>
      <c r="I7" s="304" t="s">
        <v>845</v>
      </c>
      <c r="J7" s="303"/>
      <c r="K7" s="305">
        <f>SUM(B7+D7+F7+H7+J7)</f>
        <v>0</v>
      </c>
    </row>
    <row r="8" spans="1:11">
      <c r="A8" s="306" t="s">
        <v>201</v>
      </c>
      <c r="B8" s="307"/>
      <c r="C8" s="306" t="s">
        <v>201</v>
      </c>
      <c r="D8" s="308"/>
      <c r="E8" s="306" t="s">
        <v>201</v>
      </c>
      <c r="F8" s="292"/>
      <c r="G8" s="306" t="s">
        <v>201</v>
      </c>
      <c r="H8" s="164"/>
      <c r="I8" s="306" t="s">
        <v>201</v>
      </c>
      <c r="J8" s="164"/>
      <c r="K8" s="292"/>
    </row>
    <row r="9" spans="1:11">
      <c r="A9" s="309"/>
      <c r="B9" s="303"/>
      <c r="C9" s="309"/>
      <c r="D9" s="303"/>
      <c r="E9" s="309"/>
      <c r="F9" s="303"/>
      <c r="G9" s="309"/>
      <c r="H9" s="303"/>
      <c r="I9" s="309"/>
      <c r="J9" s="303"/>
      <c r="K9" s="292"/>
    </row>
    <row r="10" spans="1:11">
      <c r="A10" s="309"/>
      <c r="B10" s="303"/>
      <c r="C10" s="309"/>
      <c r="D10" s="303"/>
      <c r="E10" s="309"/>
      <c r="F10" s="303"/>
      <c r="G10" s="309"/>
      <c r="H10" s="303"/>
      <c r="I10" s="309"/>
      <c r="J10" s="303"/>
      <c r="K10" s="292"/>
    </row>
    <row r="11" spans="1:11">
      <c r="A11" s="309"/>
      <c r="B11" s="303"/>
      <c r="C11" s="310"/>
      <c r="D11" s="303"/>
      <c r="E11" s="310"/>
      <c r="F11" s="303"/>
      <c r="G11" s="310"/>
      <c r="H11" s="303"/>
      <c r="I11" s="311"/>
      <c r="J11" s="303"/>
      <c r="K11" s="292"/>
    </row>
    <row r="12" spans="1:11">
      <c r="A12" s="309"/>
      <c r="B12" s="303"/>
      <c r="C12" s="309"/>
      <c r="D12" s="303"/>
      <c r="E12" s="312"/>
      <c r="F12" s="303"/>
      <c r="G12" s="312"/>
      <c r="H12" s="303"/>
      <c r="I12" s="312"/>
      <c r="J12" s="303"/>
      <c r="K12" s="292"/>
    </row>
    <row r="13" spans="1:11">
      <c r="A13" s="313"/>
      <c r="B13" s="303"/>
      <c r="C13" s="314"/>
      <c r="D13" s="303"/>
      <c r="E13" s="314"/>
      <c r="F13" s="303"/>
      <c r="G13" s="314"/>
      <c r="H13" s="303"/>
      <c r="I13" s="311"/>
      <c r="J13" s="303"/>
      <c r="K13" s="292"/>
    </row>
    <row r="14" spans="1:11">
      <c r="A14" s="309"/>
      <c r="B14" s="303"/>
      <c r="C14" s="312"/>
      <c r="D14" s="303"/>
      <c r="E14" s="312"/>
      <c r="F14" s="303"/>
      <c r="G14" s="312"/>
      <c r="H14" s="303"/>
      <c r="I14" s="312"/>
      <c r="J14" s="303"/>
      <c r="K14" s="292"/>
    </row>
    <row r="15" spans="1:11">
      <c r="A15" s="309"/>
      <c r="B15" s="303"/>
      <c r="C15" s="312"/>
      <c r="D15" s="303"/>
      <c r="E15" s="312"/>
      <c r="F15" s="303"/>
      <c r="G15" s="312"/>
      <c r="H15" s="303"/>
      <c r="I15" s="312"/>
      <c r="J15" s="303"/>
      <c r="K15" s="292"/>
    </row>
    <row r="16" spans="1:11">
      <c r="A16" s="309"/>
      <c r="B16" s="303"/>
      <c r="C16" s="309"/>
      <c r="D16" s="303"/>
      <c r="E16" s="309"/>
      <c r="F16" s="303"/>
      <c r="G16" s="312"/>
      <c r="H16" s="303"/>
      <c r="I16" s="309"/>
      <c r="J16" s="303"/>
      <c r="K16" s="292"/>
    </row>
    <row r="17" spans="1:12">
      <c r="A17" s="306" t="s">
        <v>87</v>
      </c>
      <c r="B17" s="305">
        <f>SUM(B9:B16)</f>
        <v>0</v>
      </c>
      <c r="C17" s="306" t="s">
        <v>87</v>
      </c>
      <c r="D17" s="305">
        <f>SUM(D9:D16)</f>
        <v>0</v>
      </c>
      <c r="E17" s="306" t="s">
        <v>87</v>
      </c>
      <c r="F17" s="368">
        <f>SUM(F9:F16)</f>
        <v>0</v>
      </c>
      <c r="G17" s="306" t="s">
        <v>87</v>
      </c>
      <c r="H17" s="305">
        <f>SUM(H9:H16)</f>
        <v>0</v>
      </c>
      <c r="I17" s="306" t="s">
        <v>87</v>
      </c>
      <c r="J17" s="305">
        <f>SUM(J9:J16)</f>
        <v>0</v>
      </c>
      <c r="K17" s="305">
        <f>SUM(B17+D17+F17+H17+J17)</f>
        <v>0</v>
      </c>
    </row>
    <row r="18" spans="1:12">
      <c r="A18" s="306" t="s">
        <v>88</v>
      </c>
      <c r="B18" s="305">
        <f>SUM(B7+B17)</f>
        <v>0</v>
      </c>
      <c r="C18" s="306" t="s">
        <v>88</v>
      </c>
      <c r="D18" s="305">
        <f>SUM(D7+D17)</f>
        <v>0</v>
      </c>
      <c r="E18" s="306" t="s">
        <v>88</v>
      </c>
      <c r="F18" s="305">
        <f>SUM(F7+F17)</f>
        <v>0</v>
      </c>
      <c r="G18" s="306" t="s">
        <v>88</v>
      </c>
      <c r="H18" s="305">
        <f>SUM(H7+H17)</f>
        <v>0</v>
      </c>
      <c r="I18" s="306" t="s">
        <v>88</v>
      </c>
      <c r="J18" s="305">
        <f>SUM(J7+J17)</f>
        <v>0</v>
      </c>
      <c r="K18" s="305">
        <f>SUM(B18+D18+F18+H18+J18)</f>
        <v>0</v>
      </c>
    </row>
    <row r="19" spans="1:12">
      <c r="A19" s="306" t="s">
        <v>90</v>
      </c>
      <c r="B19" s="307"/>
      <c r="C19" s="306" t="s">
        <v>90</v>
      </c>
      <c r="D19" s="308"/>
      <c r="E19" s="306" t="s">
        <v>90</v>
      </c>
      <c r="F19" s="292"/>
      <c r="G19" s="306" t="s">
        <v>90</v>
      </c>
      <c r="H19" s="164"/>
      <c r="I19" s="306" t="s">
        <v>90</v>
      </c>
      <c r="J19" s="164"/>
      <c r="K19" s="292"/>
    </row>
    <row r="20" spans="1:12">
      <c r="A20" s="309"/>
      <c r="B20" s="303"/>
      <c r="C20" s="312"/>
      <c r="D20" s="303"/>
      <c r="E20" s="312"/>
      <c r="F20" s="303"/>
      <c r="G20" s="312"/>
      <c r="H20" s="303"/>
      <c r="I20" s="312"/>
      <c r="J20" s="303"/>
      <c r="K20" s="292"/>
    </row>
    <row r="21" spans="1:12">
      <c r="A21" s="309"/>
      <c r="B21" s="303"/>
      <c r="C21" s="312"/>
      <c r="D21" s="303"/>
      <c r="E21" s="312"/>
      <c r="F21" s="303"/>
      <c r="G21" s="312"/>
      <c r="H21" s="303"/>
      <c r="I21" s="312"/>
      <c r="J21" s="303"/>
      <c r="K21" s="292"/>
    </row>
    <row r="22" spans="1:12">
      <c r="A22" s="309"/>
      <c r="B22" s="303"/>
      <c r="C22" s="314"/>
      <c r="D22" s="303"/>
      <c r="E22" s="314"/>
      <c r="F22" s="303"/>
      <c r="G22" s="314"/>
      <c r="H22" s="303"/>
      <c r="I22" s="311"/>
      <c r="J22" s="303"/>
      <c r="K22" s="292"/>
    </row>
    <row r="23" spans="1:12">
      <c r="A23" s="309"/>
      <c r="B23" s="303"/>
      <c r="C23" s="312"/>
      <c r="D23" s="303"/>
      <c r="E23" s="312"/>
      <c r="F23" s="303"/>
      <c r="G23" s="312"/>
      <c r="H23" s="303"/>
      <c r="I23" s="312"/>
      <c r="J23" s="303"/>
      <c r="K23" s="292"/>
    </row>
    <row r="24" spans="1:12">
      <c r="A24" s="309"/>
      <c r="B24" s="303"/>
      <c r="C24" s="314"/>
      <c r="D24" s="303"/>
      <c r="E24" s="314"/>
      <c r="F24" s="303"/>
      <c r="G24" s="314"/>
      <c r="H24" s="303"/>
      <c r="I24" s="311"/>
      <c r="J24" s="303"/>
      <c r="K24" s="292"/>
    </row>
    <row r="25" spans="1:12">
      <c r="A25" s="309"/>
      <c r="B25" s="303"/>
      <c r="C25" s="312"/>
      <c r="D25" s="303"/>
      <c r="E25" s="312"/>
      <c r="F25" s="303"/>
      <c r="G25" s="312"/>
      <c r="H25" s="303"/>
      <c r="I25" s="312"/>
      <c r="J25" s="303"/>
      <c r="K25" s="292"/>
    </row>
    <row r="26" spans="1:12">
      <c r="A26" s="309"/>
      <c r="B26" s="303"/>
      <c r="C26" s="312"/>
      <c r="D26" s="303"/>
      <c r="E26" s="312"/>
      <c r="F26" s="303"/>
      <c r="G26" s="312"/>
      <c r="H26" s="303"/>
      <c r="I26" s="312"/>
      <c r="J26" s="303"/>
      <c r="K26" s="292"/>
    </row>
    <row r="27" spans="1:12">
      <c r="A27" s="309"/>
      <c r="B27" s="303"/>
      <c r="C27" s="309"/>
      <c r="D27" s="303"/>
      <c r="E27" s="309"/>
      <c r="F27" s="303"/>
      <c r="G27" s="312"/>
      <c r="H27" s="303"/>
      <c r="I27" s="312"/>
      <c r="J27" s="303"/>
      <c r="K27" s="292"/>
    </row>
    <row r="28" spans="1:12">
      <c r="A28" s="306" t="s">
        <v>94</v>
      </c>
      <c r="B28" s="305">
        <f>SUM(B20:B27)</f>
        <v>0</v>
      </c>
      <c r="C28" s="306" t="s">
        <v>94</v>
      </c>
      <c r="D28" s="305">
        <f>SUM(D20:D27)</f>
        <v>0</v>
      </c>
      <c r="E28" s="306" t="s">
        <v>94</v>
      </c>
      <c r="F28" s="368">
        <f>SUM(F20:F27)</f>
        <v>0</v>
      </c>
      <c r="G28" s="306" t="s">
        <v>94</v>
      </c>
      <c r="H28" s="368">
        <f>SUM(H20:H27)</f>
        <v>0</v>
      </c>
      <c r="I28" s="306" t="s">
        <v>94</v>
      </c>
      <c r="J28" s="305">
        <f>SUM(J20:J27)</f>
        <v>0</v>
      </c>
      <c r="K28" s="305">
        <f>SUM(B28+D28+F28+H28+J28)</f>
        <v>0</v>
      </c>
    </row>
    <row r="29" spans="1:12">
      <c r="A29" s="306" t="s">
        <v>231</v>
      </c>
      <c r="B29" s="305">
        <f>SUM(B18-B28)</f>
        <v>0</v>
      </c>
      <c r="C29" s="306" t="s">
        <v>231</v>
      </c>
      <c r="D29" s="305">
        <f>SUM(D18-D28)</f>
        <v>0</v>
      </c>
      <c r="E29" s="306" t="s">
        <v>231</v>
      </c>
      <c r="F29" s="305">
        <f>SUM(F18-F28)</f>
        <v>0</v>
      </c>
      <c r="G29" s="306" t="s">
        <v>231</v>
      </c>
      <c r="H29" s="305">
        <f>SUM(H18-H28)</f>
        <v>0</v>
      </c>
      <c r="I29" s="306" t="s">
        <v>231</v>
      </c>
      <c r="J29" s="305">
        <f>SUM(J18-J28)</f>
        <v>0</v>
      </c>
      <c r="K29" s="315">
        <f>SUM(B29+D29+F29+H29+J29)</f>
        <v>0</v>
      </c>
      <c r="L29" s="21" t="s">
        <v>305</v>
      </c>
    </row>
    <row r="30" spans="1:12">
      <c r="A30" s="306"/>
      <c r="B30" s="339" t="str">
        <f>IF(B29&lt;0,"See Tab B","")</f>
        <v/>
      </c>
      <c r="C30" s="306"/>
      <c r="D30" s="339" t="str">
        <f>IF(D29&lt;0,"See Tab B","")</f>
        <v/>
      </c>
      <c r="E30" s="306"/>
      <c r="F30" s="339" t="str">
        <f>IF(F29&lt;0,"See Tab B","")</f>
        <v/>
      </c>
      <c r="G30" s="164"/>
      <c r="H30" s="339" t="str">
        <f>IF(H29&lt;0,"See Tab B","")</f>
        <v/>
      </c>
      <c r="I30" s="164"/>
      <c r="J30" s="339" t="str">
        <f>IF(J29&lt;0,"See Tab B","")</f>
        <v/>
      </c>
      <c r="K30" s="315">
        <f>SUM(K7+K17-K28)</f>
        <v>0</v>
      </c>
      <c r="L30" s="21" t="s">
        <v>305</v>
      </c>
    </row>
    <row r="31" spans="1:12">
      <c r="A31" s="164"/>
      <c r="B31" s="169"/>
      <c r="C31" s="164"/>
      <c r="D31" s="292"/>
      <c r="E31" s="164"/>
      <c r="F31" s="164"/>
      <c r="G31" s="32" t="s">
        <v>306</v>
      </c>
      <c r="H31" s="32"/>
      <c r="I31" s="32"/>
      <c r="J31" s="32"/>
      <c r="K31" s="164"/>
    </row>
    <row r="32" spans="1:12">
      <c r="A32" s="164"/>
      <c r="B32" s="169"/>
      <c r="C32" s="164"/>
      <c r="D32" s="164"/>
      <c r="E32" s="164"/>
      <c r="F32" s="164"/>
      <c r="G32" s="164"/>
      <c r="H32" s="164"/>
      <c r="I32" s="164"/>
      <c r="J32" s="164"/>
      <c r="K32" s="164"/>
    </row>
    <row r="33" spans="1:11">
      <c r="A33" s="164"/>
      <c r="B33" s="169"/>
      <c r="C33" s="164"/>
      <c r="D33" s="164"/>
      <c r="E33" s="178" t="s">
        <v>97</v>
      </c>
      <c r="F33" s="273"/>
      <c r="G33" s="164"/>
      <c r="H33" s="164"/>
      <c r="I33" s="164"/>
      <c r="J33" s="164"/>
      <c r="K33" s="164"/>
    </row>
    <row r="34" spans="1:11">
      <c r="B34" s="316"/>
    </row>
    <row r="35" spans="1:11">
      <c r="B35" s="316"/>
    </row>
    <row r="36" spans="1:11">
      <c r="B36" s="316"/>
    </row>
    <row r="37" spans="1:11">
      <c r="B37" s="316"/>
    </row>
    <row r="38" spans="1:11">
      <c r="B38" s="316"/>
    </row>
    <row r="39" spans="1:11">
      <c r="B39" s="316"/>
    </row>
    <row r="40" spans="1:11">
      <c r="B40" s="316"/>
    </row>
    <row r="41" spans="1:11">
      <c r="B41" s="316"/>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A66"/>
  <sheetViews>
    <sheetView topLeftCell="B1" zoomScaleNormal="100" workbookViewId="0">
      <selection activeCell="O11" sqref="O11"/>
    </sheetView>
  </sheetViews>
  <sheetFormatPr defaultRowHeight="15"/>
  <cols>
    <col min="1" max="1" width="70.5546875" style="95" customWidth="1"/>
    <col min="2" max="16384" width="8.88671875" style="95"/>
  </cols>
  <sheetData>
    <row r="1" spans="1:1" ht="18.75">
      <c r="A1" s="504" t="s">
        <v>329</v>
      </c>
    </row>
    <row r="2" spans="1:1" ht="15.75">
      <c r="A2" s="1"/>
    </row>
    <row r="3" spans="1:1" ht="57" customHeight="1">
      <c r="A3" s="505" t="s">
        <v>330</v>
      </c>
    </row>
    <row r="4" spans="1:1" ht="15.75">
      <c r="A4" s="503"/>
    </row>
    <row r="5" spans="1:1" ht="15.75">
      <c r="A5" s="1"/>
    </row>
    <row r="6" spans="1:1" ht="44.25" customHeight="1">
      <c r="A6" s="505" t="s">
        <v>331</v>
      </c>
    </row>
    <row r="7" spans="1:1" ht="15.75">
      <c r="A7" s="1"/>
    </row>
    <row r="8" spans="1:1" ht="15.75">
      <c r="A8" s="503"/>
    </row>
    <row r="9" spans="1:1" ht="46.5" customHeight="1">
      <c r="A9" s="505" t="s">
        <v>332</v>
      </c>
    </row>
    <row r="10" spans="1:1" ht="15.75">
      <c r="A10" s="1"/>
    </row>
    <row r="11" spans="1:1" ht="15.75">
      <c r="A11" s="503"/>
    </row>
    <row r="12" spans="1:1" ht="60" customHeight="1">
      <c r="A12" s="505" t="s">
        <v>333</v>
      </c>
    </row>
    <row r="13" spans="1:1" ht="15.75">
      <c r="A13" s="1"/>
    </row>
    <row r="14" spans="1:1" ht="15.75">
      <c r="A14" s="1"/>
    </row>
    <row r="15" spans="1:1" ht="61.5" customHeight="1">
      <c r="A15" s="505" t="s">
        <v>334</v>
      </c>
    </row>
    <row r="16" spans="1:1" ht="15.75">
      <c r="A16" s="1"/>
    </row>
    <row r="17" spans="1:1" ht="15.75">
      <c r="A17" s="1"/>
    </row>
    <row r="18" spans="1:1" ht="59.25" customHeight="1">
      <c r="A18" s="505" t="s">
        <v>335</v>
      </c>
    </row>
    <row r="19" spans="1:1" ht="15.75">
      <c r="A19" s="1"/>
    </row>
    <row r="20" spans="1:1" ht="15.75">
      <c r="A20" s="1"/>
    </row>
    <row r="21" spans="1:1" ht="61.5" customHeight="1">
      <c r="A21" s="505" t="s">
        <v>336</v>
      </c>
    </row>
    <row r="22" spans="1:1" ht="15.75">
      <c r="A22" s="503"/>
    </row>
    <row r="23" spans="1:1" ht="15.75">
      <c r="A23" s="503"/>
    </row>
    <row r="24" spans="1:1" ht="63" customHeight="1">
      <c r="A24" s="505" t="s">
        <v>337</v>
      </c>
    </row>
    <row r="25" spans="1:1" ht="15.75">
      <c r="A25" s="1"/>
    </row>
    <row r="26" spans="1:1" ht="15.75">
      <c r="A26" s="1"/>
    </row>
    <row r="27" spans="1:1" ht="52.5" customHeight="1">
      <c r="A27" s="516" t="s">
        <v>716</v>
      </c>
    </row>
    <row r="28" spans="1:1" ht="15.75">
      <c r="A28" s="1"/>
    </row>
    <row r="29" spans="1:1" ht="15.75">
      <c r="A29" s="1"/>
    </row>
    <row r="30" spans="1:1" ht="44.25" customHeight="1">
      <c r="A30" s="505" t="s">
        <v>338</v>
      </c>
    </row>
    <row r="31" spans="1:1" ht="15.75">
      <c r="A31" s="1"/>
    </row>
    <row r="32" spans="1:1" ht="15.75">
      <c r="A32" s="1"/>
    </row>
    <row r="33" spans="1:1" ht="42.75" customHeight="1">
      <c r="A33" s="505" t="s">
        <v>339</v>
      </c>
    </row>
    <row r="34" spans="1:1" ht="15.75">
      <c r="A34" s="503"/>
    </row>
    <row r="35" spans="1:1" ht="15.75">
      <c r="A35" s="503"/>
    </row>
    <row r="36" spans="1:1" ht="38.25" customHeight="1">
      <c r="A36" s="505" t="s">
        <v>340</v>
      </c>
    </row>
    <row r="37" spans="1:1" ht="15.75">
      <c r="A37" s="503"/>
    </row>
    <row r="38" spans="1:1" ht="15.75">
      <c r="A38" s="1"/>
    </row>
    <row r="39" spans="1:1" ht="75.75" customHeight="1">
      <c r="A39" s="505" t="s">
        <v>341</v>
      </c>
    </row>
    <row r="40" spans="1:1" ht="15.75">
      <c r="A40" s="1"/>
    </row>
    <row r="41" spans="1:1" ht="15.75">
      <c r="A41" s="1"/>
    </row>
    <row r="42" spans="1:1" ht="57.75" customHeight="1">
      <c r="A42" s="505" t="s">
        <v>342</v>
      </c>
    </row>
    <row r="43" spans="1:1" ht="15.75">
      <c r="A43" s="503"/>
    </row>
    <row r="44" spans="1:1" ht="15.75">
      <c r="A44" s="1"/>
    </row>
    <row r="45" spans="1:1" ht="57.75" customHeight="1">
      <c r="A45" s="505" t="s">
        <v>343</v>
      </c>
    </row>
    <row r="46" spans="1:1" ht="15.75">
      <c r="A46" s="1"/>
    </row>
    <row r="47" spans="1:1" ht="15.75">
      <c r="A47" s="1"/>
    </row>
    <row r="48" spans="1:1" ht="41.25" customHeight="1">
      <c r="A48" s="505" t="s">
        <v>344</v>
      </c>
    </row>
    <row r="49" spans="1:1" ht="15.75">
      <c r="A49" s="1"/>
    </row>
    <row r="50" spans="1:1" ht="15.75">
      <c r="A50" s="1"/>
    </row>
    <row r="51" spans="1:1" ht="75" customHeight="1">
      <c r="A51" s="505" t="s">
        <v>345</v>
      </c>
    </row>
    <row r="52" spans="1:1" ht="15.75">
      <c r="A52" s="503"/>
    </row>
    <row r="53" spans="1:1" ht="15.75">
      <c r="A53" s="503"/>
    </row>
    <row r="54" spans="1:1" ht="57.75" customHeight="1">
      <c r="A54" s="505" t="s">
        <v>346</v>
      </c>
    </row>
    <row r="55" spans="1:1" ht="15.75">
      <c r="A55" s="1"/>
    </row>
    <row r="56" spans="1:1" ht="15.75">
      <c r="A56" s="1"/>
    </row>
    <row r="57" spans="1:1" ht="44.25" customHeight="1">
      <c r="A57" s="505" t="s">
        <v>347</v>
      </c>
    </row>
    <row r="58" spans="1:1" ht="15.75">
      <c r="A58" s="1"/>
    </row>
    <row r="59" spans="1:1" ht="15.75">
      <c r="A59" s="1"/>
    </row>
    <row r="60" spans="1:1" ht="60" customHeight="1">
      <c r="A60" s="505" t="s">
        <v>348</v>
      </c>
    </row>
    <row r="61" spans="1:1" ht="15.75">
      <c r="A61" s="503"/>
    </row>
    <row r="62" spans="1:1" ht="15.75">
      <c r="A62" s="503"/>
    </row>
    <row r="63" spans="1:1" ht="57.75" customHeight="1">
      <c r="A63" s="505" t="s">
        <v>349</v>
      </c>
    </row>
    <row r="64" spans="1:1" ht="15.75">
      <c r="A64" s="1"/>
    </row>
    <row r="65" spans="1:1" ht="15.75">
      <c r="A65" s="1"/>
    </row>
    <row r="66" spans="1:1" ht="60" customHeight="1">
      <c r="A66" s="505" t="s">
        <v>350</v>
      </c>
    </row>
  </sheetData>
  <sheetProtection sheet="1" objects="1" scenarios="1"/>
  <phoneticPr fontId="0" type="noConversion"/>
  <printOptions horizontalCentered="1"/>
  <pageMargins left="0.5" right="0.5" top="0.5" bottom="0.5" header="0.3" footer="0.3"/>
  <pageSetup scale="38" orientation="portrait" blackAndWhite="1" r:id="rId1"/>
  <headerFooter alignWithMargins="0"/>
</worksheet>
</file>

<file path=xl/worksheets/sheet39.xml><?xml version="1.0" encoding="utf-8"?>
<worksheet xmlns="http://schemas.openxmlformats.org/spreadsheetml/2006/main" xmlns:r="http://schemas.openxmlformats.org/officeDocument/2006/relationships">
  <sheetPr>
    <pageSetUpPr fitToPage="1"/>
  </sheetPr>
  <dimension ref="A1:M75"/>
  <sheetViews>
    <sheetView topLeftCell="C1" zoomScaleNormal="100" workbookViewId="0">
      <selection activeCell="O11" sqref="O11"/>
    </sheetView>
  </sheetViews>
  <sheetFormatPr defaultRowHeight="15.75"/>
  <cols>
    <col min="1" max="1" width="20.77734375" style="21" customWidth="1"/>
    <col min="2" max="2" width="15.77734375" style="21" customWidth="1"/>
    <col min="3" max="3" width="10.77734375" style="21" customWidth="1"/>
    <col min="4" max="4" width="15.77734375" style="21" customWidth="1"/>
    <col min="5" max="5" width="10.77734375" style="21" customWidth="1"/>
    <col min="6" max="6" width="15.77734375" style="21" customWidth="1"/>
    <col min="7" max="7" width="12.77734375" style="21" customWidth="1"/>
    <col min="8" max="8" width="10.77734375" style="21" customWidth="1"/>
    <col min="9" max="9" width="8.88671875" style="21"/>
    <col min="10" max="10" width="12.44140625" style="21" customWidth="1"/>
    <col min="11" max="11" width="12.33203125" style="21" customWidth="1"/>
    <col min="12" max="12" width="10.5546875" style="21" customWidth="1"/>
    <col min="13" max="13" width="12.109375" style="21" customWidth="1"/>
    <col min="14" max="16384" width="8.88671875" style="21"/>
  </cols>
  <sheetData>
    <row r="1" spans="1:9">
      <c r="A1" s="943" t="s">
        <v>142</v>
      </c>
      <c r="B1" s="943"/>
      <c r="C1" s="943"/>
      <c r="D1" s="943"/>
      <c r="E1" s="943"/>
      <c r="F1" s="943"/>
      <c r="G1" s="943"/>
      <c r="H1" s="943"/>
      <c r="I1" s="318"/>
    </row>
    <row r="2" spans="1:9" ht="18" customHeight="1">
      <c r="A2" s="36"/>
      <c r="B2" s="36"/>
      <c r="C2" s="36"/>
      <c r="D2" s="36"/>
      <c r="E2" s="36"/>
      <c r="F2" s="36"/>
      <c r="G2" s="36"/>
      <c r="H2" s="36"/>
      <c r="I2" s="36">
        <f>inputPrYr!$C$5</f>
        <v>2013</v>
      </c>
    </row>
    <row r="3" spans="1:9" ht="18" customHeight="1">
      <c r="A3" s="935" t="s">
        <v>1173</v>
      </c>
      <c r="B3" s="935"/>
      <c r="C3" s="935"/>
      <c r="D3" s="935"/>
      <c r="E3" s="935"/>
      <c r="F3" s="935"/>
      <c r="G3" s="935"/>
      <c r="H3" s="935"/>
    </row>
    <row r="4" spans="1:9">
      <c r="A4" s="933" t="str">
        <f>inputPrYr!D2</f>
        <v>City of Osawatomie</v>
      </c>
      <c r="B4" s="933"/>
      <c r="C4" s="933"/>
      <c r="D4" s="933"/>
      <c r="E4" s="933"/>
      <c r="F4" s="933"/>
      <c r="G4" s="933"/>
      <c r="H4" s="933"/>
    </row>
    <row r="5" spans="1:9" ht="18" customHeight="1">
      <c r="A5" s="999" t="str">
        <f>CONCATENATE("will meet on ",inputBudSum!B7," at ",inputBudSum!B9," at ",inputBudSum!B11," for the purpose of hearing and")</f>
        <v>will meet on August 9, 2012 at 7:00 p.m. at Memorial Hall for the purpose of hearing and</v>
      </c>
      <c r="B5" s="999"/>
      <c r="C5" s="999"/>
      <c r="D5" s="999"/>
      <c r="E5" s="999"/>
      <c r="F5" s="999"/>
      <c r="G5" s="999"/>
      <c r="H5" s="999"/>
    </row>
    <row r="6" spans="1:9" ht="16.5" customHeight="1">
      <c r="A6" s="935" t="s">
        <v>572</v>
      </c>
      <c r="B6" s="935"/>
      <c r="C6" s="935"/>
      <c r="D6" s="935"/>
      <c r="E6" s="935"/>
      <c r="F6" s="935"/>
      <c r="G6" s="935"/>
      <c r="H6" s="935"/>
    </row>
    <row r="7" spans="1:9" ht="16.5" customHeight="1">
      <c r="A7" s="935" t="str">
        <f>CONCATENATE("Detailed budget information is available at ",inputBudSum!B14," and will be available at this hearing.")</f>
        <v>Detailed budget information is available at City Hall and will be available at this hearing.</v>
      </c>
      <c r="B7" s="935"/>
      <c r="C7" s="935"/>
      <c r="D7" s="935"/>
      <c r="E7" s="935"/>
      <c r="F7" s="935"/>
      <c r="G7" s="935"/>
      <c r="H7" s="935"/>
    </row>
    <row r="8" spans="1:9">
      <c r="A8" s="44" t="s">
        <v>143</v>
      </c>
      <c r="B8" s="45"/>
      <c r="C8" s="45"/>
      <c r="D8" s="45"/>
      <c r="E8" s="45"/>
      <c r="F8" s="45"/>
      <c r="G8" s="45"/>
      <c r="H8" s="45"/>
    </row>
    <row r="9" spans="1:9">
      <c r="A9" s="129" t="str">
        <f>CONCATENATE("Proposed Budget ",I2," Expenditures and Amount of ",I2-1," Ad Valorem Tax establish the maximum limits of the ",I2," budget.")</f>
        <v>Proposed Budget 2013 Expenditures and Amount of 2012 Ad Valorem Tax establish the maximum limits of the 2013 budget.</v>
      </c>
      <c r="B9" s="45"/>
      <c r="C9" s="45"/>
      <c r="D9" s="45"/>
      <c r="E9" s="45"/>
      <c r="F9" s="45"/>
      <c r="G9" s="45"/>
      <c r="H9" s="45"/>
    </row>
    <row r="10" spans="1:9">
      <c r="A10" s="129" t="s">
        <v>206</v>
      </c>
      <c r="B10" s="45"/>
      <c r="C10" s="45"/>
      <c r="D10" s="45"/>
      <c r="E10" s="45"/>
      <c r="F10" s="45"/>
      <c r="G10" s="45"/>
      <c r="H10" s="45"/>
    </row>
    <row r="11" spans="1:9">
      <c r="A11" s="36"/>
      <c r="B11" s="280"/>
      <c r="C11" s="280"/>
      <c r="D11" s="280"/>
      <c r="E11" s="280"/>
      <c r="F11" s="280"/>
      <c r="G11" s="280"/>
      <c r="H11" s="280"/>
    </row>
    <row r="12" spans="1:9">
      <c r="A12" s="36"/>
      <c r="B12" s="319" t="str">
        <f>CONCATENATE("Prior Year Actual for ",I2-2,"")</f>
        <v>Prior Year Actual for 2011</v>
      </c>
      <c r="C12" s="132"/>
      <c r="D12" s="319" t="str">
        <f>CONCATENATE("Current Year Estimate for ",I2-1,"")</f>
        <v>Current Year Estimate for 2012</v>
      </c>
      <c r="E12" s="132"/>
      <c r="F12" s="130" t="str">
        <f>CONCATENATE("Proposed Budget for ",I2,"")</f>
        <v>Proposed Budget for 2013</v>
      </c>
      <c r="G12" s="131"/>
      <c r="H12" s="132"/>
    </row>
    <row r="13" spans="1:9" ht="21" customHeight="1">
      <c r="A13" s="36"/>
      <c r="B13" s="271"/>
      <c r="C13" s="135" t="s">
        <v>100</v>
      </c>
      <c r="D13" s="135"/>
      <c r="E13" s="135" t="s">
        <v>100</v>
      </c>
      <c r="F13" s="545" t="s">
        <v>834</v>
      </c>
      <c r="G13" s="135" t="str">
        <f>CONCATENATE("Amount of ",I2-1,"")</f>
        <v>Amount of 2012</v>
      </c>
      <c r="H13" s="135" t="s">
        <v>269</v>
      </c>
    </row>
    <row r="14" spans="1:9">
      <c r="A14" s="53" t="s">
        <v>101</v>
      </c>
      <c r="B14" s="139" t="s">
        <v>102</v>
      </c>
      <c r="C14" s="139" t="s">
        <v>103</v>
      </c>
      <c r="D14" s="139" t="s">
        <v>102</v>
      </c>
      <c r="E14" s="139" t="s">
        <v>103</v>
      </c>
      <c r="F14" s="546" t="s">
        <v>604</v>
      </c>
      <c r="G14" s="140" t="s">
        <v>79</v>
      </c>
      <c r="H14" s="139" t="s">
        <v>103</v>
      </c>
    </row>
    <row r="15" spans="1:9">
      <c r="A15" s="76" t="str">
        <f>inputPrYr!B17</f>
        <v>General</v>
      </c>
      <c r="B15" s="76">
        <f>IF(general!$C$96&lt;&gt;0,general!$C$96,"  ")</f>
        <v>2388826.6109999996</v>
      </c>
      <c r="C15" s="320">
        <f>IF(inputPrYr!D86&gt;0,inputPrYr!D86,"  ")</f>
        <v>19.318000000000001</v>
      </c>
      <c r="D15" s="76">
        <f>IF(general!$D$96&lt;&gt;0,general!$D$96,"  ")</f>
        <v>2176453.7830000003</v>
      </c>
      <c r="E15" s="320">
        <f>IF(inputOth!D23&gt;0,inputOth!D23,"  ")</f>
        <v>22.364999999999998</v>
      </c>
      <c r="F15" s="76">
        <f>IF(general!$E$96&lt;&gt;0,general!$E$96,"  ")</f>
        <v>2140660.53865</v>
      </c>
      <c r="G15" s="76">
        <f>IF(general!$E$103&lt;&gt;0,general!$E$103,"  ")</f>
        <v>576535.32764999964</v>
      </c>
      <c r="H15" s="320">
        <f>IF(general!E103&gt;0,ROUND(G15/$F$59*1000,3),"  ")</f>
        <v>25.364999999999998</v>
      </c>
    </row>
    <row r="16" spans="1:9">
      <c r="A16" s="76" t="str">
        <f>inputPrYr!B18</f>
        <v>Bond &amp; Interest</v>
      </c>
      <c r="B16" s="76">
        <f>IF(DebtService!C45&lt;&gt;0,DebtService!C45,"  ")</f>
        <v>412877.5</v>
      </c>
      <c r="C16" s="320">
        <f>IF(inputPrYr!D87&gt;0,inputPrYr!D87,"  ")</f>
        <v>8.5289999999999999</v>
      </c>
      <c r="D16" s="76">
        <f>IF(DebtService!D45&lt;&gt;0,DebtService!D45,"  ")</f>
        <v>560510.82999999996</v>
      </c>
      <c r="E16" s="320">
        <f>IF(inputOth!D24&gt;0,inputOth!D24,"  ")</f>
        <v>10.945</v>
      </c>
      <c r="F16" s="76">
        <f>IF(DebtService!E45&lt;&gt;0,DebtService!E45,"  ")</f>
        <v>812787.5</v>
      </c>
      <c r="G16" s="76">
        <f>IF(DebtService!E52&lt;&gt;0,DebtService!E52,"  ")</f>
        <v>237409.65000000002</v>
      </c>
      <c r="H16" s="320">
        <f>IF(DebtService!E52&gt;0,ROUND(G16/$F$59*1000,3),"  ")</f>
        <v>10.445</v>
      </c>
    </row>
    <row r="17" spans="1:8">
      <c r="A17" s="76" t="str">
        <f>inputPrYr!B19</f>
        <v>Library</v>
      </c>
      <c r="B17" s="853">
        <f>IF(('Library-Rec'!C29)&lt;&gt;0,('Library-Rec'!C29),"  ")</f>
        <v>39560.98000000001</v>
      </c>
      <c r="C17" s="320" t="str">
        <f>IF(inputPrYr!D88&gt;0,inputPrYr!D88,"  ")</f>
        <v xml:space="preserve">  </v>
      </c>
      <c r="D17" s="853" t="str">
        <f>IF(('Library-Rec'!D29)&lt;&gt;0,('Library-Rec'!D29),"  ")</f>
        <v xml:space="preserve">  </v>
      </c>
      <c r="E17" s="320" t="str">
        <f>IF(inputOth!D25&gt;0,inputOth!D25,"  ")</f>
        <v xml:space="preserve">  </v>
      </c>
      <c r="F17" s="853">
        <f>IF(('Library-Rec'!E29)&lt;&gt;0,('Library-Rec'!E29),"  ")</f>
        <v>126000</v>
      </c>
      <c r="G17" s="854" t="str">
        <f>IF('Library-Rec'!E36&lt;&gt;0,'Library-Rec'!E36,"  ")</f>
        <v xml:space="preserve">  </v>
      </c>
      <c r="H17" s="855" t="str">
        <f>IF('Library-Rec'!E36&gt;0,ROUND(G17/$F$59*1000,3),"")</f>
        <v/>
      </c>
    </row>
    <row r="18" spans="1:8">
      <c r="A18" s="76" t="str">
        <f>IF(inputPrYr!$B21&gt;"  ",(inputPrYr!$B21),"  ")</f>
        <v>Industrial</v>
      </c>
      <c r="B18" s="76">
        <f>IF('Ind-EBF'!$C$31&gt;0,'Ind-EBF'!$C$31,"  ")</f>
        <v>15896.44</v>
      </c>
      <c r="C18" s="320" t="str">
        <f>IF(inputPrYr!D89&gt;0,inputPrYr!D89,"  ")</f>
        <v xml:space="preserve">  </v>
      </c>
      <c r="D18" s="76">
        <f>IF('Ind-EBF'!$D$31&gt;0,'Ind-EBF'!$D$31,"  ")</f>
        <v>11500</v>
      </c>
      <c r="E18" s="320" t="str">
        <f>IF(inputOth!D26&gt;0,inputOth!D26,"  ")</f>
        <v xml:space="preserve">  </v>
      </c>
      <c r="F18" s="76">
        <f>IF('Ind-EBF'!$E$31&gt;0,'Ind-EBF'!$E$31,"  ")</f>
        <v>41500</v>
      </c>
      <c r="G18" s="76" t="str">
        <f>IF('Ind-EBF'!$E$38&lt;&gt;0,'Ind-EBF'!$E$38,"  ")</f>
        <v xml:space="preserve">  </v>
      </c>
      <c r="H18" s="320" t="str">
        <f>IF('Ind-EBF'!E38&lt;&gt;0,ROUND(G18/$F$59*1000,3),"  ")</f>
        <v xml:space="preserve">  </v>
      </c>
    </row>
    <row r="19" spans="1:8">
      <c r="A19" s="76" t="str">
        <f>IF(inputPrYr!$B22&gt;"  ",(inputPrYr!$B22),"  ")</f>
        <v>Employee Benefits</v>
      </c>
      <c r="B19" s="76">
        <f>IF('Ind-EBF'!$C$71&gt;0,'Ind-EBF'!$C$71,"  ")</f>
        <v>547521.44000000006</v>
      </c>
      <c r="C19" s="320">
        <f>IF(inputPrYr!D90&gt;0,inputPrYr!D90,"  ")</f>
        <v>20.899000000000001</v>
      </c>
      <c r="D19" s="76">
        <f>IF('Ind-EBF'!$D$71&gt;0,'Ind-EBF'!$D$71,"  ")</f>
        <v>568501.75727212301</v>
      </c>
      <c r="E19" s="320">
        <f>IF(inputOth!D27&gt;0,inputOth!D27,"  ")</f>
        <v>19.922999999999998</v>
      </c>
      <c r="F19" s="76">
        <f>IF('Ind-EBF'!$E$71&gt;0,'Ind-EBF'!$E$71,"  ")</f>
        <v>665751.90217539994</v>
      </c>
      <c r="G19" s="76">
        <f>IF('Ind-EBF'!$E$78&lt;&gt;0,'Ind-EBF'!$E$78,"  ")</f>
        <v>509687.6248220228</v>
      </c>
      <c r="H19" s="320">
        <f>IF('Ind-EBF'!E78&lt;&gt;0,ROUND(G19/$F$59*1000,3),"  ")</f>
        <v>22.423999999999999</v>
      </c>
    </row>
    <row r="20" spans="1:8">
      <c r="A20" s="76" t="str">
        <f>IF(inputPrYr!$B23&gt;"  ",(inputPrYr!$B23),"  ")</f>
        <v>Public Safety Equipment</v>
      </c>
      <c r="B20" s="76" t="str">
        <f>IF('PS Equip-REBF'!$C$30&gt;0,'PS Equip-REBF'!$C$30,"  ")</f>
        <v xml:space="preserve">  </v>
      </c>
      <c r="C20" s="320" t="str">
        <f>IF(inputPrYr!D91&gt;0,inputPrYr!D91,"  ")</f>
        <v xml:space="preserve">  </v>
      </c>
      <c r="D20" s="76">
        <f>IF('PS Equip-REBF'!$D$30&gt;0,'PS Equip-REBF'!$D$30,"  ")</f>
        <v>9771.75</v>
      </c>
      <c r="E20" s="320" t="str">
        <f>IF(inputOth!D28&gt;0,inputOth!D28,"  ")</f>
        <v xml:space="preserve">  </v>
      </c>
      <c r="F20" s="76" t="str">
        <f>IF('PS Equip-REBF'!$E$30&gt;0,'PS Equip-REBF'!$E$30,"  ")</f>
        <v xml:space="preserve">  </v>
      </c>
      <c r="G20" s="76" t="str">
        <f>IF('PS Equip-REBF'!$E$37&lt;&gt;0,'PS Equip-REBF'!$E$37,"  ")</f>
        <v xml:space="preserve">  </v>
      </c>
      <c r="H20" s="320" t="str">
        <f>IF('PS Equip-REBF'!E37&lt;&gt;0,ROUND(G20/$F$59*1000,3),"  ")</f>
        <v xml:space="preserve">  </v>
      </c>
    </row>
    <row r="21" spans="1:8">
      <c r="A21" s="76" t="str">
        <f>IF(inputPrYr!$B24&gt;"  ",(inputPrYr!$B24),"  ")</f>
        <v>Recreation Employee Benefits</v>
      </c>
      <c r="B21" s="76">
        <f>IF('PS Equip-REBF'!$C$66&gt;0,'PS Equip-REBF'!$C$66,"  ")</f>
        <v>12765</v>
      </c>
      <c r="C21" s="320">
        <f>IF(inputPrYr!D92&gt;0,inputPrYr!D92,"  ")</f>
        <v>0.5</v>
      </c>
      <c r="D21" s="76">
        <f>IF('PS Equip-REBF'!$D$66&gt;0,'PS Equip-REBF'!$D$66,"  ")</f>
        <v>12238</v>
      </c>
      <c r="E21" s="320">
        <f>IF(inputOth!D29&gt;0,inputOth!D29,"  ")</f>
        <v>0.501</v>
      </c>
      <c r="F21" s="76">
        <f>IF('PS Equip-REBF'!$E$66&gt;0,'PS Equip-REBF'!$E$66,"  ")</f>
        <v>2419</v>
      </c>
      <c r="G21" s="76" t="str">
        <f>IF('PS Equip-REBF'!$E$73&lt;&gt;0,'PS Equip-REBF'!$E$73,"  ")</f>
        <v xml:space="preserve">  </v>
      </c>
      <c r="H21" s="320" t="str">
        <f>IF('PS Equip-REBF'!E73&lt;&gt;0,ROUND(G21/$F$59*1000,3),"  ")</f>
        <v xml:space="preserve">  </v>
      </c>
    </row>
    <row r="22" spans="1:8" hidden="1">
      <c r="A22" s="76" t="str">
        <f>IF(inputPrYr!$B25&gt;"  ",(inputPrYr!$B25),"  ")</f>
        <v xml:space="preserve">  </v>
      </c>
      <c r="B22" s="76" t="str">
        <f>IF('levy page11'!$C$33&gt;0,'levy page11'!$C$33,"  ")</f>
        <v xml:space="preserve">  </v>
      </c>
      <c r="C22" s="320" t="str">
        <f>IF(inputPrYr!D93&gt;0,inputPrYr!D93,"  ")</f>
        <v xml:space="preserve">  </v>
      </c>
      <c r="D22" s="76" t="str">
        <f>IF('levy page11'!$D$33&gt;0,'levy page11'!$D$33,"  ")</f>
        <v xml:space="preserve">  </v>
      </c>
      <c r="E22" s="320" t="str">
        <f>IF(inputOth!D30&gt;0,inputOth!D30,"  ")</f>
        <v xml:space="preserve">  </v>
      </c>
      <c r="F22" s="76" t="str">
        <f>IF('levy page11'!$E$33&gt;0,'levy page11'!$E$33,"  ")</f>
        <v xml:space="preserve">  </v>
      </c>
      <c r="G22" s="76" t="str">
        <f>IF('levy page11'!$E$40&lt;&gt;0,'levy page11'!$E$40,"  ")</f>
        <v xml:space="preserve">  </v>
      </c>
      <c r="H22" s="320" t="str">
        <f>IF('levy page11'!E40&lt;&gt;0,ROUND(G22/$F$59*1000,3),"  ")</f>
        <v xml:space="preserve">  </v>
      </c>
    </row>
    <row r="23" spans="1:8" hidden="1">
      <c r="A23" s="76" t="str">
        <f>IF(inputPrYr!$B26&gt;"  ",(inputPrYr!$B26),"  ")</f>
        <v xml:space="preserve">  </v>
      </c>
      <c r="B23" s="76" t="str">
        <f>IF('levy page11'!$C$73&gt;0,'levy page11'!$C$73,"  ")</f>
        <v xml:space="preserve">  </v>
      </c>
      <c r="C23" s="320" t="str">
        <f>IF(inputPrYr!D94&gt;0,inputPrYr!D94,"  ")</f>
        <v xml:space="preserve">  </v>
      </c>
      <c r="D23" s="76" t="str">
        <f>IF('levy page11'!$D$73&gt;0,'levy page11'!$D$73,"  ")</f>
        <v xml:space="preserve">  </v>
      </c>
      <c r="E23" s="320" t="str">
        <f>IF(inputOth!D31&gt;0,inputOth!D31,"  ")</f>
        <v xml:space="preserve">  </v>
      </c>
      <c r="F23" s="76" t="str">
        <f>IF('levy page11'!$E$73&gt;0,'levy page11'!$E$73,"  ")</f>
        <v xml:space="preserve">  </v>
      </c>
      <c r="G23" s="76" t="str">
        <f>IF('levy page11'!$E$80&lt;&gt;0,'levy page11'!$E$80,"  ")</f>
        <v xml:space="preserve">  </v>
      </c>
      <c r="H23" s="320" t="str">
        <f>IF('levy page11'!E80&lt;&gt;0,ROUND(G23/$F$59*1000,3),"  ")</f>
        <v xml:space="preserve">  </v>
      </c>
    </row>
    <row r="24" spans="1:8" hidden="1">
      <c r="A24" s="76" t="str">
        <f>IF(inputPrYr!$B27&gt;"  ",(inputPrYr!$B27),"  ")</f>
        <v xml:space="preserve">  </v>
      </c>
      <c r="B24" s="76" t="str">
        <f>IF('levy page12'!$C$33&gt;0,'levy page12'!$C$33,"  ")</f>
        <v xml:space="preserve">  </v>
      </c>
      <c r="C24" s="320" t="str">
        <f>IF(inputPrYr!D95&gt;0,inputPrYr!D95,"  ")</f>
        <v xml:space="preserve">  </v>
      </c>
      <c r="D24" s="76" t="str">
        <f>IF('levy page12'!$D$33&gt;0,'levy page12'!$D$33,"  ")</f>
        <v xml:space="preserve">  </v>
      </c>
      <c r="E24" s="320" t="str">
        <f>IF(inputOth!D32&gt;0,inputOth!D32,"  ")</f>
        <v xml:space="preserve">  </v>
      </c>
      <c r="F24" s="76" t="str">
        <f>IF('levy page12'!$E$33&gt;0,'levy page12'!$E$33,"  ")</f>
        <v xml:space="preserve">  </v>
      </c>
      <c r="G24" s="76" t="str">
        <f>IF('levy page12'!$E$40&lt;&gt;0,'levy page12'!$E$40,"  ")</f>
        <v xml:space="preserve">  </v>
      </c>
      <c r="H24" s="320" t="str">
        <f>IF('levy page12'!E40&lt;&gt;0,ROUND(G24/$F$59*1000,3),"  ")</f>
        <v xml:space="preserve">  </v>
      </c>
    </row>
    <row r="25" spans="1:8" hidden="1">
      <c r="A25" s="76" t="str">
        <f>IF(inputPrYr!$B28&gt;"  ",(inputPrYr!$B28),"  ")</f>
        <v xml:space="preserve">  </v>
      </c>
      <c r="B25" s="76" t="str">
        <f>IF('levy page12'!$C$73&gt;0,'levy page12'!$C$73,"  ")</f>
        <v xml:space="preserve">  </v>
      </c>
      <c r="C25" s="320" t="str">
        <f>IF(inputPrYr!D96&gt;0,inputPrYr!D96,"  ")</f>
        <v xml:space="preserve">  </v>
      </c>
      <c r="D25" s="76" t="str">
        <f>IF('levy page12'!$D$73&gt;0,'levy page12'!$D$73,"  ")</f>
        <v xml:space="preserve">  </v>
      </c>
      <c r="E25" s="320" t="str">
        <f>IF(inputOth!D33&gt;0,inputOth!D33,"  ")</f>
        <v xml:space="preserve">  </v>
      </c>
      <c r="F25" s="76" t="str">
        <f>IF('levy page12'!$E$73&gt;0,'levy page12'!$E$73,"  ")</f>
        <v xml:space="preserve">  </v>
      </c>
      <c r="G25" s="76" t="str">
        <f>IF('levy page12'!$E$80&lt;&gt;0,'levy page12'!$E$80,"  ")</f>
        <v xml:space="preserve">  </v>
      </c>
      <c r="H25" s="320" t="str">
        <f>IF('levy page12'!E80&lt;&gt;0,ROUND(G25/$F$59*1000,3),"  ")</f>
        <v xml:space="preserve">  </v>
      </c>
    </row>
    <row r="26" spans="1:8" hidden="1">
      <c r="A26" s="76" t="str">
        <f>IF(inputPrYr!$B29&gt;"  ",(inputPrYr!$B29),"  ")</f>
        <v xml:space="preserve">  </v>
      </c>
      <c r="B26" s="76" t="str">
        <f>IF('levy page13'!$C$33&gt;0,'levy page13'!$C$33,"  ")</f>
        <v xml:space="preserve">  </v>
      </c>
      <c r="C26" s="320" t="str">
        <f>IF(inputPrYr!D97&gt;0,inputPrYr!D97,"  ")</f>
        <v xml:space="preserve">  </v>
      </c>
      <c r="D26" s="76" t="str">
        <f>IF('levy page13'!$D$33&gt;0,'levy page13'!$D$33,"  ")</f>
        <v xml:space="preserve">  </v>
      </c>
      <c r="E26" s="320" t="str">
        <f>IF(inputOth!D34&gt;0,inputOth!D34,"  ")</f>
        <v xml:space="preserve">  </v>
      </c>
      <c r="F26" s="76" t="str">
        <f>IF('levy page13'!$E$33&gt;0,'levy page13'!$E$33,"  ")</f>
        <v xml:space="preserve">  </v>
      </c>
      <c r="G26" s="76" t="str">
        <f>IF('levy page13'!$E$40&lt;&gt;0,'levy page13'!$E$40,"  ")</f>
        <v xml:space="preserve">  </v>
      </c>
      <c r="H26" s="320" t="str">
        <f>IF('levy page13'!E40&lt;&gt;0,ROUND(G26/$F$59*1000,3),"  ")</f>
        <v xml:space="preserve">  </v>
      </c>
    </row>
    <row r="27" spans="1:8" hidden="1">
      <c r="A27" s="76" t="str">
        <f>IF(inputPrYr!$B30&gt;"  ",(inputPrYr!$B30),"  ")</f>
        <v xml:space="preserve">  </v>
      </c>
      <c r="B27" s="76" t="str">
        <f>IF('levy page13'!$C$73&gt;0,'levy page13'!$C$73,"  ")</f>
        <v xml:space="preserve">  </v>
      </c>
      <c r="C27" s="320" t="str">
        <f>IF(inputPrYr!D98&gt;0,inputPrYr!D98,"  ")</f>
        <v xml:space="preserve">  </v>
      </c>
      <c r="D27" s="76" t="str">
        <f>IF('levy page13'!$D$73&gt;0,'levy page13'!$D$73,"  ")</f>
        <v xml:space="preserve">  </v>
      </c>
      <c r="E27" s="320" t="str">
        <f>IF(inputOth!D35&gt;0,inputOth!D35,"  ")</f>
        <v xml:space="preserve">  </v>
      </c>
      <c r="F27" s="76" t="str">
        <f>IF('levy page13'!$E$73&gt;0,'levy page13'!$E$73,"  ")</f>
        <v xml:space="preserve">  </v>
      </c>
      <c r="G27" s="76" t="str">
        <f>IF('levy page13'!$E$80&lt;&gt;0,'levy page13'!$E$80,"  ")</f>
        <v xml:space="preserve">  </v>
      </c>
      <c r="H27" s="320" t="str">
        <f>IF('levy page13'!E80&lt;&gt;0,ROUND(G27/$F$59*1000,3),"  ")</f>
        <v xml:space="preserve">  </v>
      </c>
    </row>
    <row r="28" spans="1:8">
      <c r="A28" s="76" t="str">
        <f>IF(inputPrYr!$B36&gt;"  ",(inputPrYr!$B36),"  ")</f>
        <v>Street Improvements</v>
      </c>
      <c r="B28" s="76">
        <f>IF('St Imp-Refuse'!$C$30&gt;0,'St Imp-Refuse'!$C$30,"  ")</f>
        <v>135711.16</v>
      </c>
      <c r="C28" s="54"/>
      <c r="D28" s="76">
        <f>IF('St Imp-Refuse'!$D$30&gt;0,'St Imp-Refuse'!$D$30,"  ")</f>
        <v>111400</v>
      </c>
      <c r="E28" s="54"/>
      <c r="F28" s="76">
        <f>IF('St Imp-Refuse'!$E$30&gt;0,'St Imp-Refuse'!$E$30,"  ")</f>
        <v>129000</v>
      </c>
      <c r="G28" s="76"/>
      <c r="H28" s="320"/>
    </row>
    <row r="29" spans="1:8">
      <c r="A29" s="76" t="str">
        <f>IF(inputPrYr!$B37&gt;"  ",(inputPrYr!$B37),"  ")</f>
        <v>Refuse</v>
      </c>
      <c r="B29" s="76">
        <f>IF('St Imp-Refuse'!$C$54&gt;0,'St Imp-Refuse'!$C$54,"  ")</f>
        <v>369360.14</v>
      </c>
      <c r="C29" s="54"/>
      <c r="D29" s="76">
        <f>IF('St Imp-Refuse'!$D$54&gt;0,'St Imp-Refuse'!$D$54,"  ")</f>
        <v>376700</v>
      </c>
      <c r="E29" s="54"/>
      <c r="F29" s="76">
        <f>IF('St Imp-Refuse'!$E$54&gt;0,'St Imp-Refuse'!$E$54,"  ")</f>
        <v>376700</v>
      </c>
      <c r="G29" s="76"/>
      <c r="H29" s="320"/>
    </row>
    <row r="30" spans="1:8">
      <c r="A30" s="76" t="str">
        <f>IF(inputPrYr!$B38&gt;"  ",(inputPrYr!$B38),"  ")</f>
        <v>Golf Course</v>
      </c>
      <c r="B30" s="76">
        <f>IF('Golf-911'!$C$31&gt;0,'Golf-911'!$C$31,"  ")</f>
        <v>279080.7</v>
      </c>
      <c r="C30" s="54"/>
      <c r="D30" s="76">
        <f>IF('Golf-911'!$D$31&gt;0,'Golf-911'!$D$31,"  ")</f>
        <v>251159.37549999999</v>
      </c>
      <c r="E30" s="54"/>
      <c r="F30" s="76">
        <f>IF('Golf-911'!$E$31&gt;0,'Golf-911'!$E$31,"  ")</f>
        <v>249089.76427500002</v>
      </c>
      <c r="G30" s="76"/>
      <c r="H30" s="320"/>
    </row>
    <row r="31" spans="1:8">
      <c r="A31" s="76" t="str">
        <f>IF(inputPrYr!$B39&gt;"  ",(inputPrYr!$B39),"  ")</f>
        <v>Special Revenue (911)</v>
      </c>
      <c r="B31" s="76" t="str">
        <f>IF('Golf-911'!$C$54&gt;0,'Golf-911'!$C$54,"  ")</f>
        <v xml:space="preserve">  </v>
      </c>
      <c r="C31" s="54"/>
      <c r="D31" s="76" t="str">
        <f>IF('Golf-911'!$D$54&gt;0,'Golf-911'!$D$54,"  ")</f>
        <v xml:space="preserve">  </v>
      </c>
      <c r="E31" s="54"/>
      <c r="F31" s="76">
        <f>IF('Golf-911'!$E$54&gt;0,'Golf-911'!$E$54,"  ")</f>
        <v>9897</v>
      </c>
      <c r="G31" s="76"/>
      <c r="H31" s="320"/>
    </row>
    <row r="32" spans="1:8">
      <c r="A32" s="76" t="str">
        <f>IF(inputPrYr!$B40&gt;"  ",(inputPrYr!$B40),"  ")</f>
        <v>Tourism</v>
      </c>
      <c r="B32" s="76">
        <f>IF(Tourism!$C$35&gt;0,Tourism!$C$35,"  ")</f>
        <v>17530.500000000004</v>
      </c>
      <c r="C32" s="54"/>
      <c r="D32" s="76">
        <f>IF(Tourism!$D$35&gt;0,Tourism!$D$35,"  ")</f>
        <v>46250</v>
      </c>
      <c r="E32" s="54"/>
      <c r="F32" s="76">
        <f>IF(Tourism!$E$35&gt;0,Tourism!$E$35,"  ")</f>
        <v>46250</v>
      </c>
      <c r="G32" s="54"/>
      <c r="H32" s="54"/>
    </row>
    <row r="33" spans="1:13" hidden="1">
      <c r="A33" s="76" t="str">
        <f>IF(inputPrYr!$B41&gt;"  ",(inputPrYr!$B41),"  ")</f>
        <v xml:space="preserve">  </v>
      </c>
      <c r="B33" s="76" t="str">
        <f>IF(Tourism!$C$59&gt;0,Tourism!$C$59,"  ")</f>
        <v xml:space="preserve">  </v>
      </c>
      <c r="C33" s="54"/>
      <c r="D33" s="76" t="str">
        <f>IF(Tourism!$D$59&gt;0,Tourism!$D$59,"  ")</f>
        <v xml:space="preserve">  </v>
      </c>
      <c r="E33" s="54"/>
      <c r="F33" s="76" t="str">
        <f>IF(Tourism!$E$59&gt;0,Tourism!$E$59,"  ")</f>
        <v xml:space="preserve">  </v>
      </c>
      <c r="G33" s="54"/>
      <c r="H33" s="54"/>
    </row>
    <row r="34" spans="1:13" hidden="1">
      <c r="A34" s="76" t="str">
        <f>IF(inputPrYr!$B42&gt;"  ",(inputPrYr!$B42),"  ")</f>
        <v xml:space="preserve">  </v>
      </c>
      <c r="B34" s="76" t="str">
        <f>IF('levy 7'!$C$23&gt;0,'levy 7'!$C$23,"  ")</f>
        <v xml:space="preserve">  </v>
      </c>
      <c r="C34" s="54"/>
      <c r="D34" s="76" t="str">
        <f>IF('levy 7'!$D$23&gt;0,'levy 7'!$D$23,"  ")</f>
        <v xml:space="preserve">  </v>
      </c>
      <c r="E34" s="54"/>
      <c r="F34" s="76" t="str">
        <f>IF('levy 7'!$E$23&gt;0,'levy 7'!$E$23,"  ")</f>
        <v xml:space="preserve">  </v>
      </c>
      <c r="G34" s="54"/>
      <c r="H34" s="54"/>
    </row>
    <row r="35" spans="1:13" hidden="1">
      <c r="A35" s="76" t="str">
        <f>IF(inputPrYr!$B43&gt;"  ",(inputPrYr!$B43),"  ")</f>
        <v xml:space="preserve">  </v>
      </c>
      <c r="B35" s="76" t="str">
        <f>IF('levy 7'!$C$54&gt;0,'levy 7'!$C$54,"  ")</f>
        <v xml:space="preserve">  </v>
      </c>
      <c r="C35" s="54"/>
      <c r="D35" s="76" t="str">
        <f>IF('levy 7'!$D$54&gt;0,'levy 7'!$D$54,"  ")</f>
        <v xml:space="preserve">  </v>
      </c>
      <c r="E35" s="54"/>
      <c r="F35" s="76" t="str">
        <f>IF('levy 7'!$E$54&gt;0,'levy 7'!$E$54,"  ")</f>
        <v xml:space="preserve">  </v>
      </c>
      <c r="G35" s="54"/>
      <c r="H35" s="54"/>
    </row>
    <row r="36" spans="1:13" hidden="1">
      <c r="A36" s="76" t="str">
        <f>IF(inputPrYr!$B44&gt;"  ",(inputPrYr!$B44),"  ")</f>
        <v xml:space="preserve">  </v>
      </c>
      <c r="B36" s="76" t="str">
        <f>IF('Levy 8'!$C$23&gt;0,'Levy 8'!$C$23,"  ")</f>
        <v xml:space="preserve">  </v>
      </c>
      <c r="C36" s="54"/>
      <c r="D36" s="76" t="str">
        <f>IF('Levy 8'!$D$23&gt;0,'Levy 8'!$D$23,"  ")</f>
        <v xml:space="preserve">  </v>
      </c>
      <c r="E36" s="54"/>
      <c r="F36" s="76" t="str">
        <f>IF('Levy 8'!$E$23&gt;0,'Levy 8'!$E$23,"  ")</f>
        <v xml:space="preserve">  </v>
      </c>
      <c r="G36" s="54"/>
      <c r="H36" s="54"/>
    </row>
    <row r="37" spans="1:13" hidden="1">
      <c r="A37" s="76" t="str">
        <f>IF(inputPrYr!$B45&gt;"  ",(inputPrYr!$B45),"  ")</f>
        <v xml:space="preserve">  </v>
      </c>
      <c r="B37" s="76" t="str">
        <f>IF('Levy 8'!$C$47&gt;0,'Levy 8'!$C$47,"  ")</f>
        <v xml:space="preserve">  </v>
      </c>
      <c r="C37" s="54"/>
      <c r="D37" s="76" t="str">
        <f>IF('Levy 8'!$D$47&gt;0,'Levy 8'!$D$47,"  ")</f>
        <v xml:space="preserve">  </v>
      </c>
      <c r="E37" s="54"/>
      <c r="F37" s="76" t="str">
        <f>IF('Levy 8'!$E$47&gt;0,'Levy 8'!$E$47,"  ")</f>
        <v xml:space="preserve">  </v>
      </c>
      <c r="G37" s="54"/>
      <c r="H37" s="54"/>
    </row>
    <row r="38" spans="1:13" hidden="1">
      <c r="A38" s="76" t="str">
        <f>IF(inputPrYr!$B46&gt;"  ",(inputPrYr!$B46),"  ")</f>
        <v xml:space="preserve">  </v>
      </c>
      <c r="B38" s="76" t="str">
        <f>IF(levy9!$C$21&gt;0,levy9!$C$21,"  ")</f>
        <v xml:space="preserve">  </v>
      </c>
      <c r="C38" s="54"/>
      <c r="D38" s="76" t="str">
        <f>IF(levy9!$D$21&gt;0,levy9!$D$21,"  ")</f>
        <v xml:space="preserve">  </v>
      </c>
      <c r="E38" s="54"/>
      <c r="F38" s="76" t="str">
        <f>IF(levy9!$E$21&gt;0,levy9!$E$21,"  ")</f>
        <v xml:space="preserve">  </v>
      </c>
      <c r="G38" s="54"/>
      <c r="H38" s="54"/>
    </row>
    <row r="39" spans="1:13" hidden="1">
      <c r="A39" s="76" t="str">
        <f>IF(inputPrYr!$B47&gt;"  ",(inputPrYr!$B47),"  ")</f>
        <v xml:space="preserve">  </v>
      </c>
      <c r="B39" s="76" t="str">
        <f>IF(levy9!$C$52&gt;0,levy9!$C$52,"  ")</f>
        <v xml:space="preserve">  </v>
      </c>
      <c r="C39" s="54"/>
      <c r="D39" s="76" t="str">
        <f>IF(levy9!$D$52&gt;0,levy9!$D$52,"  ")</f>
        <v xml:space="preserve">  </v>
      </c>
      <c r="E39" s="54"/>
      <c r="F39" s="76" t="str">
        <f>IF(levy9!$E$52&gt;0,levy9!$E$52,"  ")</f>
        <v xml:space="preserve">  </v>
      </c>
      <c r="G39" s="54"/>
      <c r="H39" s="54"/>
    </row>
    <row r="40" spans="1:13" hidden="1">
      <c r="A40" s="76" t="str">
        <f>IF(inputPrYr!$B48&gt;"  ",(inputPrYr!$B48),"  ")</f>
        <v xml:space="preserve">  </v>
      </c>
      <c r="B40" s="76" t="str">
        <f>IF(levy10!$C$30&gt;0,levy10!$C$30,"  ")</f>
        <v xml:space="preserve">  </v>
      </c>
      <c r="C40" s="54"/>
      <c r="D40" s="76" t="str">
        <f>IF(levy10!$D$30&gt;0,levy10!$D$30,"  ")</f>
        <v xml:space="preserve">  </v>
      </c>
      <c r="E40" s="54"/>
      <c r="F40" s="76" t="str">
        <f>IF(levy10!$E$30&gt;0,levy10!$E$30,"  ")</f>
        <v xml:space="preserve">  </v>
      </c>
      <c r="G40" s="54"/>
      <c r="H40" s="54"/>
    </row>
    <row r="41" spans="1:13" hidden="1">
      <c r="A41" s="76" t="str">
        <f>IF(inputPrYr!$B49&gt;"  ",(inputPrYr!$B49),"  ")</f>
        <v xml:space="preserve">  </v>
      </c>
      <c r="B41" s="76" t="str">
        <f>IF(levy10!$C$61&gt;0,levy10!$C$61,"  ")</f>
        <v xml:space="preserve">  </v>
      </c>
      <c r="C41" s="54"/>
      <c r="D41" s="76" t="str">
        <f>IF(levy10!$D$61&gt;0,levy10!$D$61,"  ")</f>
        <v xml:space="preserve">  </v>
      </c>
      <c r="E41" s="54"/>
      <c r="F41" s="76" t="str">
        <f>IF(levy10!$E$61&gt;0,levy10!$E$61,"  ")</f>
        <v xml:space="preserve">  </v>
      </c>
      <c r="G41" s="54"/>
      <c r="H41" s="54"/>
      <c r="J41" s="991" t="str">
        <f>CONCATENATE("Estimated Value Of One Mill For ",I2,"")</f>
        <v>Estimated Value Of One Mill For 2013</v>
      </c>
      <c r="K41" s="996"/>
      <c r="L41" s="996"/>
      <c r="M41" s="997"/>
    </row>
    <row r="42" spans="1:13" hidden="1">
      <c r="A42" s="76" t="str">
        <f>IF(inputPrYr!$B50&gt;"  ",(inputPrYr!$B50),"  ")</f>
        <v xml:space="preserve">  </v>
      </c>
      <c r="B42" s="76" t="str">
        <f>IF('no levy page21'!$C$30&gt;0,'no levy page21'!$C$30,"  ")</f>
        <v xml:space="preserve">  </v>
      </c>
      <c r="C42" s="54"/>
      <c r="D42" s="76" t="str">
        <f>IF('no levy page21'!$D$30&gt;0,'no levy page21'!$D$30,"  ")</f>
        <v xml:space="preserve">  </v>
      </c>
      <c r="E42" s="54"/>
      <c r="F42" s="76" t="str">
        <f>IF('no levy page21'!$E$30&gt;0,'no levy page21'!$E$30,"  ")</f>
        <v xml:space="preserve">  </v>
      </c>
      <c r="G42" s="54"/>
      <c r="H42" s="54"/>
      <c r="J42" s="519"/>
      <c r="K42" s="520"/>
      <c r="L42" s="520"/>
      <c r="M42" s="521"/>
    </row>
    <row r="43" spans="1:13" hidden="1">
      <c r="A43" s="76" t="str">
        <f>IF(inputPrYr!$B51&gt;"  ",(inputPrYr!$B51),"  ")</f>
        <v xml:space="preserve">  </v>
      </c>
      <c r="B43" s="76" t="str">
        <f>IF('no levy page21'!$C$61&gt;0,'no levy page21'!$C$61,"  ")</f>
        <v xml:space="preserve">  </v>
      </c>
      <c r="C43" s="54"/>
      <c r="D43" s="76" t="str">
        <f>IF('no levy page21'!$D$61&gt;0,'no levy page21'!$D$61,"  ")</f>
        <v xml:space="preserve">  </v>
      </c>
      <c r="E43" s="54"/>
      <c r="F43" s="76" t="str">
        <f>IF('no levy page21'!$E$61&gt;0,'no levy page21'!$E$61,"  ")</f>
        <v xml:space="preserve">  </v>
      </c>
      <c r="G43" s="54"/>
      <c r="H43" s="54"/>
      <c r="J43" s="522" t="s">
        <v>725</v>
      </c>
      <c r="K43" s="523"/>
      <c r="L43" s="523"/>
      <c r="M43" s="524">
        <f>ROUND(F59/1000,0)</f>
        <v>22730</v>
      </c>
    </row>
    <row r="44" spans="1:13">
      <c r="A44" s="76" t="str">
        <f>IF(inputPrYr!$B53&gt;"  ",(inputPrYr!$B53),"  ")</f>
        <v>Water</v>
      </c>
      <c r="B44" s="76">
        <f>IF(Water!$C$45&gt;0,Water!$C$45,"  ")</f>
        <v>733076.19</v>
      </c>
      <c r="C44" s="54"/>
      <c r="D44" s="76">
        <f>IF(Water!$D$45&gt;0,Water!$D$45,"  ")</f>
        <v>819915.67345344229</v>
      </c>
      <c r="E44" s="54"/>
      <c r="F44" s="76">
        <f>IF(Water!$E$45&gt;0,Water!$E$45,"  ")</f>
        <v>814796.38343325001</v>
      </c>
      <c r="G44" s="54"/>
      <c r="H44" s="54"/>
    </row>
    <row r="45" spans="1:13">
      <c r="A45" s="76" t="str">
        <f>IF(inputPrYr!$B54&gt;"  ",(inputPrYr!$B54),"  ")</f>
        <v>Electric</v>
      </c>
      <c r="B45" s="76">
        <f>IF(Elec!$C$52&gt;0,Elec!$C$52,"  ")</f>
        <v>4583727.4600000009</v>
      </c>
      <c r="C45" s="54"/>
      <c r="D45" s="76">
        <f>IF(Elec!$D$52&gt;0,Elec!$D$52,"  ")</f>
        <v>4189685.9813587167</v>
      </c>
      <c r="E45" s="54"/>
      <c r="F45" s="76">
        <f>IF(Elec!$E$52&gt;0,Elec!$E$52,"  ")</f>
        <v>4017520.1732245055</v>
      </c>
      <c r="G45" s="54"/>
      <c r="H45" s="54"/>
      <c r="J45" s="991" t="str">
        <f>CONCATENATE("Want The Mill Rate The Same As For ",I2-1,"?")</f>
        <v>Want The Mill Rate The Same As For 2012?</v>
      </c>
      <c r="K45" s="996"/>
      <c r="L45" s="996"/>
      <c r="M45" s="997"/>
    </row>
    <row r="46" spans="1:13">
      <c r="A46" s="76" t="str">
        <f>IF(inputPrYr!$B55&gt;"  ",(inputPrYr!$B55),"  ")</f>
        <v>Sewer</v>
      </c>
      <c r="B46" s="76">
        <f>IF(Sewer!$C$27&gt;0,Sewer!$C$27,"  ")</f>
        <v>838812.55</v>
      </c>
      <c r="C46" s="54"/>
      <c r="D46" s="76">
        <f>IF(Sewer!$D$27&gt;0,Sewer!$D$27,"  ")</f>
        <v>844305.26822853833</v>
      </c>
      <c r="E46" s="54"/>
      <c r="F46" s="76">
        <f>IF(Sewer!$E$27&gt;0,Sewer!$E$27,"  ")</f>
        <v>836249.47172809998</v>
      </c>
      <c r="G46" s="54"/>
      <c r="H46" s="54"/>
      <c r="J46" s="526"/>
      <c r="K46" s="520"/>
      <c r="L46" s="520"/>
      <c r="M46" s="527"/>
    </row>
    <row r="47" spans="1:13">
      <c r="A47" s="76" t="str">
        <f>IF(inputPrYr!$B56&gt;"  ",(inputPrYr!$B56),"  ")</f>
        <v>Special Parks &amp; Recreation</v>
      </c>
      <c r="B47" s="76">
        <f>IF('SP&amp;R'!$C$37&gt;0,'SP&amp;R'!$C$37,"  ")</f>
        <v>233.4</v>
      </c>
      <c r="C47" s="54"/>
      <c r="D47" s="76">
        <f>IF('SP&amp;R'!$D$37&gt;0,'SP&amp;R'!$D$37,"  ")</f>
        <v>266822.91000000003</v>
      </c>
      <c r="E47" s="54"/>
      <c r="F47" s="76">
        <f>IF('SP&amp;R'!$E$37&gt;0,'SP&amp;R'!$E$37,"  ")</f>
        <v>240278.39999999999</v>
      </c>
      <c r="G47" s="54"/>
      <c r="H47" s="54"/>
      <c r="J47" s="526" t="str">
        <f>CONCATENATE("",I2-1," Mill Rate Was:")</f>
        <v>2012 Mill Rate Was:</v>
      </c>
      <c r="K47" s="520"/>
      <c r="L47" s="520"/>
      <c r="M47" s="528">
        <f>E52</f>
        <v>53.734000000000002</v>
      </c>
    </row>
    <row r="48" spans="1:13">
      <c r="A48" s="76" t="str">
        <f>IF(inputPrYr!$B59&gt;"  ",('CIP Funds'!$A3),"  ")</f>
        <v>Non-Budgeted CIP Funds</v>
      </c>
      <c r="B48" s="76">
        <f>IF('CIP Funds'!$K$22&gt;0,'CIP Funds'!$K$22,"  ")</f>
        <v>1045493.05</v>
      </c>
      <c r="C48" s="54"/>
      <c r="D48" s="76"/>
      <c r="E48" s="54"/>
      <c r="F48" s="76"/>
      <c r="G48" s="54"/>
      <c r="H48" s="54"/>
      <c r="J48" s="529" t="str">
        <f>CONCATENATE("",I2," Tax Levy Fund Expenditures Must Be")</f>
        <v>2013 Tax Levy Fund Expenditures Must Be</v>
      </c>
      <c r="K48" s="530"/>
      <c r="L48" s="530"/>
      <c r="M48" s="527"/>
    </row>
    <row r="49" spans="1:13">
      <c r="A49" s="76" t="str">
        <f>IF(inputPrYr!$B65&gt;"  ",('Agency Funds1'!$A3),"  ")</f>
        <v>Non-Budgeted Agency Funds 1</v>
      </c>
      <c r="B49" s="76">
        <f>IF('Agency Funds1'!$K$22&gt;0,'Agency Funds1'!$K$22,"  ")</f>
        <v>71763.820000000007</v>
      </c>
      <c r="C49" s="54"/>
      <c r="D49" s="76"/>
      <c r="E49" s="54"/>
      <c r="F49" s="76"/>
      <c r="G49" s="54"/>
      <c r="H49" s="54"/>
      <c r="J49" s="529" t="str">
        <f>IF(M49&gt;0,"Increased By:","")</f>
        <v/>
      </c>
      <c r="K49" s="530"/>
      <c r="L49" s="530"/>
      <c r="M49" s="569">
        <f>IF(M56&lt;0,M56*-1,0)</f>
        <v>0</v>
      </c>
    </row>
    <row r="50" spans="1:13">
      <c r="A50" s="76" t="str">
        <f>IF(inputPrYr!$B71&gt;"  ",('Agency Funds2'!$A3),"  ")</f>
        <v>Non-Budgeted Agency Funds 2</v>
      </c>
      <c r="B50" s="76">
        <f>IF('Agency Funds2'!$K$22&gt;0,'Agency Funds2'!$K$22,"  ")</f>
        <v>18437.490000000002</v>
      </c>
      <c r="C50" s="54"/>
      <c r="D50" s="76"/>
      <c r="E50" s="54"/>
      <c r="F50" s="76"/>
      <c r="G50" s="54"/>
      <c r="H50" s="54"/>
      <c r="J50" s="570" t="str">
        <f>IF(M50&lt;0,"Reduced By:","")</f>
        <v>Reduced By:</v>
      </c>
      <c r="K50" s="571"/>
      <c r="L50" s="571"/>
      <c r="M50" s="572">
        <f>IF(M56&gt;0,M56*-1,0)</f>
        <v>-102264.60247202241</v>
      </c>
    </row>
    <row r="51" spans="1:13" ht="16.5" thickBot="1">
      <c r="A51" s="76" t="str">
        <f>IF(inputPrYr!$B77&gt;"  ",(NonBudD!$A3),"  ")</f>
        <v xml:space="preserve">  </v>
      </c>
      <c r="B51" s="539" t="str">
        <f>IF(NonBudD!$K$28&gt;0,NonBudD!$K$28,"  ")</f>
        <v xml:space="preserve">  </v>
      </c>
      <c r="C51" s="540"/>
      <c r="D51" s="539"/>
      <c r="E51" s="540"/>
      <c r="F51" s="539"/>
      <c r="G51" s="540"/>
      <c r="H51" s="540"/>
      <c r="J51" s="533"/>
      <c r="K51" s="533"/>
      <c r="L51" s="533"/>
      <c r="M51" s="533"/>
    </row>
    <row r="52" spans="1:13">
      <c r="A52" s="53" t="s">
        <v>598</v>
      </c>
      <c r="B52" s="856">
        <f>SUM(B15:B51)</f>
        <v>11510674.431000004</v>
      </c>
      <c r="C52" s="857">
        <f>SUM(C15:C27)</f>
        <v>49.246000000000002</v>
      </c>
      <c r="D52" s="856">
        <f>SUM(D15:D51)</f>
        <v>10245215.328812821</v>
      </c>
      <c r="E52" s="857">
        <f>SUM(E15:E27)</f>
        <v>53.734000000000002</v>
      </c>
      <c r="F52" s="856">
        <f>SUM(F15:F51)</f>
        <v>10508900.133486256</v>
      </c>
      <c r="G52" s="856">
        <f>SUM(G15:G51)</f>
        <v>1323632.6024720224</v>
      </c>
      <c r="H52" s="857">
        <f>SUM(H15:H27)</f>
        <v>58.234000000000002</v>
      </c>
      <c r="J52" s="991" t="str">
        <f>CONCATENATE("Impact On Keeping The Same Mill Rate As For ",I2-1,"")</f>
        <v>Impact On Keeping The Same Mill Rate As For 2012</v>
      </c>
      <c r="K52" s="994"/>
      <c r="L52" s="994"/>
      <c r="M52" s="995"/>
    </row>
    <row r="53" spans="1:13">
      <c r="A53" s="502" t="str">
        <f>IF((inputPrYr!B33&gt;""),(inputPrYr!B33),"")</f>
        <v>Recreation</v>
      </c>
      <c r="B53" s="849">
        <f>IF(('Library-Rec'!C64)&lt;&gt;0,('Library-Rec'!C64),"  ")</f>
        <v>142580.71</v>
      </c>
      <c r="C53" s="852">
        <f>IF(inputPrYr!D99&gt;0,inputPrYr!D99,"  ")</f>
        <v>4</v>
      </c>
      <c r="D53" s="849">
        <f>IF(('Library-Rec'!D64)&lt;&gt;0,('Library-Rec'!D64),"  ")</f>
        <v>98720.43</v>
      </c>
      <c r="E53" s="851">
        <f>IF(inputOth!D36&gt;0,inputOth!D36,"  ")</f>
        <v>4</v>
      </c>
      <c r="F53" s="849">
        <f>IF(('Library-Rec'!E64)&lt;&gt;0,('Library-Rec'!E64),"  ")</f>
        <v>13456</v>
      </c>
      <c r="G53" s="850" t="str">
        <f>IF('Library-Rec'!E71&lt;&gt;0,'Library-Rec'!E71,"  ")</f>
        <v xml:space="preserve">  </v>
      </c>
      <c r="H53" s="851">
        <f>IF('Library-Rec'!E71&gt;0,ROUND(G53/$F$59*1000,3),0)</f>
        <v>0</v>
      </c>
      <c r="I53" s="536" t="str">
        <f>IF(H53&gt;inputOth!E6,"Exceed Limit","")</f>
        <v/>
      </c>
      <c r="J53" s="526"/>
      <c r="K53" s="520"/>
      <c r="L53" s="520"/>
      <c r="M53" s="527"/>
    </row>
    <row r="54" spans="1:13">
      <c r="A54" s="501" t="s">
        <v>710</v>
      </c>
      <c r="B54" s="858">
        <f t="shared" ref="B54:H54" si="0">SUM(B52:B53)</f>
        <v>11653255.141000004</v>
      </c>
      <c r="C54" s="859">
        <f t="shared" si="0"/>
        <v>53.246000000000002</v>
      </c>
      <c r="D54" s="858">
        <f t="shared" si="0"/>
        <v>10343935.758812821</v>
      </c>
      <c r="E54" s="859">
        <f t="shared" si="0"/>
        <v>57.734000000000002</v>
      </c>
      <c r="F54" s="858">
        <f t="shared" si="0"/>
        <v>10522356.133486256</v>
      </c>
      <c r="G54" s="858">
        <f t="shared" si="0"/>
        <v>1323632.6024720224</v>
      </c>
      <c r="H54" s="859">
        <f t="shared" si="0"/>
        <v>58.234000000000002</v>
      </c>
      <c r="J54" s="526" t="str">
        <f>CONCATENATE("",I2," Ad Valorem Tax Revenue:")</f>
        <v>2013 Ad Valorem Tax Revenue:</v>
      </c>
      <c r="K54" s="520"/>
      <c r="L54" s="520"/>
      <c r="M54" s="521">
        <f>G52</f>
        <v>1323632.6024720224</v>
      </c>
    </row>
    <row r="55" spans="1:13">
      <c r="A55" s="41" t="s">
        <v>104</v>
      </c>
      <c r="B55" s="856">
        <f>transfers!C37</f>
        <v>1673163</v>
      </c>
      <c r="C55" s="188"/>
      <c r="D55" s="856">
        <f>transfers!D37</f>
        <v>2257510.5710009611</v>
      </c>
      <c r="E55" s="188"/>
      <c r="F55" s="856">
        <f>transfers!E37</f>
        <v>1626499.8806380001</v>
      </c>
      <c r="G55" s="36"/>
      <c r="H55" s="36"/>
      <c r="J55" s="526" t="str">
        <f>CONCATENATE("",I2-1," Ad Valorem Tax Revenue:")</f>
        <v>2012 Ad Valorem Tax Revenue:</v>
      </c>
      <c r="K55" s="520"/>
      <c r="L55" s="520"/>
      <c r="M55" s="534">
        <f>ROUND(F59*M47/1000,0)</f>
        <v>1221368</v>
      </c>
    </row>
    <row r="56" spans="1:13" ht="16.5" thickBot="1">
      <c r="A56" s="41" t="s">
        <v>105</v>
      </c>
      <c r="B56" s="860">
        <f>B54-B55</f>
        <v>9980092.1410000045</v>
      </c>
      <c r="C56" s="36"/>
      <c r="D56" s="860">
        <f>D54-D55</f>
        <v>8086425.187811859</v>
      </c>
      <c r="E56" s="193"/>
      <c r="F56" s="860">
        <f>F54-F55</f>
        <v>8895856.2528482564</v>
      </c>
      <c r="G56" s="36"/>
      <c r="H56" s="36"/>
      <c r="J56" s="531" t="s">
        <v>726</v>
      </c>
      <c r="K56" s="532"/>
      <c r="L56" s="532"/>
      <c r="M56" s="524">
        <f>SUM(M54-M55)</f>
        <v>102264.60247202241</v>
      </c>
    </row>
    <row r="57" spans="1:13" ht="16.5" thickTop="1">
      <c r="A57" s="41" t="s">
        <v>106</v>
      </c>
      <c r="B57" s="856">
        <f>inputPrYr!E102</f>
        <v>1272920</v>
      </c>
      <c r="C57" s="65"/>
      <c r="D57" s="856">
        <f>inputPrYr!E31</f>
        <v>1236166</v>
      </c>
      <c r="E57" s="65"/>
      <c r="F57" s="321" t="s">
        <v>67</v>
      </c>
      <c r="G57" s="36"/>
      <c r="H57" s="36"/>
      <c r="J57" s="525"/>
      <c r="K57" s="525"/>
      <c r="L57" s="525"/>
      <c r="M57" s="533"/>
    </row>
    <row r="58" spans="1:13">
      <c r="A58" s="41" t="s">
        <v>107</v>
      </c>
      <c r="B58" s="861"/>
      <c r="C58" s="36"/>
      <c r="D58" s="862"/>
      <c r="E58" s="36"/>
      <c r="F58" s="861"/>
      <c r="G58" s="36"/>
      <c r="H58" s="36"/>
      <c r="J58" s="991" t="s">
        <v>727</v>
      </c>
      <c r="K58" s="992"/>
      <c r="L58" s="992"/>
      <c r="M58" s="993"/>
    </row>
    <row r="59" spans="1:13">
      <c r="A59" s="41" t="s">
        <v>108</v>
      </c>
      <c r="B59" s="856">
        <f>inputPrYr!E103</f>
        <v>23905507</v>
      </c>
      <c r="C59" s="36"/>
      <c r="D59" s="856">
        <f>inputOth!E39</f>
        <v>23005714</v>
      </c>
      <c r="E59" s="36"/>
      <c r="F59" s="856">
        <f>inputOth!E9</f>
        <v>22729900</v>
      </c>
      <c r="G59" s="36"/>
      <c r="H59" s="36"/>
      <c r="J59" s="526"/>
      <c r="K59" s="520"/>
      <c r="L59" s="520"/>
      <c r="M59" s="527"/>
    </row>
    <row r="60" spans="1:13" ht="13.5" customHeight="1">
      <c r="A60" s="36"/>
      <c r="B60" s="36"/>
      <c r="C60" s="36"/>
      <c r="D60" s="36"/>
      <c r="E60" s="36"/>
      <c r="F60" s="36"/>
      <c r="G60" s="36"/>
      <c r="H60" s="36"/>
      <c r="J60" s="526" t="str">
        <f>CONCATENATE("Current ",I2," Estimated Mill Rate:")</f>
        <v>Current 2013 Estimated Mill Rate:</v>
      </c>
      <c r="K60" s="520"/>
      <c r="L60" s="520"/>
      <c r="M60" s="528">
        <f>H52</f>
        <v>58.234000000000002</v>
      </c>
    </row>
    <row r="61" spans="1:13">
      <c r="A61" s="41" t="s">
        <v>109</v>
      </c>
      <c r="B61" s="36"/>
      <c r="C61" s="36"/>
      <c r="D61" s="36"/>
      <c r="E61" s="36"/>
      <c r="F61" s="36"/>
      <c r="G61" s="36"/>
      <c r="H61" s="36"/>
      <c r="J61" s="526" t="str">
        <f>CONCATENATE("Desired ",I2," Mill Rate:")</f>
        <v>Desired 2013 Mill Rate:</v>
      </c>
      <c r="K61" s="520"/>
      <c r="L61" s="520"/>
      <c r="M61" s="518">
        <v>0</v>
      </c>
    </row>
    <row r="62" spans="1:13" ht="18.75" customHeight="1">
      <c r="A62" s="41" t="s">
        <v>110</v>
      </c>
      <c r="B62" s="322">
        <f>I2-3</f>
        <v>2010</v>
      </c>
      <c r="C62" s="36"/>
      <c r="D62" s="322">
        <f>I2-2</f>
        <v>2011</v>
      </c>
      <c r="E62" s="36"/>
      <c r="F62" s="322">
        <f>I2-1</f>
        <v>2012</v>
      </c>
      <c r="G62" s="36"/>
      <c r="H62" s="36"/>
      <c r="J62" s="526" t="str">
        <f>CONCATENATE("",I2," Ad Valorem Tax:")</f>
        <v>2013 Ad Valorem Tax:</v>
      </c>
      <c r="K62" s="520"/>
      <c r="L62" s="520"/>
      <c r="M62" s="534">
        <f>ROUND(F59*M61/1000,0)</f>
        <v>0</v>
      </c>
    </row>
    <row r="63" spans="1:13" ht="18.75" customHeight="1">
      <c r="A63" s="41" t="s">
        <v>111</v>
      </c>
      <c r="B63" s="231">
        <f>inputPrYr!D107</f>
        <v>6410000</v>
      </c>
      <c r="C63" s="163"/>
      <c r="D63" s="231">
        <f>inputPrYr!E107</f>
        <v>6121000</v>
      </c>
      <c r="E63" s="163"/>
      <c r="F63" s="231">
        <f>debt!G18</f>
        <v>6055000</v>
      </c>
      <c r="G63" s="36"/>
      <c r="H63" s="36"/>
      <c r="J63" s="531" t="str">
        <f>CONCATENATE("",I2," Tax Levy Fund Exp. Changed By:")</f>
        <v>2013 Tax Levy Fund Exp. Changed By:</v>
      </c>
      <c r="K63" s="532"/>
      <c r="L63" s="532"/>
      <c r="M63" s="524">
        <f>M62-G52</f>
        <v>-1323632.6024720224</v>
      </c>
    </row>
    <row r="64" spans="1:13" ht="18.75" customHeight="1">
      <c r="A64" s="41" t="s">
        <v>112</v>
      </c>
      <c r="B64" s="494">
        <f>inputPrYr!D108</f>
        <v>0</v>
      </c>
      <c r="C64" s="163"/>
      <c r="D64" s="494">
        <f>inputPrYr!E108</f>
        <v>0</v>
      </c>
      <c r="E64" s="163"/>
      <c r="F64" s="231">
        <f>debt!G27</f>
        <v>0</v>
      </c>
      <c r="G64" s="36"/>
      <c r="H64" s="36"/>
    </row>
    <row r="65" spans="1:8" ht="18.75" customHeight="1">
      <c r="A65" s="36" t="s">
        <v>130</v>
      </c>
      <c r="B65" s="494">
        <f>inputPrYr!D109</f>
        <v>2784476</v>
      </c>
      <c r="C65" s="163"/>
      <c r="D65" s="494">
        <f>inputPrYr!E109</f>
        <v>2336772</v>
      </c>
      <c r="E65" s="163"/>
      <c r="F65" s="231">
        <f>debt!G37</f>
        <v>2101171.04</v>
      </c>
      <c r="G65" s="36"/>
      <c r="H65" s="36"/>
    </row>
    <row r="66" spans="1:8" ht="18" customHeight="1">
      <c r="A66" s="41" t="s">
        <v>207</v>
      </c>
      <c r="B66" s="494">
        <f>inputPrYr!D110</f>
        <v>238970</v>
      </c>
      <c r="C66" s="163"/>
      <c r="D66" s="494">
        <f>inputPrYr!E110</f>
        <v>192452</v>
      </c>
      <c r="E66" s="163"/>
      <c r="F66" s="231">
        <f>lpform!G24</f>
        <v>156849</v>
      </c>
      <c r="G66" s="36"/>
      <c r="H66" s="36"/>
    </row>
    <row r="67" spans="1:8" ht="19.5" customHeight="1" thickBot="1">
      <c r="A67" s="41" t="s">
        <v>113</v>
      </c>
      <c r="B67" s="330">
        <f>SUM(B63:B66)</f>
        <v>9433446</v>
      </c>
      <c r="C67" s="163"/>
      <c r="D67" s="330">
        <f>SUM(D63:D66)</f>
        <v>8650224</v>
      </c>
      <c r="E67" s="163"/>
      <c r="F67" s="330">
        <f>SUM(F63:F66)</f>
        <v>8313020.04</v>
      </c>
      <c r="G67" s="36"/>
      <c r="H67" s="36"/>
    </row>
    <row r="68" spans="1:8" ht="18.75" customHeight="1" thickTop="1">
      <c r="A68" s="41" t="s">
        <v>114</v>
      </c>
      <c r="B68" s="36"/>
      <c r="C68" s="36"/>
      <c r="D68" s="36"/>
      <c r="E68" s="36"/>
      <c r="F68" s="36"/>
      <c r="G68" s="36"/>
      <c r="H68" s="36"/>
    </row>
    <row r="69" spans="1:8">
      <c r="A69" s="36"/>
      <c r="B69" s="36"/>
      <c r="C69" s="36"/>
      <c r="D69" s="36"/>
      <c r="E69" s="36"/>
      <c r="F69" s="36"/>
      <c r="G69" s="36"/>
      <c r="H69" s="36"/>
    </row>
    <row r="70" spans="1:8">
      <c r="A70" s="1000" t="str">
        <f>inputBudSum!B3</f>
        <v>Ann Elmquist</v>
      </c>
      <c r="B70" s="1000"/>
      <c r="C70" s="65"/>
      <c r="D70" s="36"/>
      <c r="E70" s="36"/>
      <c r="F70" s="36"/>
      <c r="G70" s="36"/>
      <c r="H70" s="36"/>
    </row>
    <row r="71" spans="1:8">
      <c r="A71" s="998" t="str">
        <f>CONCATENATE("City Official Title: ",inputBudSum!B5,"")</f>
        <v>City Official Title: City Clerk</v>
      </c>
      <c r="B71" s="988"/>
      <c r="C71" s="36"/>
      <c r="D71" s="36"/>
      <c r="E71" s="36"/>
      <c r="F71" s="36"/>
      <c r="G71" s="36"/>
      <c r="H71" s="36"/>
    </row>
    <row r="72" spans="1:8">
      <c r="A72" s="36"/>
      <c r="B72" s="36"/>
      <c r="C72" s="36"/>
      <c r="D72" s="36"/>
      <c r="E72" s="36"/>
      <c r="F72" s="36"/>
      <c r="G72" s="36"/>
      <c r="H72" s="36"/>
    </row>
    <row r="73" spans="1:8">
      <c r="A73" s="36"/>
      <c r="B73" s="36"/>
      <c r="C73" s="127" t="s">
        <v>89</v>
      </c>
      <c r="D73" s="273">
        <v>22</v>
      </c>
      <c r="E73" s="36"/>
      <c r="F73" s="36"/>
      <c r="G73" s="36"/>
      <c r="H73" s="36"/>
    </row>
    <row r="75" spans="1:8">
      <c r="F75" s="316">
        <f>+D59-F59</f>
        <v>275814</v>
      </c>
    </row>
  </sheetData>
  <mergeCells count="12">
    <mergeCell ref="A71:B71"/>
    <mergeCell ref="A5:H5"/>
    <mergeCell ref="A70:B70"/>
    <mergeCell ref="J58:M58"/>
    <mergeCell ref="J52:M52"/>
    <mergeCell ref="J41:M41"/>
    <mergeCell ref="J45:M45"/>
    <mergeCell ref="A1:H1"/>
    <mergeCell ref="A4:H4"/>
    <mergeCell ref="A6:H6"/>
    <mergeCell ref="A7:H7"/>
    <mergeCell ref="A3:H3"/>
  </mergeCells>
  <phoneticPr fontId="0" type="noConversion"/>
  <printOptions horizontalCentered="1"/>
  <pageMargins left="0.5" right="0.5" top="0.5" bottom="0.5" header="0.3" footer="0.3"/>
  <pageSetup scale="71" orientation="portrait" blackAndWhite="1" horizontalDpi="120" verticalDpi="144" r:id="rId1"/>
  <headerFooter alignWithMargins="0"/>
</worksheet>
</file>

<file path=xl/worksheets/sheet4.xml><?xml version="1.0" encoding="utf-8"?>
<worksheet xmlns="http://schemas.openxmlformats.org/spreadsheetml/2006/main" xmlns:r="http://schemas.openxmlformats.org/officeDocument/2006/relationships">
  <dimension ref="A1:J27"/>
  <sheetViews>
    <sheetView workbookViewId="0">
      <selection activeCell="D20" sqref="D20"/>
    </sheetView>
  </sheetViews>
  <sheetFormatPr defaultRowHeight="15"/>
  <cols>
    <col min="1" max="1" width="13.77734375" customWidth="1"/>
    <col min="2" max="2" width="16.109375" customWidth="1"/>
  </cols>
  <sheetData>
    <row r="1" spans="1:10">
      <c r="J1" s="587" t="s">
        <v>756</v>
      </c>
    </row>
    <row r="2" spans="1:10" ht="54" customHeight="1">
      <c r="A2" s="930" t="s">
        <v>389</v>
      </c>
      <c r="B2" s="931"/>
      <c r="C2" s="931"/>
      <c r="D2" s="931"/>
      <c r="E2" s="931"/>
      <c r="F2" s="931"/>
      <c r="J2" s="587" t="s">
        <v>757</v>
      </c>
    </row>
    <row r="3" spans="1:10" ht="15.75">
      <c r="A3" s="1" t="s">
        <v>758</v>
      </c>
      <c r="B3" s="588" t="s">
        <v>988</v>
      </c>
      <c r="C3" s="588"/>
      <c r="J3" s="587" t="s">
        <v>759</v>
      </c>
    </row>
    <row r="4" spans="1:10" ht="15.75">
      <c r="A4" s="1"/>
      <c r="B4" s="586"/>
      <c r="J4" s="587" t="s">
        <v>760</v>
      </c>
    </row>
    <row r="5" spans="1:10" ht="15.75">
      <c r="A5" s="1" t="s">
        <v>728</v>
      </c>
      <c r="B5" s="588" t="s">
        <v>214</v>
      </c>
      <c r="J5" s="587" t="s">
        <v>761</v>
      </c>
    </row>
    <row r="6" spans="1:10" ht="15.75">
      <c r="A6" s="344"/>
      <c r="B6" s="344"/>
      <c r="C6" s="344"/>
      <c r="D6" s="345" t="s">
        <v>762</v>
      </c>
      <c r="E6" s="344"/>
      <c r="F6" s="344"/>
      <c r="J6" s="587" t="s">
        <v>763</v>
      </c>
    </row>
    <row r="7" spans="1:10" ht="15.75">
      <c r="A7" s="345" t="s">
        <v>390</v>
      </c>
      <c r="B7" s="588" t="s">
        <v>1158</v>
      </c>
      <c r="C7" s="346"/>
      <c r="D7" s="345" t="str">
        <f ca="1">IF(B7="","",CONCATENATE("Latest date for notice to be published in your newspaper: ",G18," ",G22,", ",G23))</f>
        <v>Latest date for notice to be published in your newspaper: July 30, 2012</v>
      </c>
      <c r="E7" s="344"/>
      <c r="F7" s="344"/>
      <c r="J7" s="587" t="s">
        <v>764</v>
      </c>
    </row>
    <row r="8" spans="1:10" ht="15.75">
      <c r="A8" s="345"/>
      <c r="B8" s="347"/>
      <c r="C8" s="348"/>
      <c r="D8" s="345"/>
      <c r="E8" s="344"/>
      <c r="F8" s="344"/>
      <c r="J8" s="587" t="s">
        <v>765</v>
      </c>
    </row>
    <row r="9" spans="1:10" ht="15.75">
      <c r="A9" s="345" t="s">
        <v>391</v>
      </c>
      <c r="B9" s="588" t="s">
        <v>1159</v>
      </c>
      <c r="C9" s="349"/>
      <c r="D9" s="345"/>
      <c r="E9" s="344"/>
      <c r="F9" s="344"/>
      <c r="J9" s="587" t="s">
        <v>766</v>
      </c>
    </row>
    <row r="10" spans="1:10" ht="15.75">
      <c r="A10" s="345"/>
      <c r="B10" s="345"/>
      <c r="C10" s="345"/>
      <c r="D10" s="345"/>
      <c r="E10" s="344"/>
      <c r="F10" s="344"/>
      <c r="J10" s="587" t="s">
        <v>767</v>
      </c>
    </row>
    <row r="11" spans="1:10" ht="15.75">
      <c r="A11" s="345" t="s">
        <v>392</v>
      </c>
      <c r="B11" s="589" t="s">
        <v>1160</v>
      </c>
      <c r="C11" s="589"/>
      <c r="D11" s="589"/>
      <c r="E11" s="590"/>
      <c r="F11" s="344"/>
      <c r="J11" s="587" t="s">
        <v>768</v>
      </c>
    </row>
    <row r="12" spans="1:10" ht="15.75">
      <c r="A12" s="345"/>
      <c r="B12" s="345"/>
      <c r="C12" s="345"/>
      <c r="D12" s="345"/>
      <c r="E12" s="344"/>
      <c r="F12" s="344"/>
      <c r="J12" s="587" t="s">
        <v>769</v>
      </c>
    </row>
    <row r="13" spans="1:10" ht="15.75">
      <c r="A13" s="345"/>
      <c r="B13" s="345"/>
      <c r="C13" s="345"/>
      <c r="D13" s="345"/>
      <c r="E13" s="344"/>
      <c r="F13" s="344"/>
    </row>
    <row r="14" spans="1:10" ht="15.75">
      <c r="A14" s="345" t="s">
        <v>393</v>
      </c>
      <c r="B14" s="589" t="s">
        <v>397</v>
      </c>
      <c r="C14" s="589"/>
      <c r="D14" s="589"/>
      <c r="E14" s="590"/>
      <c r="F14" s="344"/>
    </row>
    <row r="17" spans="1:7" ht="15.75">
      <c r="A17" s="932" t="s">
        <v>394</v>
      </c>
      <c r="B17" s="932"/>
      <c r="C17" s="345"/>
      <c r="D17" s="345"/>
      <c r="E17" s="345"/>
      <c r="F17" s="344"/>
    </row>
    <row r="18" spans="1:7" ht="15.75">
      <c r="A18" s="345"/>
      <c r="B18" s="345"/>
      <c r="C18" s="345"/>
      <c r="D18" s="345"/>
      <c r="E18" s="345"/>
      <c r="F18" s="344"/>
      <c r="G18" s="587" t="str">
        <f ca="1">IF(B7="","",INDIRECT(G19))</f>
        <v>July</v>
      </c>
    </row>
    <row r="19" spans="1:7" ht="15.75">
      <c r="A19" s="345" t="s">
        <v>728</v>
      </c>
      <c r="B19" s="345" t="s">
        <v>729</v>
      </c>
      <c r="C19" s="345"/>
      <c r="D19" s="345"/>
      <c r="E19" s="345"/>
      <c r="F19" s="344"/>
      <c r="G19" s="591" t="str">
        <f>IF(B7="","",CONCATENATE("J",G21))</f>
        <v>J7</v>
      </c>
    </row>
    <row r="20" spans="1:7" ht="15.75">
      <c r="A20" s="345"/>
      <c r="B20" s="345"/>
      <c r="C20" s="345"/>
      <c r="D20" s="345"/>
      <c r="E20" s="345"/>
      <c r="F20" s="344"/>
      <c r="G20" s="592">
        <f>B7-10</f>
        <v>41120</v>
      </c>
    </row>
    <row r="21" spans="1:7" ht="15.75">
      <c r="A21" s="345" t="s">
        <v>390</v>
      </c>
      <c r="B21" s="347" t="s">
        <v>395</v>
      </c>
      <c r="C21" s="345"/>
      <c r="D21" s="345"/>
      <c r="E21" s="345"/>
      <c r="G21" s="593">
        <f>IF(B7="","",MONTH(G20))</f>
        <v>7</v>
      </c>
    </row>
    <row r="22" spans="1:7" ht="15.75">
      <c r="A22" s="345"/>
      <c r="B22" s="345"/>
      <c r="C22" s="345"/>
      <c r="D22" s="345"/>
      <c r="E22" s="345"/>
      <c r="G22" s="594">
        <f>IF(B7="","",DAY(G20))</f>
        <v>30</v>
      </c>
    </row>
    <row r="23" spans="1:7" ht="15.75">
      <c r="A23" s="345" t="s">
        <v>391</v>
      </c>
      <c r="B23" s="345" t="s">
        <v>396</v>
      </c>
      <c r="C23" s="345"/>
      <c r="D23" s="345"/>
      <c r="E23" s="345"/>
      <c r="G23" s="595">
        <f>IF(B7="","",YEAR(G20))</f>
        <v>2012</v>
      </c>
    </row>
    <row r="24" spans="1:7" ht="15.75">
      <c r="A24" s="345"/>
      <c r="B24" s="345"/>
      <c r="C24" s="345"/>
      <c r="D24" s="345"/>
      <c r="E24" s="345"/>
    </row>
    <row r="25" spans="1:7" ht="15.75">
      <c r="A25" s="345" t="s">
        <v>392</v>
      </c>
      <c r="B25" s="345" t="s">
        <v>397</v>
      </c>
      <c r="C25" s="345"/>
      <c r="D25" s="345"/>
      <c r="E25" s="345"/>
    </row>
    <row r="26" spans="1:7" ht="15.75">
      <c r="A26" s="345"/>
      <c r="B26" s="345"/>
      <c r="C26" s="345"/>
      <c r="D26" s="345"/>
      <c r="E26" s="345"/>
    </row>
    <row r="27" spans="1:7" ht="15.75">
      <c r="A27" s="345" t="s">
        <v>393</v>
      </c>
      <c r="B27" s="345" t="s">
        <v>397</v>
      </c>
      <c r="C27" s="345"/>
      <c r="D27" s="345"/>
      <c r="E27" s="345"/>
    </row>
  </sheetData>
  <sheetProtection sheet="1"/>
  <mergeCells count="2">
    <mergeCell ref="A2:F2"/>
    <mergeCell ref="A17:B17"/>
  </mergeCells>
  <phoneticPr fontId="0" type="noConversion"/>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sheetPr>
    <pageSetUpPr fitToPage="1"/>
  </sheetPr>
  <dimension ref="A1:F41"/>
  <sheetViews>
    <sheetView zoomScaleNormal="100" workbookViewId="0">
      <selection activeCell="C6" sqref="C6"/>
    </sheetView>
  </sheetViews>
  <sheetFormatPr defaultRowHeight="15"/>
  <cols>
    <col min="1" max="1" width="10.109375" style="95" customWidth="1"/>
    <col min="2" max="2" width="16.33203125" style="95" customWidth="1"/>
    <col min="3" max="3" width="11.77734375" style="95" customWidth="1"/>
    <col min="4" max="4" width="12.77734375" style="95" customWidth="1"/>
    <col min="5" max="5" width="11.77734375" style="95" customWidth="1"/>
    <col min="6" max="16384" width="8.88671875" style="95"/>
  </cols>
  <sheetData>
    <row r="1" spans="1:6" ht="15.75">
      <c r="A1" s="188" t="str">
        <f>inputPrYr!D2</f>
        <v>City of Osawatomie</v>
      </c>
      <c r="B1" s="36"/>
      <c r="C1" s="36"/>
      <c r="D1" s="36"/>
      <c r="E1" s="36"/>
      <c r="F1" s="36">
        <f>inputPrYr!C5</f>
        <v>2013</v>
      </c>
    </row>
    <row r="2" spans="1:6" ht="15.75">
      <c r="A2" s="36"/>
      <c r="B2" s="36"/>
      <c r="C2" s="36"/>
      <c r="D2" s="36"/>
      <c r="E2" s="36"/>
      <c r="F2" s="36"/>
    </row>
    <row r="3" spans="1:6" ht="15.75">
      <c r="A3" s="36"/>
      <c r="B3" s="947" t="str">
        <f>CONCATENATE("",F1," Neighborhood Revitalization Rebate")</f>
        <v>2013 Neighborhood Revitalization Rebate</v>
      </c>
      <c r="C3" s="1002"/>
      <c r="D3" s="1002"/>
      <c r="E3" s="1002"/>
      <c r="F3" s="36"/>
    </row>
    <row r="4" spans="1:6" ht="15.75">
      <c r="A4" s="36"/>
      <c r="B4" s="36"/>
      <c r="C4" s="36"/>
      <c r="D4" s="36"/>
      <c r="E4" s="36"/>
      <c r="F4" s="36"/>
    </row>
    <row r="5" spans="1:6" ht="51.75" customHeight="1">
      <c r="A5" s="36"/>
      <c r="B5" s="324" t="str">
        <f>CONCATENATE("Budgeted Funds         for ",F1,"")</f>
        <v>Budgeted Funds         for 2013</v>
      </c>
      <c r="C5" s="324" t="str">
        <f>CONCATENATE("",F1-1," Ad Valorem before Rebate**")</f>
        <v>2012 Ad Valorem before Rebate**</v>
      </c>
      <c r="D5" s="325" t="str">
        <f>CONCATENATE("",F1-1," Mil Rate before Rebate")</f>
        <v>2012 Mil Rate before Rebate</v>
      </c>
      <c r="E5" s="326" t="str">
        <f>CONCATENATE("Estimate ",F1," NR Rebate")</f>
        <v>Estimate 2013 NR Rebate</v>
      </c>
      <c r="F5" s="87"/>
    </row>
    <row r="6" spans="1:6" ht="15.75">
      <c r="A6" s="36"/>
      <c r="B6" s="53" t="str">
        <f>inputPrYr!B17</f>
        <v>General</v>
      </c>
      <c r="C6" s="327"/>
      <c r="D6" s="328" t="str">
        <f>IF(C6&gt;0,C6/$D$25,"")</f>
        <v/>
      </c>
      <c r="E6" s="231" t="str">
        <f t="shared" ref="E6:E18" si="0">IF(C6&gt;0,ROUND(D6*$D$29,0),"")</f>
        <v/>
      </c>
      <c r="F6" s="87"/>
    </row>
    <row r="7" spans="1:6" ht="15.75">
      <c r="A7" s="36"/>
      <c r="B7" s="53" t="str">
        <f>inputPrYr!B18</f>
        <v>Bond &amp; Interest</v>
      </c>
      <c r="C7" s="327"/>
      <c r="D7" s="328" t="str">
        <f t="shared" ref="D7:D18" si="1">IF(C7&gt;0,C7/$D$25,"")</f>
        <v/>
      </c>
      <c r="E7" s="231" t="str">
        <f t="shared" si="0"/>
        <v/>
      </c>
      <c r="F7" s="87"/>
    </row>
    <row r="8" spans="1:6" ht="15.75">
      <c r="A8" s="36"/>
      <c r="B8" s="53" t="str">
        <f>inputPrYr!B19</f>
        <v>Library</v>
      </c>
      <c r="C8" s="327"/>
      <c r="D8" s="328" t="str">
        <f>IF(C8&gt;0,C8/$D$25,"")</f>
        <v/>
      </c>
      <c r="E8" s="231" t="str">
        <f>IF(C8&gt;0,ROUND(D8*$D$29,0),"")</f>
        <v/>
      </c>
      <c r="F8" s="87"/>
    </row>
    <row r="9" spans="1:6" ht="15.75">
      <c r="A9" s="36"/>
      <c r="B9" s="76" t="str">
        <f>inputPrYr!B21</f>
        <v>Industrial</v>
      </c>
      <c r="C9" s="327"/>
      <c r="D9" s="328" t="str">
        <f t="shared" si="1"/>
        <v/>
      </c>
      <c r="E9" s="231" t="str">
        <f t="shared" si="0"/>
        <v/>
      </c>
      <c r="F9" s="87"/>
    </row>
    <row r="10" spans="1:6" ht="15.75">
      <c r="A10" s="36"/>
      <c r="B10" s="76" t="str">
        <f>inputPrYr!B22</f>
        <v>Employee Benefits</v>
      </c>
      <c r="C10" s="327"/>
      <c r="D10" s="328" t="str">
        <f t="shared" si="1"/>
        <v/>
      </c>
      <c r="E10" s="231" t="str">
        <f t="shared" si="0"/>
        <v/>
      </c>
      <c r="F10" s="87"/>
    </row>
    <row r="11" spans="1:6" ht="15.75">
      <c r="A11" s="36"/>
      <c r="B11" s="76" t="str">
        <f>inputPrYr!B23</f>
        <v>Public Safety Equipment</v>
      </c>
      <c r="C11" s="327"/>
      <c r="D11" s="328" t="str">
        <f t="shared" si="1"/>
        <v/>
      </c>
      <c r="E11" s="231" t="str">
        <f t="shared" si="0"/>
        <v/>
      </c>
      <c r="F11" s="87"/>
    </row>
    <row r="12" spans="1:6" ht="15.75">
      <c r="A12" s="36"/>
      <c r="B12" s="76" t="str">
        <f>inputPrYr!B24</f>
        <v>Recreation Employee Benefits</v>
      </c>
      <c r="C12" s="327"/>
      <c r="D12" s="328" t="str">
        <f t="shared" si="1"/>
        <v/>
      </c>
      <c r="E12" s="231" t="str">
        <f t="shared" si="0"/>
        <v/>
      </c>
      <c r="F12" s="87"/>
    </row>
    <row r="13" spans="1:6" ht="15.75">
      <c r="A13" s="36"/>
      <c r="B13" s="76">
        <f>inputPrYr!B25</f>
        <v>0</v>
      </c>
      <c r="C13" s="329"/>
      <c r="D13" s="328" t="str">
        <f t="shared" si="1"/>
        <v/>
      </c>
      <c r="E13" s="231" t="str">
        <f t="shared" si="0"/>
        <v/>
      </c>
      <c r="F13" s="87"/>
    </row>
    <row r="14" spans="1:6" ht="15.75">
      <c r="A14" s="36"/>
      <c r="B14" s="76">
        <f>inputPrYr!B26</f>
        <v>0</v>
      </c>
      <c r="C14" s="329"/>
      <c r="D14" s="328" t="str">
        <f t="shared" si="1"/>
        <v/>
      </c>
      <c r="E14" s="231" t="str">
        <f t="shared" si="0"/>
        <v/>
      </c>
      <c r="F14" s="87"/>
    </row>
    <row r="15" spans="1:6" ht="15.75">
      <c r="A15" s="36"/>
      <c r="B15" s="76">
        <f>inputPrYr!B27</f>
        <v>0</v>
      </c>
      <c r="C15" s="329"/>
      <c r="D15" s="328" t="str">
        <f t="shared" si="1"/>
        <v/>
      </c>
      <c r="E15" s="231" t="str">
        <f t="shared" si="0"/>
        <v/>
      </c>
      <c r="F15" s="87"/>
    </row>
    <row r="16" spans="1:6" ht="15.75">
      <c r="A16" s="36"/>
      <c r="B16" s="76">
        <f>inputPrYr!B28</f>
        <v>0</v>
      </c>
      <c r="C16" s="329"/>
      <c r="D16" s="328" t="str">
        <f t="shared" si="1"/>
        <v/>
      </c>
      <c r="E16" s="231" t="str">
        <f t="shared" si="0"/>
        <v/>
      </c>
      <c r="F16" s="87"/>
    </row>
    <row r="17" spans="1:6" ht="15.75">
      <c r="A17" s="36"/>
      <c r="B17" s="76">
        <f>inputPrYr!B29</f>
        <v>0</v>
      </c>
      <c r="C17" s="329"/>
      <c r="D17" s="328" t="str">
        <f t="shared" si="1"/>
        <v/>
      </c>
      <c r="E17" s="231" t="str">
        <f t="shared" si="0"/>
        <v/>
      </c>
      <c r="F17" s="87"/>
    </row>
    <row r="18" spans="1:6" ht="15.75">
      <c r="A18" s="36"/>
      <c r="B18" s="76">
        <f>inputPrYr!B30</f>
        <v>0</v>
      </c>
      <c r="C18" s="329"/>
      <c r="D18" s="328" t="str">
        <f t="shared" si="1"/>
        <v/>
      </c>
      <c r="E18" s="231" t="str">
        <f t="shared" si="0"/>
        <v/>
      </c>
      <c r="F18" s="87"/>
    </row>
    <row r="19" spans="1:6" ht="15.75">
      <c r="A19" s="36"/>
      <c r="B19" s="76" t="str">
        <f>inputPrYr!B33</f>
        <v>Recreation</v>
      </c>
      <c r="C19" s="329"/>
      <c r="D19" s="328" t="str">
        <f>IF(C19&gt;0,C19/$D$25,"")</f>
        <v/>
      </c>
      <c r="E19" s="231" t="str">
        <f>IF(C19&gt;0,ROUND(D19*$D$29,0),"")</f>
        <v/>
      </c>
      <c r="F19" s="87"/>
    </row>
    <row r="20" spans="1:6" ht="16.5" thickBot="1">
      <c r="A20" s="36"/>
      <c r="B20" s="54" t="s">
        <v>73</v>
      </c>
      <c r="C20" s="330">
        <f>SUM(C6:C19)</f>
        <v>0</v>
      </c>
      <c r="D20" s="331">
        <f>SUM(D6:D18)</f>
        <v>0</v>
      </c>
      <c r="E20" s="330">
        <f>SUM(E6:E18)</f>
        <v>0</v>
      </c>
      <c r="F20" s="87"/>
    </row>
    <row r="21" spans="1:6" ht="16.5" thickTop="1">
      <c r="A21" s="36"/>
      <c r="B21" s="36"/>
      <c r="C21" s="36"/>
      <c r="D21" s="36"/>
      <c r="E21" s="36"/>
      <c r="F21" s="87"/>
    </row>
    <row r="22" spans="1:6" ht="15.75">
      <c r="A22" s="36"/>
      <c r="B22" s="36"/>
      <c r="C22" s="36"/>
      <c r="D22" s="36"/>
      <c r="E22" s="36"/>
      <c r="F22" s="87"/>
    </row>
    <row r="23" spans="1:6" ht="15.75">
      <c r="A23" s="1003" t="str">
        <f>CONCATENATE("",F1-1," July 1 Valuation:")</f>
        <v>2012 July 1 Valuation:</v>
      </c>
      <c r="B23" s="970"/>
      <c r="C23" s="1003"/>
      <c r="D23" s="323">
        <f>inputOth!E9</f>
        <v>22729900</v>
      </c>
      <c r="E23" s="36"/>
      <c r="F23" s="87"/>
    </row>
    <row r="24" spans="1:6" ht="15.75">
      <c r="A24" s="36"/>
      <c r="B24" s="36"/>
      <c r="C24" s="36"/>
      <c r="D24" s="36"/>
      <c r="E24" s="36"/>
      <c r="F24" s="87"/>
    </row>
    <row r="25" spans="1:6" ht="15.75">
      <c r="A25" s="36"/>
      <c r="B25" s="1003" t="s">
        <v>325</v>
      </c>
      <c r="C25" s="1003"/>
      <c r="D25" s="332">
        <f>IF(D23&gt;0,(D23*0.001),"")</f>
        <v>22729.9</v>
      </c>
      <c r="E25" s="36"/>
      <c r="F25" s="87"/>
    </row>
    <row r="26" spans="1:6" ht="15.75">
      <c r="A26" s="36"/>
      <c r="B26" s="127"/>
      <c r="C26" s="127"/>
      <c r="D26" s="333"/>
      <c r="E26" s="36"/>
      <c r="F26" s="87"/>
    </row>
    <row r="27" spans="1:6" ht="15.75">
      <c r="A27" s="1001" t="s">
        <v>326</v>
      </c>
      <c r="B27" s="937"/>
      <c r="C27" s="937"/>
      <c r="D27" s="334">
        <f>inputOth!E19</f>
        <v>0</v>
      </c>
      <c r="E27" s="57"/>
      <c r="F27" s="57"/>
    </row>
    <row r="28" spans="1:6">
      <c r="A28" s="57"/>
      <c r="B28" s="57"/>
      <c r="C28" s="57"/>
      <c r="D28" s="335"/>
      <c r="E28" s="57"/>
      <c r="F28" s="57"/>
    </row>
    <row r="29" spans="1:6" ht="15.75">
      <c r="A29" s="57"/>
      <c r="B29" s="1001" t="s">
        <v>327</v>
      </c>
      <c r="C29" s="970"/>
      <c r="D29" s="336" t="str">
        <f>IF(D27&gt;0,(D27*0.001),"")</f>
        <v/>
      </c>
      <c r="E29" s="57"/>
      <c r="F29" s="57"/>
    </row>
    <row r="30" spans="1:6">
      <c r="A30" s="57"/>
      <c r="B30" s="57"/>
      <c r="C30" s="57"/>
      <c r="D30" s="57"/>
      <c r="E30" s="57"/>
      <c r="F30" s="57"/>
    </row>
    <row r="31" spans="1:6">
      <c r="A31" s="57"/>
      <c r="B31" s="57"/>
      <c r="C31" s="57"/>
      <c r="D31" s="57"/>
      <c r="E31" s="57"/>
      <c r="F31" s="57"/>
    </row>
    <row r="32" spans="1:6">
      <c r="A32" s="57"/>
      <c r="B32" s="57"/>
      <c r="C32" s="57"/>
      <c r="D32" s="57"/>
      <c r="E32" s="57"/>
      <c r="F32" s="57"/>
    </row>
    <row r="33" spans="1:6" ht="15.75">
      <c r="A33" s="364" t="str">
        <f>CONCATENATE("**This information comes from the ",F1," Budget Summary page.  See instructions tab #13 for completing")</f>
        <v>**This information comes from the 2013 Budget Summary page.  See instructions tab #13 for completing</v>
      </c>
      <c r="B33" s="57"/>
      <c r="C33" s="57"/>
      <c r="D33" s="57"/>
      <c r="E33" s="57"/>
      <c r="F33" s="57"/>
    </row>
    <row r="34" spans="1:6" ht="15.75">
      <c r="A34" s="364" t="s">
        <v>574</v>
      </c>
      <c r="B34" s="57"/>
      <c r="C34" s="57"/>
      <c r="D34" s="57"/>
      <c r="E34" s="57"/>
      <c r="F34" s="57"/>
    </row>
    <row r="35" spans="1:6" ht="15.75">
      <c r="A35" s="364"/>
      <c r="B35" s="57"/>
      <c r="C35" s="57"/>
      <c r="D35" s="57"/>
      <c r="E35" s="57"/>
      <c r="F35" s="57"/>
    </row>
    <row r="36" spans="1:6" ht="15.75">
      <c r="A36" s="364"/>
      <c r="B36" s="57"/>
      <c r="C36" s="57"/>
      <c r="D36" s="57"/>
      <c r="E36" s="57"/>
      <c r="F36" s="57"/>
    </row>
    <row r="37" spans="1:6" ht="15.75">
      <c r="A37" s="364"/>
      <c r="B37" s="57"/>
      <c r="C37" s="57"/>
      <c r="D37" s="57"/>
      <c r="E37" s="57"/>
      <c r="F37" s="57"/>
    </row>
    <row r="38" spans="1:6" ht="15.75">
      <c r="A38" s="364"/>
      <c r="B38" s="57"/>
      <c r="C38" s="57"/>
      <c r="D38" s="57"/>
      <c r="E38" s="57"/>
      <c r="F38" s="57"/>
    </row>
    <row r="39" spans="1:6">
      <c r="A39" s="57"/>
      <c r="B39" s="57"/>
      <c r="C39" s="57"/>
      <c r="D39" s="57"/>
      <c r="E39" s="57"/>
      <c r="F39" s="57"/>
    </row>
    <row r="40" spans="1:6" ht="15.75">
      <c r="A40" s="57"/>
      <c r="B40" s="178" t="s">
        <v>97</v>
      </c>
      <c r="C40" s="273"/>
      <c r="D40" s="57"/>
      <c r="E40" s="57"/>
      <c r="F40" s="57"/>
    </row>
    <row r="41" spans="1:6" ht="15.75">
      <c r="A41" s="87"/>
      <c r="B41" s="36"/>
      <c r="C41" s="36"/>
      <c r="D41" s="337"/>
      <c r="E41" s="87"/>
      <c r="F41" s="87"/>
    </row>
  </sheetData>
  <sheetProtection sheet="1"/>
  <mergeCells count="5">
    <mergeCell ref="B29:C29"/>
    <mergeCell ref="B3:E3"/>
    <mergeCell ref="A23:C23"/>
    <mergeCell ref="B25:C25"/>
    <mergeCell ref="A27:C27"/>
  </mergeCells>
  <phoneticPr fontId="9" type="noConversion"/>
  <pageMargins left="0.75" right="0.75" top="1" bottom="1" header="0.5" footer="0.5"/>
  <pageSetup scale="92" orientation="portrait" blackAndWhite="1"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dimension ref="A1:N40"/>
  <sheetViews>
    <sheetView workbookViewId="0">
      <selection activeCell="A10" sqref="A10:G11"/>
    </sheetView>
  </sheetViews>
  <sheetFormatPr defaultRowHeight="15.75"/>
  <cols>
    <col min="1" max="16384" width="8.88671875" style="1"/>
  </cols>
  <sheetData>
    <row r="1" spans="1:14" ht="16.5" customHeight="1">
      <c r="A1" s="1004" t="s">
        <v>209</v>
      </c>
      <c r="B1" s="1004"/>
      <c r="C1" s="1004"/>
      <c r="D1" s="1004"/>
      <c r="E1" s="1004"/>
      <c r="F1" s="1004"/>
      <c r="G1" s="1004"/>
    </row>
    <row r="2" spans="1:14" ht="16.5" customHeight="1">
      <c r="A2" s="1004"/>
      <c r="B2" s="1004"/>
      <c r="C2" s="1004"/>
      <c r="D2" s="1004"/>
      <c r="E2" s="1004"/>
      <c r="F2" s="1004"/>
      <c r="G2" s="1004"/>
    </row>
    <row r="3" spans="1:14" ht="16.5" customHeight="1">
      <c r="A3" s="1005"/>
      <c r="B3" s="1005"/>
      <c r="C3" s="1005"/>
      <c r="D3" s="1005"/>
      <c r="E3" s="1005"/>
      <c r="F3" s="1005"/>
      <c r="G3" s="1005"/>
    </row>
    <row r="4" spans="1:14" ht="16.5" customHeight="1">
      <c r="A4" s="1006" t="str">
        <f>CONCATENATE("AN ORDINANCE ATTESTING TO AN INCREASE IN TAX REVENUES FOR BUDGET YEAR ",inputPrYr!C5," FOR THE ",(inputPrYr!$D$2))</f>
        <v>AN ORDINANCE ATTESTING TO AN INCREASE IN TAX REVENUES FOR BUDGET YEAR 2013 FOR THE City of Osawatomie</v>
      </c>
      <c r="B4" s="1006"/>
      <c r="C4" s="1006"/>
      <c r="D4" s="1006"/>
      <c r="E4" s="1006"/>
      <c r="F4" s="1006"/>
      <c r="G4" s="1006"/>
    </row>
    <row r="5" spans="1:14" ht="16.5" customHeight="1">
      <c r="A5" s="1006"/>
      <c r="B5" s="1006"/>
      <c r="C5" s="1006"/>
      <c r="D5" s="1006"/>
      <c r="E5" s="1006"/>
      <c r="F5" s="1006"/>
      <c r="G5" s="1006"/>
    </row>
    <row r="6" spans="1:14" ht="16.5" customHeight="1">
      <c r="A6" s="1004"/>
      <c r="B6" s="1004"/>
      <c r="C6" s="1004"/>
      <c r="D6" s="1004"/>
      <c r="E6" s="1004"/>
      <c r="F6" s="1004"/>
      <c r="G6" s="1004"/>
    </row>
    <row r="7" spans="1:14" ht="16.5" customHeight="1">
      <c r="A7" s="1006" t="str">
        <f>CONCATENATE("WHEREAS, the ",(inputPrYr!$D$2)," must continue to provide services to protect the health, safety, and welfare of the citizens of this community; and")</f>
        <v>WHEREAS, the City of Osawatomie must continue to provide services to protect the health, safety, and welfare of the citizens of this community; and</v>
      </c>
      <c r="B7" s="1006"/>
      <c r="C7" s="1006"/>
      <c r="D7" s="1006"/>
      <c r="E7" s="1006"/>
      <c r="F7" s="1006"/>
      <c r="G7" s="1006"/>
      <c r="H7" s="15"/>
      <c r="I7" s="15"/>
      <c r="J7" s="15"/>
      <c r="K7" s="15"/>
      <c r="L7" s="15"/>
      <c r="M7" s="15"/>
      <c r="N7" s="15"/>
    </row>
    <row r="8" spans="1:14" ht="16.5" customHeight="1">
      <c r="A8" s="1006"/>
      <c r="B8" s="1006"/>
      <c r="C8" s="1006"/>
      <c r="D8" s="1006"/>
      <c r="E8" s="1006"/>
      <c r="F8" s="1006"/>
      <c r="G8" s="1006"/>
      <c r="H8" s="15"/>
      <c r="I8" s="15"/>
      <c r="J8" s="15"/>
      <c r="K8" s="15"/>
      <c r="L8" s="15"/>
      <c r="M8" s="15"/>
      <c r="N8" s="15"/>
    </row>
    <row r="9" spans="1:14" ht="16.5" customHeight="1">
      <c r="A9" s="16"/>
      <c r="B9" s="16"/>
      <c r="C9" s="16"/>
      <c r="D9" s="16"/>
      <c r="E9" s="16"/>
      <c r="F9" s="16"/>
      <c r="G9" s="16"/>
    </row>
    <row r="10" spans="1:14" ht="16.5" customHeight="1">
      <c r="A10" s="1006" t="s">
        <v>210</v>
      </c>
      <c r="B10" s="1006"/>
      <c r="C10" s="1006"/>
      <c r="D10" s="1006"/>
      <c r="E10" s="1006"/>
      <c r="F10" s="1006"/>
      <c r="G10" s="1006"/>
    </row>
    <row r="11" spans="1:14" ht="16.5" customHeight="1">
      <c r="A11" s="1006"/>
      <c r="B11" s="1006"/>
      <c r="C11" s="1006"/>
      <c r="D11" s="1006"/>
      <c r="E11" s="1006"/>
      <c r="F11" s="1006"/>
      <c r="G11" s="1006"/>
    </row>
    <row r="12" spans="1:14" ht="16.5" customHeight="1">
      <c r="A12" s="16"/>
      <c r="B12" s="16"/>
      <c r="C12" s="16"/>
      <c r="D12" s="16"/>
      <c r="E12" s="16"/>
      <c r="F12" s="16"/>
      <c r="G12" s="16"/>
    </row>
    <row r="13" spans="1:14" ht="16.5" customHeight="1">
      <c r="A13" s="1006" t="str">
        <f>CONCATENATE("NOW THEREFORE, be it ordained by the Governing Body of the ",(inputPrYr!$D$2),":")</f>
        <v>NOW THEREFORE, be it ordained by the Governing Body of the City of Osawatomie:</v>
      </c>
      <c r="B13" s="1006"/>
      <c r="C13" s="1006"/>
      <c r="D13" s="1006"/>
      <c r="E13" s="1006"/>
      <c r="F13" s="1006"/>
      <c r="G13" s="1006"/>
      <c r="H13" s="15"/>
      <c r="I13" s="15"/>
      <c r="J13" s="15"/>
      <c r="K13" s="15"/>
      <c r="L13" s="15"/>
      <c r="M13" s="15"/>
      <c r="N13" s="15"/>
    </row>
    <row r="14" spans="1:14" ht="16.5" customHeight="1">
      <c r="A14" s="1006"/>
      <c r="B14" s="1006"/>
      <c r="C14" s="1006"/>
      <c r="D14" s="1006"/>
      <c r="E14" s="1006"/>
      <c r="F14" s="1006"/>
      <c r="G14" s="1006"/>
      <c r="H14" s="15"/>
      <c r="I14" s="15"/>
      <c r="J14" s="15"/>
      <c r="K14" s="15"/>
      <c r="L14" s="15"/>
      <c r="M14" s="15"/>
      <c r="N14" s="15"/>
    </row>
    <row r="15" spans="1:14" ht="16.5" customHeight="1">
      <c r="A15" s="100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Osawatomie  has scheduled a public hearing and has prepared the proposed budget necessary to fund city services from January 1, 2013 until December 31, 2013.</v>
      </c>
      <c r="B15" s="1006"/>
      <c r="C15" s="1006"/>
      <c r="D15" s="1006"/>
      <c r="E15" s="1006"/>
      <c r="F15" s="1006"/>
      <c r="G15" s="1006"/>
      <c r="H15" s="15"/>
      <c r="I15" s="15"/>
      <c r="J15" s="15"/>
      <c r="K15" s="15"/>
      <c r="L15" s="15"/>
      <c r="M15" s="15"/>
      <c r="N15" s="15"/>
    </row>
    <row r="16" spans="1:14" ht="16.5" customHeight="1">
      <c r="A16" s="1006"/>
      <c r="B16" s="1006"/>
      <c r="C16" s="1006"/>
      <c r="D16" s="1006"/>
      <c r="E16" s="1006"/>
      <c r="F16" s="1006"/>
      <c r="G16" s="1006"/>
      <c r="H16" s="15"/>
      <c r="I16" s="15"/>
      <c r="J16" s="15"/>
      <c r="K16" s="15"/>
      <c r="L16" s="15"/>
      <c r="M16" s="15"/>
      <c r="N16" s="15"/>
    </row>
    <row r="17" spans="1:14" ht="16.5" customHeight="1">
      <c r="A17" s="1006"/>
      <c r="B17" s="1006"/>
      <c r="C17" s="1006"/>
      <c r="D17" s="1006"/>
      <c r="E17" s="1006"/>
      <c r="F17" s="1006"/>
      <c r="G17" s="1006"/>
      <c r="H17" s="15"/>
      <c r="I17" s="15"/>
      <c r="J17" s="15"/>
      <c r="K17" s="15"/>
      <c r="L17" s="15"/>
      <c r="M17" s="15"/>
      <c r="N17" s="15"/>
    </row>
    <row r="18" spans="1:14" ht="16.5" customHeight="1">
      <c r="A18" s="15"/>
      <c r="B18" s="15"/>
      <c r="C18" s="15"/>
      <c r="D18" s="15"/>
      <c r="E18" s="15"/>
      <c r="F18" s="15"/>
      <c r="G18" s="15"/>
    </row>
    <row r="19" spans="1:14" ht="16.5" customHeight="1">
      <c r="A19" s="1008" t="s">
        <v>270</v>
      </c>
      <c r="B19" s="1008"/>
      <c r="C19" s="1008"/>
      <c r="D19" s="1008"/>
      <c r="E19" s="1008"/>
      <c r="F19" s="1008"/>
      <c r="G19" s="1008"/>
    </row>
    <row r="20" spans="1:14" ht="16.5" customHeight="1">
      <c r="A20" s="1008" t="s">
        <v>271</v>
      </c>
      <c r="B20" s="1008"/>
      <c r="C20" s="1008"/>
      <c r="D20" s="1008"/>
      <c r="E20" s="1008"/>
      <c r="F20" s="1008"/>
      <c r="G20" s="1008"/>
    </row>
    <row r="21" spans="1:14" ht="16.5" customHeight="1">
      <c r="A21" s="1008" t="str">
        <f>CONCATENATE("necessary to budget property tax revenues in an amount exceeding the levy in the ",inputPrYr!C5-1,"")</f>
        <v>necessary to budget property tax revenues in an amount exceeding the levy in the 2012</v>
      </c>
      <c r="B21" s="1008"/>
      <c r="C21" s="1008"/>
      <c r="D21" s="1008"/>
      <c r="E21" s="1008"/>
      <c r="F21" s="1008"/>
      <c r="G21" s="1008"/>
    </row>
    <row r="22" spans="1:14" ht="16.5" customHeight="1">
      <c r="A22" s="17" t="s">
        <v>272</v>
      </c>
      <c r="B22" s="17"/>
      <c r="C22" s="17"/>
      <c r="D22" s="17"/>
      <c r="E22" s="17"/>
      <c r="F22" s="17"/>
      <c r="G22" s="17"/>
    </row>
    <row r="23" spans="1:14" ht="16.5" customHeight="1">
      <c r="A23" s="15"/>
      <c r="B23" s="15"/>
      <c r="C23" s="15"/>
      <c r="D23" s="15"/>
      <c r="E23" s="15"/>
      <c r="F23" s="15"/>
      <c r="G23" s="15"/>
    </row>
    <row r="24" spans="1:14" ht="16.5" customHeight="1">
      <c r="A24" s="1006" t="s">
        <v>211</v>
      </c>
      <c r="B24" s="1006"/>
      <c r="C24" s="1006"/>
      <c r="D24" s="1006"/>
      <c r="E24" s="1006"/>
      <c r="F24" s="1006"/>
      <c r="G24" s="1006"/>
    </row>
    <row r="25" spans="1:14" ht="16.5" customHeight="1">
      <c r="A25" s="1006"/>
      <c r="B25" s="1006"/>
      <c r="C25" s="1006"/>
      <c r="D25" s="1006"/>
      <c r="E25" s="1006"/>
      <c r="F25" s="1006"/>
      <c r="G25" s="1006"/>
    </row>
    <row r="26" spans="1:14" ht="16.5" customHeight="1">
      <c r="A26" s="15"/>
      <c r="B26" s="15"/>
      <c r="C26" s="15"/>
      <c r="D26" s="15"/>
      <c r="E26" s="15"/>
      <c r="F26" s="15"/>
      <c r="G26" s="15"/>
    </row>
    <row r="27" spans="1:14" ht="16.5" customHeight="1">
      <c r="A27" s="1006" t="str">
        <f>CONCATENATE("Passed and approved by the Governing Body on this ______ day of __________, ",inputPrYr!C5-1,".")</f>
        <v>Passed and approved by the Governing Body on this ______ day of __________, 2012.</v>
      </c>
      <c r="B27" s="1006"/>
      <c r="C27" s="1006"/>
      <c r="D27" s="1006"/>
      <c r="E27" s="1006"/>
      <c r="F27" s="1006"/>
      <c r="G27" s="1006"/>
    </row>
    <row r="28" spans="1:14" ht="16.5" customHeight="1">
      <c r="A28" s="1006"/>
      <c r="B28" s="1006"/>
      <c r="C28" s="1006"/>
      <c r="D28" s="1006"/>
      <c r="E28" s="1006"/>
      <c r="F28" s="1006"/>
      <c r="G28" s="1006"/>
    </row>
    <row r="29" spans="1:14" ht="16.5" customHeight="1"/>
    <row r="30" spans="1:14" ht="16.5" customHeight="1">
      <c r="A30" s="1007" t="s">
        <v>212</v>
      </c>
      <c r="B30" s="1007"/>
      <c r="C30" s="1007"/>
      <c r="D30" s="1007"/>
      <c r="E30" s="1007"/>
      <c r="F30" s="1007"/>
      <c r="G30" s="1007"/>
    </row>
    <row r="31" spans="1:14" ht="16.5" customHeight="1">
      <c r="A31" s="1007" t="s">
        <v>217</v>
      </c>
      <c r="B31" s="1007"/>
      <c r="C31" s="1007"/>
      <c r="D31" s="1007"/>
      <c r="E31" s="1007"/>
      <c r="F31" s="1007"/>
      <c r="G31" s="1007"/>
    </row>
    <row r="32" spans="1:14" ht="16.5" customHeight="1">
      <c r="A32" s="1" t="s">
        <v>213</v>
      </c>
    </row>
    <row r="33" spans="1:2" ht="16.5" customHeight="1">
      <c r="B33" s="1" t="s">
        <v>214</v>
      </c>
    </row>
    <row r="34" spans="1:2" ht="16.5" customHeight="1"/>
    <row r="35" spans="1:2" ht="16.5" customHeight="1"/>
    <row r="36" spans="1:2" ht="16.5" customHeight="1">
      <c r="A36" s="1" t="s">
        <v>215</v>
      </c>
    </row>
    <row r="37" spans="1:2" ht="16.5" customHeight="1"/>
    <row r="38" spans="1:2" ht="16.5" customHeight="1"/>
    <row r="39" spans="1:2" ht="16.5" customHeight="1"/>
    <row r="40" spans="1:2" ht="16.5" customHeight="1">
      <c r="A40" s="1" t="s">
        <v>216</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honeticPr fontId="9" type="noConversion"/>
  <pageMargins left="1" right="1" top="1" bottom="1" header="0.5" footer="0.5"/>
  <pageSetup orientation="portrait" blackAndWhite="1" r:id="rId1"/>
  <headerFooter alignWithMargins="0">
    <oddFooter>&amp;Lrevised 8/06/07</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85"/>
  <sheetViews>
    <sheetView workbookViewId="0">
      <selection activeCell="A56" sqref="A56"/>
    </sheetView>
  </sheetViews>
  <sheetFormatPr defaultRowHeight="15"/>
  <cols>
    <col min="1" max="1" width="71.33203125" customWidth="1"/>
  </cols>
  <sheetData>
    <row r="3" spans="1:12">
      <c r="A3" s="352" t="s">
        <v>402</v>
      </c>
      <c r="B3" s="352"/>
      <c r="C3" s="352"/>
      <c r="D3" s="352"/>
      <c r="E3" s="352"/>
      <c r="F3" s="352"/>
      <c r="G3" s="352"/>
      <c r="H3" s="352"/>
      <c r="I3" s="352"/>
      <c r="J3" s="352"/>
      <c r="K3" s="352"/>
      <c r="L3" s="352"/>
    </row>
    <row r="5" spans="1:12">
      <c r="A5" s="353" t="s">
        <v>403</v>
      </c>
    </row>
    <row r="6" spans="1:12">
      <c r="A6" s="353" t="str">
        <f>CONCATENATE(inputPrYr!C5-2," 'total expenditures' exceed your ",inputPrYr!C5-2," 'budget authority.'")</f>
        <v>2011 'total expenditures' exceed your 2011 'budget authority.'</v>
      </c>
    </row>
    <row r="7" spans="1:12">
      <c r="A7" s="353"/>
    </row>
    <row r="8" spans="1:12">
      <c r="A8" s="353" t="s">
        <v>404</v>
      </c>
    </row>
    <row r="9" spans="1:12">
      <c r="A9" s="353" t="s">
        <v>405</v>
      </c>
    </row>
    <row r="10" spans="1:12">
      <c r="A10" s="353" t="s">
        <v>406</v>
      </c>
    </row>
    <row r="11" spans="1:12">
      <c r="A11" s="353"/>
    </row>
    <row r="12" spans="1:12">
      <c r="A12" s="353"/>
    </row>
    <row r="13" spans="1:12">
      <c r="A13" s="354" t="s">
        <v>407</v>
      </c>
    </row>
    <row r="15" spans="1:12">
      <c r="A15" s="353" t="s">
        <v>408</v>
      </c>
    </row>
    <row r="16" spans="1:12">
      <c r="A16" s="353" t="str">
        <f>CONCATENATE("(i.e. an audit has not been completed, or the ",inputPrYr!C5," adopted")</f>
        <v>(i.e. an audit has not been completed, or the 2013 adopted</v>
      </c>
    </row>
    <row r="17" spans="1:1">
      <c r="A17" s="353" t="s">
        <v>409</v>
      </c>
    </row>
    <row r="18" spans="1:1">
      <c r="A18" s="353" t="s">
        <v>410</v>
      </c>
    </row>
    <row r="19" spans="1:1">
      <c r="A19" s="353" t="s">
        <v>411</v>
      </c>
    </row>
    <row r="21" spans="1:1">
      <c r="A21" s="354" t="s">
        <v>412</v>
      </c>
    </row>
    <row r="22" spans="1:1">
      <c r="A22" s="354"/>
    </row>
    <row r="23" spans="1:1">
      <c r="A23" s="353" t="s">
        <v>413</v>
      </c>
    </row>
    <row r="24" spans="1:1">
      <c r="A24" s="353" t="s">
        <v>414</v>
      </c>
    </row>
    <row r="25" spans="1:1">
      <c r="A25" s="353" t="str">
        <f>CONCATENATE("particular fund.  If your ",inputPrYr!C5-2," budget was amended, did you")</f>
        <v>particular fund.  If your 2011 budget was amended, did you</v>
      </c>
    </row>
    <row r="26" spans="1:1">
      <c r="A26" s="353" t="s">
        <v>415</v>
      </c>
    </row>
    <row r="27" spans="1:1">
      <c r="A27" s="353"/>
    </row>
    <row r="28" spans="1:1">
      <c r="A28" s="353" t="str">
        <f>CONCATENATE("Next, look to see if any of your ",inputPrYr!C5-2," expenditures can be")</f>
        <v>Next, look to see if any of your 2011 expenditures can be</v>
      </c>
    </row>
    <row r="29" spans="1:1">
      <c r="A29" s="353" t="s">
        <v>416</v>
      </c>
    </row>
    <row r="30" spans="1:1">
      <c r="A30" s="353" t="s">
        <v>417</v>
      </c>
    </row>
    <row r="31" spans="1:1">
      <c r="A31" s="353" t="s">
        <v>418</v>
      </c>
    </row>
    <row r="32" spans="1:1">
      <c r="A32" s="353"/>
    </row>
    <row r="33" spans="1:1">
      <c r="A33" s="353" t="str">
        <f>CONCATENATE("Additionally, do your ",inputPrYr!C5-2," receipts contain a reimbursement")</f>
        <v>Additionally, do your 2011 receipts contain a reimbursement</v>
      </c>
    </row>
    <row r="34" spans="1:1">
      <c r="A34" s="353" t="s">
        <v>419</v>
      </c>
    </row>
    <row r="35" spans="1:1">
      <c r="A35" s="353" t="s">
        <v>420</v>
      </c>
    </row>
    <row r="36" spans="1:1">
      <c r="A36" s="353"/>
    </row>
    <row r="37" spans="1:1">
      <c r="A37" s="353" t="s">
        <v>421</v>
      </c>
    </row>
    <row r="38" spans="1:1">
      <c r="A38" s="353" t="s">
        <v>422</v>
      </c>
    </row>
    <row r="39" spans="1:1">
      <c r="A39" s="353" t="s">
        <v>423</v>
      </c>
    </row>
    <row r="40" spans="1:1">
      <c r="A40" s="353" t="s">
        <v>424</v>
      </c>
    </row>
    <row r="41" spans="1:1">
      <c r="A41" s="353" t="s">
        <v>425</v>
      </c>
    </row>
    <row r="42" spans="1:1">
      <c r="A42" s="353" t="s">
        <v>426</v>
      </c>
    </row>
    <row r="43" spans="1:1">
      <c r="A43" s="353" t="s">
        <v>427</v>
      </c>
    </row>
    <row r="44" spans="1:1">
      <c r="A44" s="353" t="s">
        <v>428</v>
      </c>
    </row>
    <row r="45" spans="1:1">
      <c r="A45" s="353"/>
    </row>
    <row r="46" spans="1:1">
      <c r="A46" s="353" t="s">
        <v>429</v>
      </c>
    </row>
    <row r="47" spans="1:1">
      <c r="A47" s="353" t="s">
        <v>430</v>
      </c>
    </row>
    <row r="48" spans="1:1">
      <c r="A48" s="353" t="s">
        <v>431</v>
      </c>
    </row>
    <row r="49" spans="1:1">
      <c r="A49" s="353"/>
    </row>
    <row r="50" spans="1:1">
      <c r="A50" s="353" t="s">
        <v>432</v>
      </c>
    </row>
    <row r="51" spans="1:1">
      <c r="A51" s="353" t="s">
        <v>433</v>
      </c>
    </row>
    <row r="52" spans="1:1">
      <c r="A52" s="353" t="s">
        <v>434</v>
      </c>
    </row>
    <row r="53" spans="1:1">
      <c r="A53" s="353"/>
    </row>
    <row r="54" spans="1:1">
      <c r="A54" s="354" t="s">
        <v>435</v>
      </c>
    </row>
    <row r="55" spans="1:1">
      <c r="A55" s="353"/>
    </row>
    <row r="56" spans="1:1">
      <c r="A56" s="353" t="s">
        <v>1186</v>
      </c>
    </row>
    <row r="57" spans="1:1">
      <c r="A57" s="353" t="s">
        <v>1187</v>
      </c>
    </row>
    <row r="58" spans="1:1">
      <c r="A58" s="353" t="s">
        <v>1188</v>
      </c>
    </row>
    <row r="59" spans="1:1">
      <c r="A59" s="353" t="s">
        <v>1189</v>
      </c>
    </row>
    <row r="60" spans="1:1">
      <c r="A60" s="353" t="s">
        <v>1190</v>
      </c>
    </row>
    <row r="61" spans="1:1">
      <c r="A61" s="353" t="s">
        <v>1191</v>
      </c>
    </row>
    <row r="62" spans="1:1">
      <c r="A62" s="353" t="s">
        <v>1192</v>
      </c>
    </row>
    <row r="63" spans="1:1">
      <c r="A63" s="353" t="s">
        <v>1193</v>
      </c>
    </row>
    <row r="64" spans="1:1">
      <c r="A64" s="353" t="s">
        <v>1194</v>
      </c>
    </row>
    <row r="65" spans="1:1">
      <c r="A65" s="353" t="s">
        <v>1195</v>
      </c>
    </row>
    <row r="66" spans="1:1">
      <c r="A66" s="353" t="s">
        <v>1196</v>
      </c>
    </row>
    <row r="67" spans="1:1">
      <c r="A67" s="353" t="s">
        <v>1197</v>
      </c>
    </row>
    <row r="68" spans="1:1">
      <c r="A68" s="353" t="s">
        <v>1198</v>
      </c>
    </row>
    <row r="69" spans="1:1">
      <c r="A69" s="353"/>
    </row>
    <row r="70" spans="1:1">
      <c r="A70" s="353" t="s">
        <v>1199</v>
      </c>
    </row>
    <row r="71" spans="1:1">
      <c r="A71" s="353" t="s">
        <v>1200</v>
      </c>
    </row>
    <row r="72" spans="1:1">
      <c r="A72" s="353" t="s">
        <v>1201</v>
      </c>
    </row>
    <row r="73" spans="1:1">
      <c r="A73" s="353"/>
    </row>
    <row r="74" spans="1:1">
      <c r="A74" s="354" t="str">
        <f>CONCATENATE("What if the ",inputPrYr!C5-2," financial records have been closed?")</f>
        <v>What if the 2011 financial records have been closed?</v>
      </c>
    </row>
    <row r="76" spans="1:1">
      <c r="A76" s="353" t="s">
        <v>1202</v>
      </c>
    </row>
    <row r="77" spans="1:1">
      <c r="A77" s="353" t="str">
        <f>CONCATENATE("(i.e. an audit for ",inputPrYr!C5-2," has been completed, or the ",inputPrYr!C5)</f>
        <v>(i.e. an audit for 2011 has been completed, or the 2013</v>
      </c>
    </row>
    <row r="78" spans="1:1">
      <c r="A78" s="353" t="s">
        <v>1203</v>
      </c>
    </row>
    <row r="79" spans="1:1">
      <c r="A79" s="353" t="s">
        <v>1204</v>
      </c>
    </row>
    <row r="80" spans="1:1">
      <c r="A80" s="353"/>
    </row>
    <row r="81" spans="1:1">
      <c r="A81" s="353" t="s">
        <v>1205</v>
      </c>
    </row>
    <row r="82" spans="1:1">
      <c r="A82" s="353" t="s">
        <v>1206</v>
      </c>
    </row>
    <row r="83" spans="1:1">
      <c r="A83" s="353" t="s">
        <v>1207</v>
      </c>
    </row>
    <row r="84" spans="1:1">
      <c r="A84" s="353"/>
    </row>
    <row r="85" spans="1:1">
      <c r="A85" s="353" t="s">
        <v>1208</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J109"/>
  <sheetViews>
    <sheetView workbookViewId="0">
      <selection activeCell="A10" sqref="A10"/>
    </sheetView>
  </sheetViews>
  <sheetFormatPr defaultRowHeight="15"/>
  <cols>
    <col min="1" max="1" width="71.33203125" customWidth="1"/>
  </cols>
  <sheetData>
    <row r="3" spans="1:10">
      <c r="A3" s="352" t="s">
        <v>1209</v>
      </c>
      <c r="B3" s="352"/>
      <c r="C3" s="352"/>
      <c r="D3" s="352"/>
      <c r="E3" s="352"/>
      <c r="F3" s="352"/>
      <c r="G3" s="352"/>
      <c r="H3" s="355"/>
      <c r="I3" s="355"/>
      <c r="J3" s="355"/>
    </row>
    <row r="5" spans="1:10">
      <c r="A5" s="353" t="s">
        <v>1210</v>
      </c>
    </row>
    <row r="6" spans="1:10">
      <c r="A6" t="str">
        <f>CONCATENATE(inputPrYr!C5-2," expenditures show that you finished the year with a ")</f>
        <v xml:space="preserve">2011 expenditures show that you finished the year with a </v>
      </c>
    </row>
    <row r="7" spans="1:10">
      <c r="A7" t="s">
        <v>1211</v>
      </c>
    </row>
    <row r="9" spans="1:10">
      <c r="A9" t="s">
        <v>1212</v>
      </c>
    </row>
    <row r="10" spans="1:10">
      <c r="A10" t="s">
        <v>1213</v>
      </c>
    </row>
    <row r="11" spans="1:10">
      <c r="A11" t="s">
        <v>1214</v>
      </c>
    </row>
    <row r="13" spans="1:10">
      <c r="A13" s="354" t="s">
        <v>1215</v>
      </c>
    </row>
    <row r="14" spans="1:10">
      <c r="A14" s="354"/>
    </row>
    <row r="15" spans="1:10">
      <c r="A15" s="353" t="s">
        <v>1216</v>
      </c>
    </row>
    <row r="16" spans="1:10">
      <c r="A16" s="353" t="s">
        <v>1217</v>
      </c>
    </row>
    <row r="17" spans="1:1">
      <c r="A17" s="353" t="s">
        <v>1218</v>
      </c>
    </row>
    <row r="18" spans="1:1">
      <c r="A18" s="353"/>
    </row>
    <row r="19" spans="1:1">
      <c r="A19" s="354" t="s">
        <v>1219</v>
      </c>
    </row>
    <row r="20" spans="1:1">
      <c r="A20" s="354"/>
    </row>
    <row r="21" spans="1:1">
      <c r="A21" s="353" t="s">
        <v>1220</v>
      </c>
    </row>
    <row r="22" spans="1:1">
      <c r="A22" s="353" t="s">
        <v>1221</v>
      </c>
    </row>
    <row r="23" spans="1:1">
      <c r="A23" s="353" t="s">
        <v>1222</v>
      </c>
    </row>
    <row r="24" spans="1:1">
      <c r="A24" s="353"/>
    </row>
    <row r="25" spans="1:1">
      <c r="A25" s="354" t="s">
        <v>1223</v>
      </c>
    </row>
    <row r="26" spans="1:1">
      <c r="A26" s="354"/>
    </row>
    <row r="27" spans="1:1">
      <c r="A27" s="353" t="s">
        <v>1224</v>
      </c>
    </row>
    <row r="28" spans="1:1">
      <c r="A28" s="353" t="s">
        <v>1225</v>
      </c>
    </row>
    <row r="29" spans="1:1">
      <c r="A29" s="353" t="s">
        <v>1226</v>
      </c>
    </row>
    <row r="30" spans="1:1">
      <c r="A30" s="353"/>
    </row>
    <row r="31" spans="1:1">
      <c r="A31" s="354" t="s">
        <v>1227</v>
      </c>
    </row>
    <row r="32" spans="1:1">
      <c r="A32" s="354"/>
    </row>
    <row r="33" spans="1:8">
      <c r="A33" s="353" t="str">
        <f>CONCATENATE("If your financial records for ",inputPrYr!C5-2," are not closed")</f>
        <v>If your financial records for 2011 are not closed</v>
      </c>
      <c r="B33" s="353"/>
      <c r="C33" s="353"/>
      <c r="D33" s="353"/>
      <c r="E33" s="353"/>
      <c r="F33" s="353"/>
      <c r="G33" s="353"/>
      <c r="H33" s="353"/>
    </row>
    <row r="34" spans="1:8">
      <c r="A34" s="353" t="str">
        <f>CONCATENATE("(i.e. an audit has not been completed, or the ",inputPrYr!C5," adopted ")</f>
        <v xml:space="preserve">(i.e. an audit has not been completed, or the 2013 adopted </v>
      </c>
      <c r="B34" s="353"/>
      <c r="C34" s="353"/>
      <c r="D34" s="353"/>
      <c r="E34" s="353"/>
      <c r="F34" s="353"/>
      <c r="G34" s="353"/>
      <c r="H34" s="353"/>
    </row>
    <row r="35" spans="1:8">
      <c r="A35" s="353" t="s">
        <v>1228</v>
      </c>
      <c r="B35" s="353"/>
      <c r="C35" s="353"/>
      <c r="D35" s="353"/>
      <c r="E35" s="353"/>
      <c r="F35" s="353"/>
      <c r="G35" s="353"/>
      <c r="H35" s="353"/>
    </row>
    <row r="36" spans="1:8">
      <c r="A36" s="353" t="s">
        <v>1229</v>
      </c>
      <c r="B36" s="353"/>
      <c r="C36" s="353"/>
      <c r="D36" s="353"/>
      <c r="E36" s="353"/>
      <c r="F36" s="353"/>
      <c r="G36" s="353"/>
      <c r="H36" s="353"/>
    </row>
    <row r="37" spans="1:8">
      <c r="A37" s="353" t="s">
        <v>1230</v>
      </c>
      <c r="B37" s="353"/>
      <c r="C37" s="353"/>
      <c r="D37" s="353"/>
      <c r="E37" s="353"/>
      <c r="F37" s="353"/>
      <c r="G37" s="353"/>
      <c r="H37" s="353"/>
    </row>
    <row r="38" spans="1:8">
      <c r="A38" s="353" t="s">
        <v>1231</v>
      </c>
      <c r="B38" s="353"/>
      <c r="C38" s="353"/>
      <c r="D38" s="353"/>
      <c r="E38" s="353"/>
      <c r="F38" s="353"/>
      <c r="G38" s="353"/>
      <c r="H38" s="353"/>
    </row>
    <row r="39" spans="1:8">
      <c r="A39" s="353" t="s">
        <v>1232</v>
      </c>
      <c r="B39" s="353"/>
      <c r="C39" s="353"/>
      <c r="D39" s="353"/>
      <c r="E39" s="353"/>
      <c r="F39" s="353"/>
      <c r="G39" s="353"/>
      <c r="H39" s="353"/>
    </row>
    <row r="40" spans="1:8">
      <c r="A40" s="353"/>
      <c r="B40" s="353"/>
      <c r="C40" s="353"/>
      <c r="D40" s="353"/>
      <c r="E40" s="353"/>
      <c r="F40" s="353"/>
      <c r="G40" s="353"/>
      <c r="H40" s="353"/>
    </row>
    <row r="41" spans="1:8">
      <c r="A41" s="353" t="s">
        <v>1233</v>
      </c>
      <c r="B41" s="353"/>
      <c r="C41" s="353"/>
      <c r="D41" s="353"/>
      <c r="E41" s="353"/>
      <c r="F41" s="353"/>
      <c r="G41" s="353"/>
      <c r="H41" s="353"/>
    </row>
    <row r="42" spans="1:8">
      <c r="A42" s="353" t="s">
        <v>1234</v>
      </c>
      <c r="B42" s="353"/>
      <c r="C42" s="353"/>
      <c r="D42" s="353"/>
      <c r="E42" s="353"/>
      <c r="F42" s="353"/>
      <c r="G42" s="353"/>
      <c r="H42" s="353"/>
    </row>
    <row r="43" spans="1:8">
      <c r="A43" s="353" t="s">
        <v>436</v>
      </c>
      <c r="B43" s="353"/>
      <c r="C43" s="353"/>
      <c r="D43" s="353"/>
      <c r="E43" s="353"/>
      <c r="F43" s="353"/>
      <c r="G43" s="353"/>
      <c r="H43" s="353"/>
    </row>
    <row r="44" spans="1:8">
      <c r="A44" s="353" t="s">
        <v>437</v>
      </c>
      <c r="B44" s="353"/>
      <c r="C44" s="353"/>
      <c r="D44" s="353"/>
      <c r="E44" s="353"/>
      <c r="F44" s="353"/>
      <c r="G44" s="353"/>
      <c r="H44" s="353"/>
    </row>
    <row r="45" spans="1:8">
      <c r="A45" s="353"/>
      <c r="B45" s="353"/>
      <c r="C45" s="353"/>
      <c r="D45" s="353"/>
      <c r="E45" s="353"/>
      <c r="F45" s="353"/>
      <c r="G45" s="353"/>
      <c r="H45" s="353"/>
    </row>
    <row r="46" spans="1:8">
      <c r="A46" s="353" t="s">
        <v>438</v>
      </c>
      <c r="B46" s="353"/>
      <c r="C46" s="353"/>
      <c r="D46" s="353"/>
      <c r="E46" s="353"/>
      <c r="F46" s="353"/>
      <c r="G46" s="353"/>
      <c r="H46" s="353"/>
    </row>
    <row r="47" spans="1:8">
      <c r="A47" s="353" t="s">
        <v>439</v>
      </c>
      <c r="B47" s="353"/>
      <c r="C47" s="353"/>
      <c r="D47" s="353"/>
      <c r="E47" s="353"/>
      <c r="F47" s="353"/>
      <c r="G47" s="353"/>
      <c r="H47" s="353"/>
    </row>
    <row r="48" spans="1:8">
      <c r="A48" s="353" t="s">
        <v>440</v>
      </c>
      <c r="B48" s="353"/>
      <c r="C48" s="353"/>
      <c r="D48" s="353"/>
      <c r="E48" s="353"/>
      <c r="F48" s="353"/>
      <c r="G48" s="353"/>
      <c r="H48" s="353"/>
    </row>
    <row r="49" spans="1:8">
      <c r="A49" s="353" t="s">
        <v>441</v>
      </c>
      <c r="B49" s="353"/>
      <c r="C49" s="353"/>
      <c r="D49" s="353"/>
      <c r="E49" s="353"/>
      <c r="F49" s="353"/>
      <c r="G49" s="353"/>
      <c r="H49" s="353"/>
    </row>
    <row r="50" spans="1:8">
      <c r="A50" s="353" t="s">
        <v>442</v>
      </c>
      <c r="B50" s="353"/>
      <c r="C50" s="353"/>
      <c r="D50" s="353"/>
      <c r="E50" s="353"/>
      <c r="F50" s="353"/>
      <c r="G50" s="353"/>
      <c r="H50" s="353"/>
    </row>
    <row r="51" spans="1:8">
      <c r="A51" s="353"/>
      <c r="B51" s="353"/>
      <c r="C51" s="353"/>
      <c r="D51" s="353"/>
      <c r="E51" s="353"/>
      <c r="F51" s="353"/>
      <c r="G51" s="353"/>
      <c r="H51" s="353"/>
    </row>
    <row r="52" spans="1:8">
      <c r="A52" s="354" t="s">
        <v>443</v>
      </c>
      <c r="B52" s="354"/>
      <c r="C52" s="354"/>
      <c r="D52" s="354"/>
      <c r="E52" s="354"/>
      <c r="F52" s="354"/>
      <c r="G52" s="354"/>
      <c r="H52" s="353"/>
    </row>
    <row r="53" spans="1:8">
      <c r="A53" s="354" t="s">
        <v>444</v>
      </c>
      <c r="B53" s="354"/>
      <c r="C53" s="354"/>
      <c r="D53" s="354"/>
      <c r="E53" s="354"/>
      <c r="F53" s="354"/>
      <c r="G53" s="354"/>
      <c r="H53" s="353"/>
    </row>
    <row r="54" spans="1:8">
      <c r="A54" s="353"/>
      <c r="B54" s="353"/>
      <c r="C54" s="353"/>
      <c r="D54" s="353"/>
      <c r="E54" s="353"/>
      <c r="F54" s="353"/>
      <c r="G54" s="353"/>
      <c r="H54" s="353"/>
    </row>
    <row r="55" spans="1:8">
      <c r="A55" s="353" t="s">
        <v>445</v>
      </c>
      <c r="B55" s="353"/>
      <c r="C55" s="353"/>
      <c r="D55" s="353"/>
      <c r="E55" s="353"/>
      <c r="F55" s="353"/>
      <c r="G55" s="353"/>
      <c r="H55" s="353"/>
    </row>
    <row r="56" spans="1:8">
      <c r="A56" s="353" t="s">
        <v>446</v>
      </c>
      <c r="B56" s="353"/>
      <c r="C56" s="353"/>
      <c r="D56" s="353"/>
      <c r="E56" s="353"/>
      <c r="F56" s="353"/>
      <c r="G56" s="353"/>
      <c r="H56" s="353"/>
    </row>
    <row r="57" spans="1:8">
      <c r="A57" s="353" t="s">
        <v>447</v>
      </c>
      <c r="B57" s="353"/>
      <c r="C57" s="353"/>
      <c r="D57" s="353"/>
      <c r="E57" s="353"/>
      <c r="F57" s="353"/>
      <c r="G57" s="353"/>
      <c r="H57" s="353"/>
    </row>
    <row r="58" spans="1:8">
      <c r="A58" s="353" t="s">
        <v>448</v>
      </c>
      <c r="B58" s="353"/>
      <c r="C58" s="353"/>
      <c r="D58" s="353"/>
      <c r="E58" s="353"/>
      <c r="F58" s="353"/>
      <c r="G58" s="353"/>
      <c r="H58" s="353"/>
    </row>
    <row r="59" spans="1:8">
      <c r="A59" s="353"/>
      <c r="B59" s="353"/>
      <c r="C59" s="353"/>
      <c r="D59" s="353"/>
      <c r="E59" s="353"/>
      <c r="F59" s="353"/>
      <c r="G59" s="353"/>
      <c r="H59" s="353"/>
    </row>
    <row r="60" spans="1:8">
      <c r="A60" s="353" t="s">
        <v>449</v>
      </c>
      <c r="B60" s="353"/>
      <c r="C60" s="353"/>
      <c r="D60" s="353"/>
      <c r="E60" s="353"/>
      <c r="F60" s="353"/>
      <c r="G60" s="353"/>
      <c r="H60" s="353"/>
    </row>
    <row r="61" spans="1:8">
      <c r="A61" s="353" t="s">
        <v>450</v>
      </c>
      <c r="B61" s="353"/>
      <c r="C61" s="353"/>
      <c r="D61" s="353"/>
      <c r="E61" s="353"/>
      <c r="F61" s="353"/>
      <c r="G61" s="353"/>
      <c r="H61" s="353"/>
    </row>
    <row r="62" spans="1:8">
      <c r="A62" s="353" t="s">
        <v>451</v>
      </c>
      <c r="B62" s="353"/>
      <c r="C62" s="353"/>
      <c r="D62" s="353"/>
      <c r="E62" s="353"/>
      <c r="F62" s="353"/>
      <c r="G62" s="353"/>
      <c r="H62" s="353"/>
    </row>
    <row r="63" spans="1:8">
      <c r="A63" s="353" t="s">
        <v>452</v>
      </c>
      <c r="B63" s="353"/>
      <c r="C63" s="353"/>
      <c r="D63" s="353"/>
      <c r="E63" s="353"/>
      <c r="F63" s="353"/>
      <c r="G63" s="353"/>
      <c r="H63" s="353"/>
    </row>
    <row r="64" spans="1:8">
      <c r="A64" s="353" t="s">
        <v>453</v>
      </c>
      <c r="B64" s="353"/>
      <c r="C64" s="353"/>
      <c r="D64" s="353"/>
      <c r="E64" s="353"/>
      <c r="F64" s="353"/>
      <c r="G64" s="353"/>
      <c r="H64" s="353"/>
    </row>
    <row r="65" spans="1:8">
      <c r="A65" s="353" t="s">
        <v>454</v>
      </c>
      <c r="B65" s="353"/>
      <c r="C65" s="353"/>
      <c r="D65" s="353"/>
      <c r="E65" s="353"/>
      <c r="F65" s="353"/>
      <c r="G65" s="353"/>
      <c r="H65" s="353"/>
    </row>
    <row r="66" spans="1:8">
      <c r="A66" s="353"/>
      <c r="B66" s="353"/>
      <c r="C66" s="353"/>
      <c r="D66" s="353"/>
      <c r="E66" s="353"/>
      <c r="F66" s="353"/>
      <c r="G66" s="353"/>
      <c r="H66" s="353"/>
    </row>
    <row r="67" spans="1:8">
      <c r="A67" s="353" t="s">
        <v>455</v>
      </c>
      <c r="B67" s="353"/>
      <c r="C67" s="353"/>
      <c r="D67" s="353"/>
      <c r="E67" s="353"/>
      <c r="F67" s="353"/>
      <c r="G67" s="353"/>
      <c r="H67" s="353"/>
    </row>
    <row r="68" spans="1:8">
      <c r="A68" s="353" t="s">
        <v>456</v>
      </c>
      <c r="B68" s="353"/>
      <c r="C68" s="353"/>
      <c r="D68" s="353"/>
      <c r="E68" s="353"/>
      <c r="F68" s="353"/>
      <c r="G68" s="353"/>
      <c r="H68" s="353"/>
    </row>
    <row r="69" spans="1:8">
      <c r="A69" s="353" t="s">
        <v>457</v>
      </c>
      <c r="B69" s="353"/>
      <c r="C69" s="353"/>
      <c r="D69" s="353"/>
      <c r="E69" s="353"/>
      <c r="F69" s="353"/>
      <c r="G69" s="353"/>
      <c r="H69" s="353"/>
    </row>
    <row r="70" spans="1:8">
      <c r="A70" s="353" t="s">
        <v>458</v>
      </c>
      <c r="B70" s="353"/>
      <c r="C70" s="353"/>
      <c r="D70" s="353"/>
      <c r="E70" s="353"/>
      <c r="F70" s="353"/>
      <c r="G70" s="353"/>
      <c r="H70" s="353"/>
    </row>
    <row r="71" spans="1:8">
      <c r="A71" s="353" t="s">
        <v>459</v>
      </c>
      <c r="B71" s="353"/>
      <c r="C71" s="353"/>
      <c r="D71" s="353"/>
      <c r="E71" s="353"/>
      <c r="F71" s="353"/>
      <c r="G71" s="353"/>
      <c r="H71" s="353"/>
    </row>
    <row r="72" spans="1:8">
      <c r="A72" s="353" t="s">
        <v>460</v>
      </c>
      <c r="B72" s="353"/>
      <c r="C72" s="353"/>
      <c r="D72" s="353"/>
      <c r="E72" s="353"/>
      <c r="F72" s="353"/>
      <c r="G72" s="353"/>
      <c r="H72" s="353"/>
    </row>
    <row r="73" spans="1:8">
      <c r="A73" s="353" t="s">
        <v>461</v>
      </c>
      <c r="B73" s="353"/>
      <c r="C73" s="353"/>
      <c r="D73" s="353"/>
      <c r="E73" s="353"/>
      <c r="F73" s="353"/>
      <c r="G73" s="353"/>
      <c r="H73" s="353"/>
    </row>
    <row r="74" spans="1:8">
      <c r="A74" s="353"/>
      <c r="B74" s="353"/>
      <c r="C74" s="353"/>
      <c r="D74" s="353"/>
      <c r="E74" s="353"/>
      <c r="F74" s="353"/>
      <c r="G74" s="353"/>
      <c r="H74" s="353"/>
    </row>
    <row r="75" spans="1:8">
      <c r="A75" s="353" t="s">
        <v>462</v>
      </c>
      <c r="B75" s="353"/>
      <c r="C75" s="353"/>
      <c r="D75" s="353"/>
      <c r="E75" s="353"/>
      <c r="F75" s="353"/>
      <c r="G75" s="353"/>
      <c r="H75" s="353"/>
    </row>
    <row r="76" spans="1:8">
      <c r="A76" s="353" t="s">
        <v>463</v>
      </c>
      <c r="B76" s="353"/>
      <c r="C76" s="353"/>
      <c r="D76" s="353"/>
      <c r="E76" s="353"/>
      <c r="F76" s="353"/>
      <c r="G76" s="353"/>
      <c r="H76" s="353"/>
    </row>
    <row r="77" spans="1:8">
      <c r="A77" s="353" t="s">
        <v>464</v>
      </c>
      <c r="B77" s="353"/>
      <c r="C77" s="353"/>
      <c r="D77" s="353"/>
      <c r="E77" s="353"/>
      <c r="F77" s="353"/>
      <c r="G77" s="353"/>
      <c r="H77" s="353"/>
    </row>
    <row r="78" spans="1:8">
      <c r="A78" s="353"/>
      <c r="B78" s="353"/>
      <c r="C78" s="353"/>
      <c r="D78" s="353"/>
      <c r="E78" s="353"/>
      <c r="F78" s="353"/>
      <c r="G78" s="353"/>
      <c r="H78" s="353"/>
    </row>
    <row r="79" spans="1:8">
      <c r="A79" s="353" t="s">
        <v>1208</v>
      </c>
    </row>
    <row r="80" spans="1:8">
      <c r="A80" s="354"/>
    </row>
    <row r="81" spans="1:1">
      <c r="A81" s="353"/>
    </row>
    <row r="82" spans="1:1">
      <c r="A82" s="353"/>
    </row>
    <row r="83" spans="1:1">
      <c r="A83" s="353"/>
    </row>
    <row r="84" spans="1:1">
      <c r="A84" s="353"/>
    </row>
    <row r="85" spans="1:1">
      <c r="A85" s="353"/>
    </row>
    <row r="86" spans="1:1">
      <c r="A86" s="353"/>
    </row>
    <row r="87" spans="1:1">
      <c r="A87" s="353"/>
    </row>
    <row r="88" spans="1:1">
      <c r="A88" s="353"/>
    </row>
    <row r="89" spans="1:1">
      <c r="A89" s="353"/>
    </row>
    <row r="90" spans="1:1">
      <c r="A90" s="353"/>
    </row>
    <row r="91" spans="1:1">
      <c r="A91" s="353"/>
    </row>
    <row r="92" spans="1:1">
      <c r="A92" s="353"/>
    </row>
    <row r="93" spans="1:1">
      <c r="A93" s="353"/>
    </row>
    <row r="94" spans="1:1">
      <c r="A94" s="353"/>
    </row>
    <row r="95" spans="1:1">
      <c r="A95" s="353"/>
    </row>
    <row r="96" spans="1:1">
      <c r="A96" s="353"/>
    </row>
    <row r="97" spans="1:1">
      <c r="A97" s="353"/>
    </row>
    <row r="98" spans="1:1">
      <c r="A98" s="353"/>
    </row>
    <row r="99" spans="1:1">
      <c r="A99" s="353"/>
    </row>
    <row r="100" spans="1:1">
      <c r="A100" s="353"/>
    </row>
    <row r="101" spans="1:1">
      <c r="A101" s="353"/>
    </row>
    <row r="103" spans="1:1">
      <c r="A103" s="353"/>
    </row>
    <row r="104" spans="1:1">
      <c r="A104" s="353"/>
    </row>
    <row r="105" spans="1:1">
      <c r="A105" s="353"/>
    </row>
    <row r="107" spans="1:1">
      <c r="A107" s="354"/>
    </row>
    <row r="108" spans="1:1">
      <c r="A108" s="354"/>
    </row>
    <row r="109" spans="1:1">
      <c r="A109" s="354"/>
    </row>
  </sheetData>
  <sheetProtection sheet="1"/>
  <phoneticPr fontId="0" type="noConversion"/>
  <pageMargins left="0.7" right="0.7" top="0.75" bottom="0.75" header="0.3" footer="0.3"/>
  <pageSetup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L75"/>
  <sheetViews>
    <sheetView workbookViewId="0">
      <selection activeCell="A56" sqref="A56"/>
    </sheetView>
  </sheetViews>
  <sheetFormatPr defaultRowHeight="15"/>
  <cols>
    <col min="1" max="1" width="71.33203125" customWidth="1"/>
  </cols>
  <sheetData>
    <row r="3" spans="1:12">
      <c r="A3" s="352" t="s">
        <v>465</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3" t="s">
        <v>403</v>
      </c>
      <c r="I5" s="352"/>
      <c r="J5" s="352"/>
      <c r="K5" s="352"/>
      <c r="L5" s="352"/>
    </row>
    <row r="6" spans="1:12">
      <c r="A6" s="353" t="str">
        <f>CONCATENATE("estimated ",inputPrYr!C5-1," 'total expenditures' exceed your ",inputPrYr!C5-1,"")</f>
        <v>estimated 2012 'total expenditures' exceed your 2012</v>
      </c>
      <c r="I6" s="352"/>
      <c r="J6" s="352"/>
      <c r="K6" s="352"/>
      <c r="L6" s="352"/>
    </row>
    <row r="7" spans="1:12">
      <c r="A7" s="356" t="s">
        <v>466</v>
      </c>
      <c r="I7" s="352"/>
      <c r="J7" s="352"/>
      <c r="K7" s="352"/>
      <c r="L7" s="352"/>
    </row>
    <row r="8" spans="1:12">
      <c r="A8" s="353"/>
      <c r="I8" s="352"/>
      <c r="J8" s="352"/>
      <c r="K8" s="352"/>
      <c r="L8" s="352"/>
    </row>
    <row r="9" spans="1:12">
      <c r="A9" s="353" t="s">
        <v>467</v>
      </c>
      <c r="I9" s="352"/>
      <c r="J9" s="352"/>
      <c r="K9" s="352"/>
      <c r="L9" s="352"/>
    </row>
    <row r="10" spans="1:12">
      <c r="A10" s="353" t="s">
        <v>468</v>
      </c>
      <c r="I10" s="352"/>
      <c r="J10" s="352"/>
      <c r="K10" s="352"/>
      <c r="L10" s="352"/>
    </row>
    <row r="11" spans="1:12">
      <c r="A11" s="353" t="s">
        <v>469</v>
      </c>
      <c r="I11" s="352"/>
      <c r="J11" s="352"/>
      <c r="K11" s="352"/>
      <c r="L11" s="352"/>
    </row>
    <row r="12" spans="1:12">
      <c r="A12" s="353" t="s">
        <v>470</v>
      </c>
      <c r="I12" s="352"/>
      <c r="J12" s="352"/>
      <c r="K12" s="352"/>
      <c r="L12" s="352"/>
    </row>
    <row r="13" spans="1:12">
      <c r="A13" s="353" t="s">
        <v>471</v>
      </c>
      <c r="I13" s="352"/>
      <c r="J13" s="352"/>
      <c r="K13" s="352"/>
      <c r="L13" s="352"/>
    </row>
    <row r="14" spans="1:12">
      <c r="A14" s="352"/>
      <c r="B14" s="352"/>
      <c r="C14" s="352"/>
      <c r="D14" s="352"/>
      <c r="E14" s="352"/>
      <c r="F14" s="352"/>
      <c r="G14" s="352"/>
      <c r="H14" s="352"/>
      <c r="I14" s="352"/>
      <c r="J14" s="352"/>
      <c r="K14" s="352"/>
      <c r="L14" s="352"/>
    </row>
    <row r="15" spans="1:12">
      <c r="A15" s="354" t="s">
        <v>472</v>
      </c>
    </row>
    <row r="16" spans="1:12">
      <c r="A16" s="354" t="s">
        <v>473</v>
      </c>
    </row>
    <row r="17" spans="1:7">
      <c r="A17" s="354"/>
    </row>
    <row r="18" spans="1:7">
      <c r="A18" s="353" t="s">
        <v>474</v>
      </c>
      <c r="B18" s="353"/>
      <c r="C18" s="353"/>
      <c r="D18" s="353"/>
      <c r="E18" s="353"/>
      <c r="F18" s="353"/>
      <c r="G18" s="353"/>
    </row>
    <row r="19" spans="1:7">
      <c r="A19" s="353" t="str">
        <f>CONCATENATE("your ",inputPrYr!C5-1," numbers to see what steps might be necessary to")</f>
        <v>your 2012 numbers to see what steps might be necessary to</v>
      </c>
      <c r="B19" s="353"/>
      <c r="C19" s="353"/>
      <c r="D19" s="353"/>
      <c r="E19" s="353"/>
      <c r="F19" s="353"/>
      <c r="G19" s="353"/>
    </row>
    <row r="20" spans="1:7">
      <c r="A20" s="353" t="s">
        <v>475</v>
      </c>
      <c r="B20" s="353"/>
      <c r="C20" s="353"/>
      <c r="D20" s="353"/>
      <c r="E20" s="353"/>
      <c r="F20" s="353"/>
      <c r="G20" s="353"/>
    </row>
    <row r="21" spans="1:7">
      <c r="A21" s="353" t="s">
        <v>476</v>
      </c>
      <c r="B21" s="353"/>
      <c r="C21" s="353"/>
      <c r="D21" s="353"/>
      <c r="E21" s="353"/>
      <c r="F21" s="353"/>
      <c r="G21" s="353"/>
    </row>
    <row r="22" spans="1:7">
      <c r="A22" s="353"/>
    </row>
    <row r="23" spans="1:7">
      <c r="A23" s="354" t="s">
        <v>477</v>
      </c>
    </row>
    <row r="24" spans="1:7">
      <c r="A24" s="354"/>
    </row>
    <row r="25" spans="1:7">
      <c r="A25" s="353" t="s">
        <v>478</v>
      </c>
    </row>
    <row r="26" spans="1:7">
      <c r="A26" s="353" t="s">
        <v>479</v>
      </c>
      <c r="B26" s="353"/>
      <c r="C26" s="353"/>
      <c r="D26" s="353"/>
      <c r="E26" s="353"/>
      <c r="F26" s="353"/>
    </row>
    <row r="27" spans="1:7">
      <c r="A27" s="353" t="s">
        <v>480</v>
      </c>
      <c r="B27" s="353"/>
      <c r="C27" s="353"/>
      <c r="D27" s="353"/>
      <c r="E27" s="353"/>
      <c r="F27" s="353"/>
    </row>
    <row r="28" spans="1:7">
      <c r="A28" s="353" t="s">
        <v>481</v>
      </c>
      <c r="B28" s="353"/>
      <c r="C28" s="353"/>
      <c r="D28" s="353"/>
      <c r="E28" s="353"/>
      <c r="F28" s="353"/>
    </row>
    <row r="29" spans="1:7">
      <c r="A29" s="353"/>
      <c r="B29" s="353"/>
      <c r="C29" s="353"/>
      <c r="D29" s="353"/>
      <c r="E29" s="353"/>
      <c r="F29" s="353"/>
    </row>
    <row r="30" spans="1:7">
      <c r="A30" s="354" t="s">
        <v>482</v>
      </c>
      <c r="B30" s="354"/>
      <c r="C30" s="354"/>
      <c r="D30" s="354"/>
      <c r="E30" s="354"/>
      <c r="F30" s="354"/>
      <c r="G30" s="354"/>
    </row>
    <row r="31" spans="1:7">
      <c r="A31" s="354" t="s">
        <v>483</v>
      </c>
      <c r="B31" s="354"/>
      <c r="C31" s="354"/>
      <c r="D31" s="354"/>
      <c r="E31" s="354"/>
      <c r="F31" s="354"/>
      <c r="G31" s="354"/>
    </row>
    <row r="32" spans="1:7">
      <c r="A32" s="353"/>
      <c r="B32" s="353"/>
      <c r="C32" s="353"/>
      <c r="D32" s="353"/>
      <c r="E32" s="353"/>
      <c r="F32" s="353"/>
    </row>
    <row r="33" spans="1:6">
      <c r="A33" s="351" t="str">
        <f>CONCATENATE("Well, let's look to see if any of your ",inputPrYr!C5-1," expenditures can")</f>
        <v>Well, let's look to see if any of your 2012 expenditures can</v>
      </c>
      <c r="B33" s="353"/>
      <c r="C33" s="353"/>
      <c r="D33" s="353"/>
      <c r="E33" s="353"/>
      <c r="F33" s="353"/>
    </row>
    <row r="34" spans="1:6">
      <c r="A34" s="351" t="s">
        <v>484</v>
      </c>
      <c r="B34" s="353"/>
      <c r="C34" s="353"/>
      <c r="D34" s="353"/>
      <c r="E34" s="353"/>
      <c r="F34" s="353"/>
    </row>
    <row r="35" spans="1:6">
      <c r="A35" s="351" t="s">
        <v>417</v>
      </c>
      <c r="B35" s="353"/>
      <c r="C35" s="353"/>
      <c r="D35" s="353"/>
      <c r="E35" s="353"/>
      <c r="F35" s="353"/>
    </row>
    <row r="36" spans="1:6">
      <c r="A36" s="351" t="s">
        <v>418</v>
      </c>
      <c r="B36" s="353"/>
      <c r="C36" s="353"/>
      <c r="D36" s="353"/>
      <c r="E36" s="353"/>
      <c r="F36" s="353"/>
    </row>
    <row r="37" spans="1:6">
      <c r="A37" s="351"/>
      <c r="B37" s="353"/>
      <c r="C37" s="353"/>
      <c r="D37" s="353"/>
      <c r="E37" s="353"/>
      <c r="F37" s="353"/>
    </row>
    <row r="38" spans="1:6">
      <c r="A38" s="351" t="str">
        <f>CONCATENATE("Additionally, do your ",inputPrYr!C5-1," receipts contain a reimbursement")</f>
        <v>Additionally, do your 2012 receipts contain a reimbursement</v>
      </c>
      <c r="B38" s="353"/>
      <c r="C38" s="353"/>
      <c r="D38" s="353"/>
      <c r="E38" s="353"/>
      <c r="F38" s="353"/>
    </row>
    <row r="39" spans="1:6">
      <c r="A39" s="351" t="s">
        <v>419</v>
      </c>
      <c r="B39" s="353"/>
      <c r="C39" s="353"/>
      <c r="D39" s="353"/>
      <c r="E39" s="353"/>
      <c r="F39" s="353"/>
    </row>
    <row r="40" spans="1:6">
      <c r="A40" s="351" t="s">
        <v>420</v>
      </c>
      <c r="B40" s="353"/>
      <c r="C40" s="353"/>
      <c r="D40" s="353"/>
      <c r="E40" s="353"/>
      <c r="F40" s="353"/>
    </row>
    <row r="41" spans="1:6">
      <c r="A41" s="351"/>
      <c r="B41" s="353"/>
      <c r="C41" s="353"/>
      <c r="D41" s="353"/>
      <c r="E41" s="353"/>
      <c r="F41" s="353"/>
    </row>
    <row r="42" spans="1:6">
      <c r="A42" s="351" t="s">
        <v>421</v>
      </c>
      <c r="B42" s="353"/>
      <c r="C42" s="353"/>
      <c r="D42" s="353"/>
      <c r="E42" s="353"/>
      <c r="F42" s="353"/>
    </row>
    <row r="43" spans="1:6">
      <c r="A43" s="351" t="s">
        <v>422</v>
      </c>
      <c r="B43" s="353"/>
      <c r="C43" s="353"/>
      <c r="D43" s="353"/>
      <c r="E43" s="353"/>
      <c r="F43" s="353"/>
    </row>
    <row r="44" spans="1:6">
      <c r="A44" s="351" t="s">
        <v>423</v>
      </c>
      <c r="B44" s="353"/>
      <c r="C44" s="353"/>
      <c r="D44" s="353"/>
      <c r="E44" s="353"/>
      <c r="F44" s="353"/>
    </row>
    <row r="45" spans="1:6">
      <c r="A45" s="351" t="s">
        <v>485</v>
      </c>
      <c r="B45" s="353"/>
      <c r="C45" s="353"/>
      <c r="D45" s="353"/>
      <c r="E45" s="353"/>
      <c r="F45" s="353"/>
    </row>
    <row r="46" spans="1:6">
      <c r="A46" s="351" t="s">
        <v>425</v>
      </c>
      <c r="B46" s="353"/>
      <c r="C46" s="353"/>
      <c r="D46" s="353"/>
      <c r="E46" s="353"/>
      <c r="F46" s="353"/>
    </row>
    <row r="47" spans="1:6">
      <c r="A47" s="351" t="s">
        <v>486</v>
      </c>
      <c r="B47" s="353"/>
      <c r="C47" s="353"/>
      <c r="D47" s="353"/>
      <c r="E47" s="353"/>
      <c r="F47" s="353"/>
    </row>
    <row r="48" spans="1:6">
      <c r="A48" s="351" t="s">
        <v>487</v>
      </c>
      <c r="B48" s="353"/>
      <c r="C48" s="353"/>
      <c r="D48" s="353"/>
      <c r="E48" s="353"/>
      <c r="F48" s="353"/>
    </row>
    <row r="49" spans="1:6">
      <c r="A49" s="351" t="s">
        <v>428</v>
      </c>
      <c r="B49" s="353"/>
      <c r="C49" s="353"/>
      <c r="D49" s="353"/>
      <c r="E49" s="353"/>
      <c r="F49" s="353"/>
    </row>
    <row r="50" spans="1:6">
      <c r="A50" s="351"/>
      <c r="B50" s="353"/>
      <c r="C50" s="353"/>
      <c r="D50" s="353"/>
      <c r="E50" s="353"/>
      <c r="F50" s="353"/>
    </row>
    <row r="51" spans="1:6">
      <c r="A51" s="351" t="s">
        <v>429</v>
      </c>
      <c r="B51" s="353"/>
      <c r="C51" s="353"/>
      <c r="D51" s="353"/>
      <c r="E51" s="353"/>
      <c r="F51" s="353"/>
    </row>
    <row r="52" spans="1:6">
      <c r="A52" s="351" t="s">
        <v>430</v>
      </c>
      <c r="B52" s="353"/>
      <c r="C52" s="353"/>
      <c r="D52" s="353"/>
      <c r="E52" s="353"/>
      <c r="F52" s="353"/>
    </row>
    <row r="53" spans="1:6">
      <c r="A53" s="351" t="s">
        <v>431</v>
      </c>
      <c r="B53" s="353"/>
      <c r="C53" s="353"/>
      <c r="D53" s="353"/>
      <c r="E53" s="353"/>
      <c r="F53" s="353"/>
    </row>
    <row r="54" spans="1:6">
      <c r="A54" s="351"/>
      <c r="B54" s="353"/>
      <c r="C54" s="353"/>
      <c r="D54" s="353"/>
      <c r="E54" s="353"/>
      <c r="F54" s="353"/>
    </row>
    <row r="55" spans="1:6">
      <c r="A55" s="351" t="s">
        <v>488</v>
      </c>
      <c r="B55" s="353"/>
      <c r="C55" s="353"/>
      <c r="D55" s="353"/>
      <c r="E55" s="353"/>
      <c r="F55" s="353"/>
    </row>
    <row r="56" spans="1:6">
      <c r="A56" s="351" t="s">
        <v>489</v>
      </c>
      <c r="B56" s="353"/>
      <c r="C56" s="353"/>
      <c r="D56" s="353"/>
      <c r="E56" s="353"/>
      <c r="F56" s="353"/>
    </row>
    <row r="57" spans="1:6">
      <c r="A57" s="351" t="s">
        <v>490</v>
      </c>
      <c r="B57" s="353"/>
      <c r="C57" s="353"/>
      <c r="D57" s="353"/>
      <c r="E57" s="353"/>
      <c r="F57" s="353"/>
    </row>
    <row r="58" spans="1:6">
      <c r="A58" s="351" t="s">
        <v>491</v>
      </c>
      <c r="B58" s="353"/>
      <c r="C58" s="353"/>
      <c r="D58" s="353"/>
      <c r="E58" s="353"/>
      <c r="F58" s="353"/>
    </row>
    <row r="59" spans="1:6">
      <c r="A59" s="351" t="s">
        <v>492</v>
      </c>
      <c r="B59" s="353"/>
      <c r="C59" s="353"/>
      <c r="D59" s="353"/>
      <c r="E59" s="353"/>
      <c r="F59" s="353"/>
    </row>
    <row r="60" spans="1:6">
      <c r="A60" s="351"/>
      <c r="B60" s="353"/>
      <c r="C60" s="353"/>
      <c r="D60" s="353"/>
      <c r="E60" s="353"/>
      <c r="F60" s="353"/>
    </row>
    <row r="61" spans="1:6">
      <c r="A61" s="350" t="s">
        <v>493</v>
      </c>
      <c r="B61" s="353"/>
      <c r="C61" s="353"/>
      <c r="D61" s="353"/>
      <c r="E61" s="353"/>
      <c r="F61" s="353"/>
    </row>
    <row r="62" spans="1:6">
      <c r="A62" s="350" t="s">
        <v>494</v>
      </c>
      <c r="B62" s="353"/>
      <c r="C62" s="353"/>
      <c r="D62" s="353"/>
      <c r="E62" s="353"/>
      <c r="F62" s="353"/>
    </row>
    <row r="63" spans="1:6">
      <c r="A63" s="350" t="s">
        <v>495</v>
      </c>
      <c r="B63" s="353"/>
      <c r="C63" s="353"/>
      <c r="D63" s="353"/>
      <c r="E63" s="353"/>
      <c r="F63" s="353"/>
    </row>
    <row r="64" spans="1:6">
      <c r="A64" s="350" t="s">
        <v>496</v>
      </c>
    </row>
    <row r="65" spans="1:1">
      <c r="A65" s="350" t="s">
        <v>497</v>
      </c>
    </row>
    <row r="66" spans="1:1">
      <c r="A66" s="350" t="s">
        <v>498</v>
      </c>
    </row>
    <row r="68" spans="1:1">
      <c r="A68" s="353" t="s">
        <v>499</v>
      </c>
    </row>
    <row r="69" spans="1:1">
      <c r="A69" s="353" t="s">
        <v>500</v>
      </c>
    </row>
    <row r="70" spans="1:1">
      <c r="A70" s="353" t="s">
        <v>501</v>
      </c>
    </row>
    <row r="71" spans="1:1">
      <c r="A71" s="353" t="s">
        <v>502</v>
      </c>
    </row>
    <row r="72" spans="1:1">
      <c r="A72" s="353" t="s">
        <v>503</v>
      </c>
    </row>
    <row r="73" spans="1:1">
      <c r="A73" s="353" t="s">
        <v>504</v>
      </c>
    </row>
    <row r="75" spans="1:1">
      <c r="A75" s="353" t="s">
        <v>1208</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G106"/>
  <sheetViews>
    <sheetView workbookViewId="0">
      <selection activeCell="A56" sqref="A56"/>
    </sheetView>
  </sheetViews>
  <sheetFormatPr defaultRowHeight="15"/>
  <cols>
    <col min="1" max="1" width="71.33203125" customWidth="1"/>
  </cols>
  <sheetData>
    <row r="3" spans="1:7">
      <c r="A3" s="352" t="s">
        <v>505</v>
      </c>
      <c r="B3" s="352"/>
      <c r="C3" s="352"/>
      <c r="D3" s="352"/>
      <c r="E3" s="352"/>
      <c r="F3" s="352"/>
      <c r="G3" s="352"/>
    </row>
    <row r="4" spans="1:7">
      <c r="A4" s="352"/>
      <c r="B4" s="352"/>
      <c r="C4" s="352"/>
      <c r="D4" s="352"/>
      <c r="E4" s="352"/>
      <c r="F4" s="352"/>
      <c r="G4" s="352"/>
    </row>
    <row r="5" spans="1:7">
      <c r="A5" s="353" t="s">
        <v>1210</v>
      </c>
    </row>
    <row r="6" spans="1:7">
      <c r="A6" s="353" t="str">
        <f>CONCATENATE(inputPrYr!C5," estimated expenditures show that at the end of this year")</f>
        <v>2013 estimated expenditures show that at the end of this year</v>
      </c>
    </row>
    <row r="7" spans="1:7">
      <c r="A7" s="353" t="s">
        <v>506</v>
      </c>
    </row>
    <row r="8" spans="1:7">
      <c r="A8" s="353" t="s">
        <v>507</v>
      </c>
    </row>
    <row r="10" spans="1:7">
      <c r="A10" t="s">
        <v>1212</v>
      </c>
    </row>
    <row r="11" spans="1:7">
      <c r="A11" t="s">
        <v>1213</v>
      </c>
    </row>
    <row r="12" spans="1:7">
      <c r="A12" t="s">
        <v>1214</v>
      </c>
    </row>
    <row r="13" spans="1:7">
      <c r="A13" s="352"/>
      <c r="B13" s="352"/>
      <c r="C13" s="352"/>
      <c r="D13" s="352"/>
      <c r="E13" s="352"/>
      <c r="F13" s="352"/>
      <c r="G13" s="352"/>
    </row>
    <row r="14" spans="1:7">
      <c r="A14" s="354" t="s">
        <v>508</v>
      </c>
    </row>
    <row r="15" spans="1:7">
      <c r="A15" s="353"/>
    </row>
    <row r="16" spans="1:7">
      <c r="A16" s="353" t="s">
        <v>509</v>
      </c>
    </row>
    <row r="17" spans="1:7">
      <c r="A17" s="353" t="s">
        <v>510</v>
      </c>
    </row>
    <row r="18" spans="1:7">
      <c r="A18" s="353" t="s">
        <v>511</v>
      </c>
    </row>
    <row r="19" spans="1:7">
      <c r="A19" s="353"/>
    </row>
    <row r="20" spans="1:7">
      <c r="A20" s="353" t="s">
        <v>512</v>
      </c>
    </row>
    <row r="21" spans="1:7">
      <c r="A21" s="353" t="s">
        <v>513</v>
      </c>
    </row>
    <row r="22" spans="1:7">
      <c r="A22" s="353" t="s">
        <v>514</v>
      </c>
    </row>
    <row r="23" spans="1:7">
      <c r="A23" s="353" t="s">
        <v>515</v>
      </c>
    </row>
    <row r="24" spans="1:7">
      <c r="A24" s="353"/>
    </row>
    <row r="25" spans="1:7">
      <c r="A25" s="354" t="s">
        <v>477</v>
      </c>
    </row>
    <row r="26" spans="1:7">
      <c r="A26" s="354"/>
    </row>
    <row r="27" spans="1:7">
      <c r="A27" s="353" t="s">
        <v>478</v>
      </c>
    </row>
    <row r="28" spans="1:7">
      <c r="A28" s="353" t="s">
        <v>479</v>
      </c>
      <c r="B28" s="353"/>
      <c r="C28" s="353"/>
      <c r="D28" s="353"/>
      <c r="E28" s="353"/>
      <c r="F28" s="353"/>
    </row>
    <row r="29" spans="1:7">
      <c r="A29" s="353" t="s">
        <v>480</v>
      </c>
      <c r="B29" s="353"/>
      <c r="C29" s="353"/>
      <c r="D29" s="353"/>
      <c r="E29" s="353"/>
      <c r="F29" s="353"/>
    </row>
    <row r="30" spans="1:7">
      <c r="A30" s="353" t="s">
        <v>481</v>
      </c>
      <c r="B30" s="353"/>
      <c r="C30" s="353"/>
      <c r="D30" s="353"/>
      <c r="E30" s="353"/>
      <c r="F30" s="353"/>
    </row>
    <row r="31" spans="1:7">
      <c r="A31" s="353"/>
    </row>
    <row r="32" spans="1:7">
      <c r="A32" s="354" t="s">
        <v>482</v>
      </c>
      <c r="B32" s="354"/>
      <c r="C32" s="354"/>
      <c r="D32" s="354"/>
      <c r="E32" s="354"/>
      <c r="F32" s="354"/>
      <c r="G32" s="354"/>
    </row>
    <row r="33" spans="1:7">
      <c r="A33" s="354" t="s">
        <v>483</v>
      </c>
      <c r="B33" s="354"/>
      <c r="C33" s="354"/>
      <c r="D33" s="354"/>
      <c r="E33" s="354"/>
      <c r="F33" s="354"/>
      <c r="G33" s="354"/>
    </row>
    <row r="34" spans="1:7">
      <c r="A34" s="354"/>
      <c r="B34" s="354"/>
      <c r="C34" s="354"/>
      <c r="D34" s="354"/>
      <c r="E34" s="354"/>
      <c r="F34" s="354"/>
      <c r="G34" s="354"/>
    </row>
    <row r="35" spans="1:7">
      <c r="A35" s="353" t="s">
        <v>516</v>
      </c>
      <c r="B35" s="353"/>
      <c r="C35" s="353"/>
      <c r="D35" s="353"/>
      <c r="E35" s="353"/>
      <c r="F35" s="353"/>
      <c r="G35" s="353"/>
    </row>
    <row r="36" spans="1:7">
      <c r="A36" s="353" t="s">
        <v>517</v>
      </c>
      <c r="B36" s="353"/>
      <c r="C36" s="353"/>
      <c r="D36" s="353"/>
      <c r="E36" s="353"/>
      <c r="F36" s="353"/>
      <c r="G36" s="353"/>
    </row>
    <row r="37" spans="1:7">
      <c r="A37" s="353" t="s">
        <v>518</v>
      </c>
      <c r="B37" s="353"/>
      <c r="C37" s="353"/>
      <c r="D37" s="353"/>
      <c r="E37" s="353"/>
      <c r="F37" s="353"/>
      <c r="G37" s="353"/>
    </row>
    <row r="38" spans="1:7">
      <c r="A38" s="353" t="s">
        <v>519</v>
      </c>
      <c r="B38" s="353"/>
      <c r="C38" s="353"/>
      <c r="D38" s="353"/>
      <c r="E38" s="353"/>
      <c r="F38" s="353"/>
      <c r="G38" s="353"/>
    </row>
    <row r="39" spans="1:7">
      <c r="A39" s="353" t="s">
        <v>520</v>
      </c>
      <c r="B39" s="353"/>
      <c r="C39" s="353"/>
      <c r="D39" s="353"/>
      <c r="E39" s="353"/>
      <c r="F39" s="353"/>
      <c r="G39" s="353"/>
    </row>
    <row r="40" spans="1:7">
      <c r="A40" s="354"/>
      <c r="B40" s="354"/>
      <c r="C40" s="354"/>
      <c r="D40" s="354"/>
      <c r="E40" s="354"/>
      <c r="F40" s="354"/>
      <c r="G40" s="354"/>
    </row>
    <row r="41" spans="1:7">
      <c r="A41" s="351" t="str">
        <f>CONCATENATE("So, let's look to see if any of your ",inputPrYr!C5-1," expenditures can")</f>
        <v>So, let's look to see if any of your 2012 expenditures can</v>
      </c>
      <c r="B41" s="353"/>
      <c r="C41" s="353"/>
      <c r="D41" s="353"/>
      <c r="E41" s="353"/>
      <c r="F41" s="353"/>
    </row>
    <row r="42" spans="1:7">
      <c r="A42" s="351" t="s">
        <v>484</v>
      </c>
      <c r="B42" s="353"/>
      <c r="C42" s="353"/>
      <c r="D42" s="353"/>
      <c r="E42" s="353"/>
      <c r="F42" s="353"/>
    </row>
    <row r="43" spans="1:7">
      <c r="A43" s="351" t="s">
        <v>417</v>
      </c>
      <c r="B43" s="353"/>
      <c r="C43" s="353"/>
      <c r="D43" s="353"/>
      <c r="E43" s="353"/>
      <c r="F43" s="353"/>
    </row>
    <row r="44" spans="1:7">
      <c r="A44" s="351" t="s">
        <v>418</v>
      </c>
      <c r="B44" s="353"/>
      <c r="C44" s="353"/>
      <c r="D44" s="353"/>
      <c r="E44" s="353"/>
      <c r="F44" s="353"/>
    </row>
    <row r="45" spans="1:7">
      <c r="A45" s="353"/>
    </row>
    <row r="46" spans="1:7">
      <c r="A46" s="351" t="str">
        <f>CONCATENATE("Additionally, do your ",inputPrYr!C5-1," receipts contain a reimbursement")</f>
        <v>Additionally, do your 2012 receipts contain a reimbursement</v>
      </c>
      <c r="B46" s="353"/>
      <c r="C46" s="353"/>
      <c r="D46" s="353"/>
      <c r="E46" s="353"/>
      <c r="F46" s="353"/>
    </row>
    <row r="47" spans="1:7">
      <c r="A47" s="351" t="s">
        <v>419</v>
      </c>
      <c r="B47" s="353"/>
      <c r="C47" s="353"/>
      <c r="D47" s="353"/>
      <c r="E47" s="353"/>
      <c r="F47" s="353"/>
    </row>
    <row r="48" spans="1:7">
      <c r="A48" s="351" t="s">
        <v>420</v>
      </c>
      <c r="B48" s="353"/>
      <c r="C48" s="353"/>
      <c r="D48" s="353"/>
      <c r="E48" s="353"/>
      <c r="F48" s="353"/>
    </row>
    <row r="49" spans="1:7">
      <c r="A49" s="353"/>
      <c r="B49" s="353"/>
      <c r="C49" s="353"/>
      <c r="D49" s="353"/>
      <c r="E49" s="353"/>
      <c r="F49" s="353"/>
      <c r="G49" s="353"/>
    </row>
    <row r="50" spans="1:7">
      <c r="A50" s="353" t="s">
        <v>438</v>
      </c>
      <c r="B50" s="353"/>
      <c r="C50" s="353"/>
      <c r="D50" s="353"/>
      <c r="E50" s="353"/>
      <c r="F50" s="353"/>
      <c r="G50" s="353"/>
    </row>
    <row r="51" spans="1:7">
      <c r="A51" s="353" t="s">
        <v>439</v>
      </c>
      <c r="B51" s="353"/>
      <c r="C51" s="353"/>
      <c r="D51" s="353"/>
      <c r="E51" s="353"/>
      <c r="F51" s="353"/>
      <c r="G51" s="353"/>
    </row>
    <row r="52" spans="1:7">
      <c r="A52" s="353" t="s">
        <v>440</v>
      </c>
      <c r="B52" s="353"/>
      <c r="C52" s="353"/>
      <c r="D52" s="353"/>
      <c r="E52" s="353"/>
      <c r="F52" s="353"/>
      <c r="G52" s="353"/>
    </row>
    <row r="53" spans="1:7">
      <c r="A53" s="353" t="s">
        <v>441</v>
      </c>
      <c r="B53" s="353"/>
      <c r="C53" s="353"/>
      <c r="D53" s="353"/>
      <c r="E53" s="353"/>
      <c r="F53" s="353"/>
      <c r="G53" s="353"/>
    </row>
    <row r="54" spans="1:7">
      <c r="A54" s="353" t="s">
        <v>442</v>
      </c>
      <c r="B54" s="353"/>
      <c r="C54" s="353"/>
      <c r="D54" s="353"/>
      <c r="E54" s="353"/>
      <c r="F54" s="353"/>
      <c r="G54" s="353"/>
    </row>
    <row r="55" spans="1:7">
      <c r="A55" s="353"/>
      <c r="B55" s="353"/>
      <c r="C55" s="353"/>
      <c r="D55" s="353"/>
      <c r="E55" s="353"/>
      <c r="F55" s="353"/>
      <c r="G55" s="353"/>
    </row>
    <row r="56" spans="1:7">
      <c r="A56" s="351" t="s">
        <v>429</v>
      </c>
      <c r="B56" s="353"/>
      <c r="C56" s="353"/>
      <c r="D56" s="353"/>
      <c r="E56" s="353"/>
      <c r="F56" s="353"/>
    </row>
    <row r="57" spans="1:7">
      <c r="A57" s="351" t="s">
        <v>430</v>
      </c>
      <c r="B57" s="353"/>
      <c r="C57" s="353"/>
      <c r="D57" s="353"/>
      <c r="E57" s="353"/>
      <c r="F57" s="353"/>
    </row>
    <row r="58" spans="1:7">
      <c r="A58" s="351" t="s">
        <v>431</v>
      </c>
      <c r="B58" s="353"/>
      <c r="C58" s="353"/>
      <c r="D58" s="353"/>
      <c r="E58" s="353"/>
      <c r="F58" s="353"/>
    </row>
    <row r="59" spans="1:7">
      <c r="A59" s="351"/>
      <c r="B59" s="353"/>
      <c r="C59" s="353"/>
      <c r="D59" s="353"/>
      <c r="E59" s="353"/>
      <c r="F59" s="353"/>
    </row>
    <row r="60" spans="1:7">
      <c r="A60" s="353" t="s">
        <v>521</v>
      </c>
      <c r="B60" s="353"/>
      <c r="C60" s="353"/>
      <c r="D60" s="353"/>
      <c r="E60" s="353"/>
      <c r="F60" s="353"/>
      <c r="G60" s="353"/>
    </row>
    <row r="61" spans="1:7">
      <c r="A61" s="353" t="s">
        <v>522</v>
      </c>
      <c r="B61" s="353"/>
      <c r="C61" s="353"/>
      <c r="D61" s="353"/>
      <c r="E61" s="353"/>
      <c r="F61" s="353"/>
      <c r="G61" s="353"/>
    </row>
    <row r="62" spans="1:7">
      <c r="A62" s="353" t="s">
        <v>523</v>
      </c>
      <c r="B62" s="353"/>
      <c r="C62" s="353"/>
      <c r="D62" s="353"/>
      <c r="E62" s="353"/>
      <c r="F62" s="353"/>
      <c r="G62" s="353"/>
    </row>
    <row r="63" spans="1:7">
      <c r="A63" s="353" t="s">
        <v>524</v>
      </c>
      <c r="B63" s="353"/>
      <c r="C63" s="353"/>
      <c r="D63" s="353"/>
      <c r="E63" s="353"/>
      <c r="F63" s="353"/>
      <c r="G63" s="353"/>
    </row>
    <row r="64" spans="1:7">
      <c r="A64" s="353" t="s">
        <v>525</v>
      </c>
      <c r="B64" s="353"/>
      <c r="C64" s="353"/>
      <c r="D64" s="353"/>
      <c r="E64" s="353"/>
      <c r="F64" s="353"/>
      <c r="G64" s="353"/>
    </row>
    <row r="66" spans="1:6">
      <c r="A66" s="351" t="s">
        <v>488</v>
      </c>
      <c r="B66" s="353"/>
      <c r="C66" s="353"/>
      <c r="D66" s="353"/>
      <c r="E66" s="353"/>
      <c r="F66" s="353"/>
    </row>
    <row r="67" spans="1:6">
      <c r="A67" s="351" t="s">
        <v>489</v>
      </c>
      <c r="B67" s="353"/>
      <c r="C67" s="353"/>
      <c r="D67" s="353"/>
      <c r="E67" s="353"/>
      <c r="F67" s="353"/>
    </row>
    <row r="68" spans="1:6">
      <c r="A68" s="351" t="s">
        <v>490</v>
      </c>
      <c r="B68" s="353"/>
      <c r="C68" s="353"/>
      <c r="D68" s="353"/>
      <c r="E68" s="353"/>
      <c r="F68" s="353"/>
    </row>
    <row r="69" spans="1:6">
      <c r="A69" s="351" t="s">
        <v>491</v>
      </c>
      <c r="B69" s="353"/>
      <c r="C69" s="353"/>
      <c r="D69" s="353"/>
      <c r="E69" s="353"/>
      <c r="F69" s="353"/>
    </row>
    <row r="70" spans="1:6">
      <c r="A70" s="351" t="s">
        <v>492</v>
      </c>
      <c r="B70" s="353"/>
      <c r="C70" s="353"/>
      <c r="D70" s="353"/>
      <c r="E70" s="353"/>
      <c r="F70" s="353"/>
    </row>
    <row r="71" spans="1:6">
      <c r="A71" s="353"/>
    </row>
    <row r="72" spans="1:6">
      <c r="A72" s="353" t="s">
        <v>1208</v>
      </c>
    </row>
    <row r="73" spans="1:6">
      <c r="A73" s="353"/>
    </row>
    <row r="74" spans="1:6">
      <c r="A74" s="353"/>
    </row>
    <row r="75" spans="1:6">
      <c r="A75" s="353"/>
    </row>
    <row r="78" spans="1:6">
      <c r="A78" s="354"/>
    </row>
    <row r="80" spans="1:6">
      <c r="A80" s="353"/>
    </row>
    <row r="81" spans="1:1">
      <c r="A81" s="353"/>
    </row>
    <row r="82" spans="1:1">
      <c r="A82" s="353"/>
    </row>
    <row r="83" spans="1:1">
      <c r="A83" s="353"/>
    </row>
    <row r="84" spans="1:1">
      <c r="A84" s="353"/>
    </row>
    <row r="85" spans="1:1">
      <c r="A85" s="353"/>
    </row>
    <row r="86" spans="1:1">
      <c r="A86" s="353"/>
    </row>
    <row r="87" spans="1:1">
      <c r="A87" s="353"/>
    </row>
    <row r="88" spans="1:1">
      <c r="A88" s="353"/>
    </row>
    <row r="89" spans="1:1">
      <c r="A89" s="353"/>
    </row>
    <row r="90" spans="1:1">
      <c r="A90" s="353"/>
    </row>
    <row r="92" spans="1:1">
      <c r="A92" s="353"/>
    </row>
    <row r="93" spans="1:1">
      <c r="A93" s="353"/>
    </row>
    <row r="94" spans="1:1">
      <c r="A94" s="353"/>
    </row>
    <row r="95" spans="1:1">
      <c r="A95" s="353"/>
    </row>
    <row r="96" spans="1:1">
      <c r="A96" s="353"/>
    </row>
    <row r="97" spans="1:1">
      <c r="A97" s="353"/>
    </row>
    <row r="98" spans="1:1">
      <c r="A98" s="353"/>
    </row>
    <row r="99" spans="1:1">
      <c r="A99" s="353"/>
    </row>
    <row r="100" spans="1:1">
      <c r="A100" s="353"/>
    </row>
    <row r="101" spans="1:1">
      <c r="A101" s="353"/>
    </row>
    <row r="102" spans="1:1">
      <c r="A102" s="353"/>
    </row>
    <row r="103" spans="1:1">
      <c r="A103" s="353"/>
    </row>
    <row r="104" spans="1:1">
      <c r="A104" s="353"/>
    </row>
    <row r="105" spans="1:1">
      <c r="A105" s="353"/>
    </row>
    <row r="106" spans="1:1">
      <c r="A106" s="353"/>
    </row>
  </sheetData>
  <sheetProtection sheet="1"/>
  <phoneticPr fontId="0" type="noConversion"/>
  <pageMargins left="0.7" right="0.7" top="0.75" bottom="0.75" header="0.3" footer="0.3"/>
  <pageSetup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H52"/>
  <sheetViews>
    <sheetView workbookViewId="0">
      <selection activeCell="A56" sqref="A56"/>
    </sheetView>
  </sheetViews>
  <sheetFormatPr defaultRowHeight="15"/>
  <cols>
    <col min="1" max="1" width="71.33203125" customWidth="1"/>
  </cols>
  <sheetData>
    <row r="3" spans="1:7">
      <c r="A3" s="352" t="s">
        <v>526</v>
      </c>
      <c r="B3" s="352"/>
      <c r="C3" s="352"/>
      <c r="D3" s="352"/>
      <c r="E3" s="352"/>
      <c r="F3" s="352"/>
      <c r="G3" s="352"/>
    </row>
    <row r="4" spans="1:7">
      <c r="A4" s="352" t="s">
        <v>527</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3" t="s">
        <v>403</v>
      </c>
    </row>
    <row r="8" spans="1:7">
      <c r="A8" s="353" t="str">
        <f>CONCATENATE("estimated ",inputPrYr!C5," 'total expenditures' exceed your ",inputPrYr!C5,"")</f>
        <v>estimated 2013 'total expenditures' exceed your 2013</v>
      </c>
    </row>
    <row r="9" spans="1:7">
      <c r="A9" s="356" t="s">
        <v>528</v>
      </c>
    </row>
    <row r="10" spans="1:7">
      <c r="A10" s="353"/>
    </row>
    <row r="11" spans="1:7">
      <c r="A11" s="353" t="s">
        <v>529</v>
      </c>
    </row>
    <row r="12" spans="1:7">
      <c r="A12" s="353" t="s">
        <v>530</v>
      </c>
    </row>
    <row r="13" spans="1:7">
      <c r="A13" s="353" t="s">
        <v>531</v>
      </c>
    </row>
    <row r="14" spans="1:7">
      <c r="A14" s="353"/>
    </row>
    <row r="15" spans="1:7">
      <c r="A15" s="354" t="s">
        <v>532</v>
      </c>
    </row>
    <row r="16" spans="1:7">
      <c r="A16" s="352"/>
      <c r="B16" s="352"/>
      <c r="C16" s="352"/>
      <c r="D16" s="352"/>
      <c r="E16" s="352"/>
      <c r="F16" s="352"/>
      <c r="G16" s="352"/>
    </row>
    <row r="17" spans="1:8">
      <c r="A17" s="357" t="s">
        <v>533</v>
      </c>
      <c r="B17" s="358"/>
      <c r="C17" s="358"/>
      <c r="D17" s="358"/>
      <c r="E17" s="358"/>
      <c r="F17" s="358"/>
      <c r="G17" s="358"/>
      <c r="H17" s="358"/>
    </row>
    <row r="18" spans="1:8">
      <c r="A18" s="353" t="s">
        <v>534</v>
      </c>
      <c r="B18" s="359"/>
      <c r="C18" s="359"/>
      <c r="D18" s="359"/>
      <c r="E18" s="359"/>
      <c r="F18" s="359"/>
      <c r="G18" s="359"/>
    </row>
    <row r="19" spans="1:8">
      <c r="A19" s="353" t="s">
        <v>535</v>
      </c>
    </row>
    <row r="20" spans="1:8">
      <c r="A20" s="353" t="s">
        <v>536</v>
      </c>
    </row>
    <row r="22" spans="1:8">
      <c r="A22" s="354" t="s">
        <v>537</v>
      </c>
    </row>
    <row r="24" spans="1:8">
      <c r="A24" s="353" t="s">
        <v>538</v>
      </c>
    </row>
    <row r="25" spans="1:8">
      <c r="A25" s="353" t="s">
        <v>539</v>
      </c>
    </row>
    <row r="26" spans="1:8">
      <c r="A26" s="353" t="s">
        <v>540</v>
      </c>
    </row>
    <row r="28" spans="1:8">
      <c r="A28" s="354" t="s">
        <v>541</v>
      </c>
    </row>
    <row r="30" spans="1:8">
      <c r="A30" t="s">
        <v>542</v>
      </c>
    </row>
    <row r="31" spans="1:8">
      <c r="A31" t="s">
        <v>543</v>
      </c>
    </row>
    <row r="32" spans="1:8">
      <c r="A32" t="s">
        <v>544</v>
      </c>
    </row>
    <row r="33" spans="1:1">
      <c r="A33" s="353" t="s">
        <v>545</v>
      </c>
    </row>
    <row r="35" spans="1:1">
      <c r="A35" t="s">
        <v>546</v>
      </c>
    </row>
    <row r="36" spans="1:1">
      <c r="A36" t="s">
        <v>547</v>
      </c>
    </row>
    <row r="37" spans="1:1">
      <c r="A37" t="s">
        <v>548</v>
      </c>
    </row>
    <row r="38" spans="1:1">
      <c r="A38" t="s">
        <v>549</v>
      </c>
    </row>
    <row r="40" spans="1:1">
      <c r="A40" t="s">
        <v>550</v>
      </c>
    </row>
    <row r="41" spans="1:1">
      <c r="A41" t="s">
        <v>551</v>
      </c>
    </row>
    <row r="42" spans="1:1">
      <c r="A42" t="s">
        <v>552</v>
      </c>
    </row>
    <row r="43" spans="1:1">
      <c r="A43" t="s">
        <v>553</v>
      </c>
    </row>
    <row r="44" spans="1:1">
      <c r="A44" t="s">
        <v>554</v>
      </c>
    </row>
    <row r="45" spans="1:1">
      <c r="A45" t="s">
        <v>555</v>
      </c>
    </row>
    <row r="47" spans="1:1">
      <c r="A47" t="s">
        <v>556</v>
      </c>
    </row>
    <row r="48" spans="1:1">
      <c r="A48" t="s">
        <v>557</v>
      </c>
    </row>
    <row r="49" spans="1:1">
      <c r="A49" s="353" t="s">
        <v>558</v>
      </c>
    </row>
    <row r="50" spans="1:1">
      <c r="A50" s="353" t="s">
        <v>559</v>
      </c>
    </row>
    <row r="52" spans="1:1">
      <c r="A52" t="s">
        <v>1208</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dimension ref="A1:X354"/>
  <sheetViews>
    <sheetView zoomScaleNormal="100" zoomScaleSheetLayoutView="100" workbookViewId="0">
      <selection activeCell="A56" sqref="A56"/>
    </sheetView>
  </sheetViews>
  <sheetFormatPr defaultRowHeight="14.25"/>
  <cols>
    <col min="1" max="1" width="7.5546875" style="442" customWidth="1"/>
    <col min="2" max="2" width="11.21875" style="444" customWidth="1"/>
    <col min="3" max="3" width="7.44140625" style="444" customWidth="1"/>
    <col min="4" max="4" width="8.88671875" style="444"/>
    <col min="5" max="5" width="1.5546875" style="444" customWidth="1"/>
    <col min="6" max="6" width="14.33203125" style="444" customWidth="1"/>
    <col min="7" max="7" width="2.5546875" style="444" customWidth="1"/>
    <col min="8" max="8" width="9.77734375" style="444" customWidth="1"/>
    <col min="9" max="9" width="2" style="444" customWidth="1"/>
    <col min="10" max="10" width="8.5546875" style="444" customWidth="1"/>
    <col min="11" max="11" width="11.6640625" style="444" customWidth="1"/>
    <col min="12" max="12" width="7.5546875" style="442" customWidth="1"/>
    <col min="13" max="14" width="8.88671875" style="442"/>
    <col min="15" max="15" width="9.88671875" style="442" bestFit="1" customWidth="1"/>
    <col min="16" max="16384" width="8.88671875" style="442"/>
  </cols>
  <sheetData>
    <row r="1" spans="1:12">
      <c r="A1" s="443"/>
      <c r="B1" s="443"/>
      <c r="C1" s="443"/>
      <c r="D1" s="443"/>
      <c r="E1" s="443"/>
      <c r="F1" s="443"/>
      <c r="G1" s="443"/>
      <c r="H1" s="443"/>
      <c r="I1" s="443"/>
      <c r="J1" s="443"/>
      <c r="K1" s="443"/>
      <c r="L1" s="443"/>
    </row>
    <row r="2" spans="1:12">
      <c r="A2" s="443"/>
      <c r="B2" s="443"/>
      <c r="C2" s="443"/>
      <c r="D2" s="443"/>
      <c r="E2" s="443"/>
      <c r="F2" s="443"/>
      <c r="G2" s="443"/>
      <c r="H2" s="443"/>
      <c r="I2" s="443"/>
      <c r="J2" s="443"/>
      <c r="K2" s="443"/>
      <c r="L2" s="443"/>
    </row>
    <row r="3" spans="1:12">
      <c r="A3" s="443"/>
      <c r="B3" s="443"/>
      <c r="C3" s="443"/>
      <c r="D3" s="443"/>
      <c r="E3" s="443"/>
      <c r="F3" s="443"/>
      <c r="G3" s="443"/>
      <c r="H3" s="443"/>
      <c r="I3" s="443"/>
      <c r="J3" s="443"/>
      <c r="K3" s="443"/>
      <c r="L3" s="443"/>
    </row>
    <row r="4" spans="1:12">
      <c r="A4" s="443"/>
      <c r="L4" s="443"/>
    </row>
    <row r="5" spans="1:12" ht="15" customHeight="1">
      <c r="A5" s="443"/>
      <c r="L5" s="443"/>
    </row>
    <row r="6" spans="1:12" ht="33" customHeight="1">
      <c r="A6" s="443"/>
      <c r="B6" s="1020" t="s">
        <v>605</v>
      </c>
      <c r="C6" s="1024"/>
      <c r="D6" s="1024"/>
      <c r="E6" s="1024"/>
      <c r="F6" s="1024"/>
      <c r="G6" s="1024"/>
      <c r="H6" s="1024"/>
      <c r="I6" s="1024"/>
      <c r="J6" s="1024"/>
      <c r="K6" s="1024"/>
      <c r="L6" s="445"/>
    </row>
    <row r="7" spans="1:12" ht="40.5" customHeight="1">
      <c r="A7" s="443"/>
      <c r="B7" s="1027" t="s">
        <v>606</v>
      </c>
      <c r="C7" s="1028"/>
      <c r="D7" s="1028"/>
      <c r="E7" s="1028"/>
      <c r="F7" s="1028"/>
      <c r="G7" s="1028"/>
      <c r="H7" s="1028"/>
      <c r="I7" s="1028"/>
      <c r="J7" s="1028"/>
      <c r="K7" s="1028"/>
      <c r="L7" s="443"/>
    </row>
    <row r="8" spans="1:12">
      <c r="A8" s="443"/>
      <c r="B8" s="1019" t="s">
        <v>607</v>
      </c>
      <c r="C8" s="1019"/>
      <c r="D8" s="1019"/>
      <c r="E8" s="1019"/>
      <c r="F8" s="1019"/>
      <c r="G8" s="1019"/>
      <c r="H8" s="1019"/>
      <c r="I8" s="1019"/>
      <c r="J8" s="1019"/>
      <c r="K8" s="1019"/>
      <c r="L8" s="443"/>
    </row>
    <row r="9" spans="1:12">
      <c r="A9" s="443"/>
      <c r="L9" s="443"/>
    </row>
    <row r="10" spans="1:12">
      <c r="A10" s="443"/>
      <c r="B10" s="1019" t="s">
        <v>608</v>
      </c>
      <c r="C10" s="1019"/>
      <c r="D10" s="1019"/>
      <c r="E10" s="1019"/>
      <c r="F10" s="1019"/>
      <c r="G10" s="1019"/>
      <c r="H10" s="1019"/>
      <c r="I10" s="1019"/>
      <c r="J10" s="1019"/>
      <c r="K10" s="1019"/>
      <c r="L10" s="443"/>
    </row>
    <row r="11" spans="1:12">
      <c r="A11" s="443"/>
      <c r="B11" s="579"/>
      <c r="C11" s="579"/>
      <c r="D11" s="579"/>
      <c r="E11" s="579"/>
      <c r="F11" s="579"/>
      <c r="G11" s="579"/>
      <c r="H11" s="579"/>
      <c r="I11" s="579"/>
      <c r="J11" s="579"/>
      <c r="K11" s="579"/>
      <c r="L11" s="443"/>
    </row>
    <row r="12" spans="1:12" ht="32.25" customHeight="1">
      <c r="A12" s="443"/>
      <c r="B12" s="1017" t="s">
        <v>609</v>
      </c>
      <c r="C12" s="1017"/>
      <c r="D12" s="1017"/>
      <c r="E12" s="1017"/>
      <c r="F12" s="1017"/>
      <c r="G12" s="1017"/>
      <c r="H12" s="1017"/>
      <c r="I12" s="1017"/>
      <c r="J12" s="1017"/>
      <c r="K12" s="1017"/>
      <c r="L12" s="443"/>
    </row>
    <row r="13" spans="1:12">
      <c r="A13" s="443"/>
      <c r="L13" s="443"/>
    </row>
    <row r="14" spans="1:12">
      <c r="A14" s="443"/>
      <c r="B14" s="446" t="s">
        <v>610</v>
      </c>
      <c r="L14" s="443"/>
    </row>
    <row r="15" spans="1:12">
      <c r="A15" s="443"/>
      <c r="L15" s="443"/>
    </row>
    <row r="16" spans="1:12">
      <c r="A16" s="443"/>
      <c r="B16" s="444" t="s">
        <v>611</v>
      </c>
      <c r="L16" s="443"/>
    </row>
    <row r="17" spans="1:12">
      <c r="A17" s="443"/>
      <c r="B17" s="444" t="s">
        <v>612</v>
      </c>
      <c r="L17" s="443"/>
    </row>
    <row r="18" spans="1:12">
      <c r="A18" s="443"/>
      <c r="L18" s="443"/>
    </row>
    <row r="19" spans="1:12">
      <c r="A19" s="443"/>
      <c r="B19" s="446" t="s">
        <v>853</v>
      </c>
      <c r="L19" s="443"/>
    </row>
    <row r="20" spans="1:12">
      <c r="A20" s="443"/>
      <c r="B20" s="446"/>
      <c r="L20" s="443"/>
    </row>
    <row r="21" spans="1:12">
      <c r="A21" s="443"/>
      <c r="B21" s="444" t="s">
        <v>854</v>
      </c>
      <c r="L21" s="443"/>
    </row>
    <row r="22" spans="1:12">
      <c r="A22" s="443"/>
      <c r="L22" s="443"/>
    </row>
    <row r="23" spans="1:12">
      <c r="A23" s="443"/>
      <c r="B23" s="444" t="s">
        <v>613</v>
      </c>
      <c r="E23" s="444" t="s">
        <v>614</v>
      </c>
      <c r="F23" s="1023">
        <v>312000000</v>
      </c>
      <c r="G23" s="1023"/>
      <c r="L23" s="443"/>
    </row>
    <row r="24" spans="1:12">
      <c r="A24" s="443"/>
      <c r="L24" s="443"/>
    </row>
    <row r="25" spans="1:12">
      <c r="A25" s="443"/>
      <c r="C25" s="1036">
        <f>F23</f>
        <v>312000000</v>
      </c>
      <c r="D25" s="1036"/>
      <c r="E25" s="444" t="s">
        <v>615</v>
      </c>
      <c r="F25" s="447">
        <v>1000</v>
      </c>
      <c r="G25" s="447" t="s">
        <v>614</v>
      </c>
      <c r="H25" s="580">
        <f>F23/F25</f>
        <v>312000</v>
      </c>
      <c r="L25" s="443"/>
    </row>
    <row r="26" spans="1:12" ht="15" thickBot="1">
      <c r="A26" s="443"/>
      <c r="L26" s="443"/>
    </row>
    <row r="27" spans="1:12">
      <c r="A27" s="443"/>
      <c r="B27" s="448" t="s">
        <v>610</v>
      </c>
      <c r="C27" s="449"/>
      <c r="D27" s="449"/>
      <c r="E27" s="449"/>
      <c r="F27" s="449"/>
      <c r="G27" s="449"/>
      <c r="H27" s="449"/>
      <c r="I27" s="449"/>
      <c r="J27" s="449"/>
      <c r="K27" s="450"/>
      <c r="L27" s="443"/>
    </row>
    <row r="28" spans="1:12">
      <c r="A28" s="443"/>
      <c r="B28" s="451">
        <f>F23</f>
        <v>312000000</v>
      </c>
      <c r="C28" s="452" t="s">
        <v>616</v>
      </c>
      <c r="D28" s="452"/>
      <c r="E28" s="452" t="s">
        <v>615</v>
      </c>
      <c r="F28" s="583">
        <v>1000</v>
      </c>
      <c r="G28" s="583" t="s">
        <v>614</v>
      </c>
      <c r="H28" s="453">
        <f>B28/F28</f>
        <v>312000</v>
      </c>
      <c r="I28" s="452" t="s">
        <v>617</v>
      </c>
      <c r="J28" s="452"/>
      <c r="K28" s="454"/>
      <c r="L28" s="443"/>
    </row>
    <row r="29" spans="1:12" ht="15" thickBot="1">
      <c r="A29" s="443"/>
      <c r="B29" s="455"/>
      <c r="C29" s="456"/>
      <c r="D29" s="456"/>
      <c r="E29" s="456"/>
      <c r="F29" s="456"/>
      <c r="G29" s="456"/>
      <c r="H29" s="456"/>
      <c r="I29" s="456"/>
      <c r="J29" s="456"/>
      <c r="K29" s="457"/>
      <c r="L29" s="443"/>
    </row>
    <row r="30" spans="1:12" ht="40.5" customHeight="1">
      <c r="A30" s="443"/>
      <c r="B30" s="1018" t="s">
        <v>606</v>
      </c>
      <c r="C30" s="1018"/>
      <c r="D30" s="1018"/>
      <c r="E30" s="1018"/>
      <c r="F30" s="1018"/>
      <c r="G30" s="1018"/>
      <c r="H30" s="1018"/>
      <c r="I30" s="1018"/>
      <c r="J30" s="1018"/>
      <c r="K30" s="1018"/>
      <c r="L30" s="443"/>
    </row>
    <row r="31" spans="1:12">
      <c r="A31" s="443"/>
      <c r="B31" s="1019" t="s">
        <v>618</v>
      </c>
      <c r="C31" s="1019"/>
      <c r="D31" s="1019"/>
      <c r="E31" s="1019"/>
      <c r="F31" s="1019"/>
      <c r="G31" s="1019"/>
      <c r="H31" s="1019"/>
      <c r="I31" s="1019"/>
      <c r="J31" s="1019"/>
      <c r="K31" s="1019"/>
      <c r="L31" s="443"/>
    </row>
    <row r="32" spans="1:12">
      <c r="A32" s="443"/>
      <c r="L32" s="443"/>
    </row>
    <row r="33" spans="1:12">
      <c r="A33" s="443"/>
      <c r="B33" s="1019" t="s">
        <v>619</v>
      </c>
      <c r="C33" s="1019"/>
      <c r="D33" s="1019"/>
      <c r="E33" s="1019"/>
      <c r="F33" s="1019"/>
      <c r="G33" s="1019"/>
      <c r="H33" s="1019"/>
      <c r="I33" s="1019"/>
      <c r="J33" s="1019"/>
      <c r="K33" s="1019"/>
      <c r="L33" s="443"/>
    </row>
    <row r="34" spans="1:12">
      <c r="A34" s="443"/>
      <c r="L34" s="443"/>
    </row>
    <row r="35" spans="1:12" ht="89.25" customHeight="1">
      <c r="A35" s="443"/>
      <c r="B35" s="1017" t="s">
        <v>620</v>
      </c>
      <c r="C35" s="1012"/>
      <c r="D35" s="1012"/>
      <c r="E35" s="1012"/>
      <c r="F35" s="1012"/>
      <c r="G35" s="1012"/>
      <c r="H35" s="1012"/>
      <c r="I35" s="1012"/>
      <c r="J35" s="1012"/>
      <c r="K35" s="1012"/>
      <c r="L35" s="443"/>
    </row>
    <row r="36" spans="1:12">
      <c r="A36" s="443"/>
      <c r="L36" s="443"/>
    </row>
    <row r="37" spans="1:12">
      <c r="A37" s="443"/>
      <c r="B37" s="446" t="s">
        <v>621</v>
      </c>
      <c r="L37" s="443"/>
    </row>
    <row r="38" spans="1:12">
      <c r="A38" s="443"/>
      <c r="L38" s="443"/>
    </row>
    <row r="39" spans="1:12">
      <c r="A39" s="443"/>
      <c r="B39" s="444" t="s">
        <v>622</v>
      </c>
      <c r="L39" s="443"/>
    </row>
    <row r="40" spans="1:12">
      <c r="A40" s="443"/>
      <c r="L40" s="443"/>
    </row>
    <row r="41" spans="1:12">
      <c r="A41" s="443"/>
      <c r="C41" s="1021">
        <v>312000000</v>
      </c>
      <c r="D41" s="1021"/>
      <c r="E41" s="444" t="s">
        <v>615</v>
      </c>
      <c r="F41" s="447">
        <v>1000</v>
      </c>
      <c r="G41" s="447" t="s">
        <v>614</v>
      </c>
      <c r="H41" s="458">
        <f>C41/F41</f>
        <v>312000</v>
      </c>
      <c r="L41" s="443"/>
    </row>
    <row r="42" spans="1:12">
      <c r="A42" s="443"/>
      <c r="L42" s="443"/>
    </row>
    <row r="43" spans="1:12">
      <c r="A43" s="443"/>
      <c r="B43" s="444" t="s">
        <v>623</v>
      </c>
      <c r="L43" s="443"/>
    </row>
    <row r="44" spans="1:12">
      <c r="A44" s="443"/>
      <c r="L44" s="443"/>
    </row>
    <row r="45" spans="1:12">
      <c r="A45" s="443"/>
      <c r="B45" s="444" t="s">
        <v>624</v>
      </c>
      <c r="L45" s="443"/>
    </row>
    <row r="46" spans="1:12" ht="15" thickBot="1">
      <c r="A46" s="443"/>
      <c r="L46" s="443"/>
    </row>
    <row r="47" spans="1:12">
      <c r="A47" s="443"/>
      <c r="B47" s="459" t="s">
        <v>610</v>
      </c>
      <c r="C47" s="449"/>
      <c r="D47" s="449"/>
      <c r="E47" s="449"/>
      <c r="F47" s="449"/>
      <c r="G47" s="449"/>
      <c r="H47" s="449"/>
      <c r="I47" s="449"/>
      <c r="J47" s="449"/>
      <c r="K47" s="450"/>
      <c r="L47" s="443"/>
    </row>
    <row r="48" spans="1:12">
      <c r="A48" s="443"/>
      <c r="B48" s="1022">
        <v>312000000</v>
      </c>
      <c r="C48" s="1023"/>
      <c r="D48" s="452" t="s">
        <v>625</v>
      </c>
      <c r="E48" s="452" t="s">
        <v>615</v>
      </c>
      <c r="F48" s="583">
        <v>1000</v>
      </c>
      <c r="G48" s="583" t="s">
        <v>614</v>
      </c>
      <c r="H48" s="453">
        <f>B48/F48</f>
        <v>312000</v>
      </c>
      <c r="I48" s="452" t="s">
        <v>626</v>
      </c>
      <c r="J48" s="452"/>
      <c r="K48" s="454"/>
      <c r="L48" s="443"/>
    </row>
    <row r="49" spans="1:24">
      <c r="A49" s="443"/>
      <c r="B49" s="460"/>
      <c r="C49" s="452"/>
      <c r="D49" s="452"/>
      <c r="E49" s="452"/>
      <c r="F49" s="452"/>
      <c r="G49" s="452"/>
      <c r="H49" s="452"/>
      <c r="I49" s="452"/>
      <c r="J49" s="452"/>
      <c r="K49" s="454"/>
      <c r="L49" s="443"/>
    </row>
    <row r="50" spans="1:24">
      <c r="A50" s="443"/>
      <c r="B50" s="461">
        <v>50000</v>
      </c>
      <c r="C50" s="452" t="s">
        <v>627</v>
      </c>
      <c r="D50" s="452"/>
      <c r="E50" s="452" t="s">
        <v>615</v>
      </c>
      <c r="F50" s="453">
        <f>H48</f>
        <v>312000</v>
      </c>
      <c r="G50" s="1013" t="s">
        <v>628</v>
      </c>
      <c r="H50" s="1014"/>
      <c r="I50" s="583" t="s">
        <v>614</v>
      </c>
      <c r="J50" s="462">
        <f>B50/F50</f>
        <v>0.16025641025641027</v>
      </c>
      <c r="K50" s="454"/>
      <c r="L50" s="443"/>
    </row>
    <row r="51" spans="1:24" ht="15" thickBot="1">
      <c r="A51" s="443"/>
      <c r="B51" s="455"/>
      <c r="C51" s="456"/>
      <c r="D51" s="456"/>
      <c r="E51" s="456"/>
      <c r="F51" s="456"/>
      <c r="G51" s="456"/>
      <c r="H51" s="456"/>
      <c r="I51" s="1015" t="s">
        <v>629</v>
      </c>
      <c r="J51" s="1015"/>
      <c r="K51" s="1016"/>
      <c r="L51" s="443"/>
      <c r="O51" s="559"/>
    </row>
    <row r="52" spans="1:24" ht="40.5" customHeight="1">
      <c r="A52" s="443"/>
      <c r="B52" s="1018" t="s">
        <v>606</v>
      </c>
      <c r="C52" s="1018"/>
      <c r="D52" s="1018"/>
      <c r="E52" s="1018"/>
      <c r="F52" s="1018"/>
      <c r="G52" s="1018"/>
      <c r="H52" s="1018"/>
      <c r="I52" s="1018"/>
      <c r="J52" s="1018"/>
      <c r="K52" s="1018"/>
      <c r="L52" s="443"/>
    </row>
    <row r="53" spans="1:24">
      <c r="A53" s="443"/>
      <c r="B53" s="1019" t="s">
        <v>630</v>
      </c>
      <c r="C53" s="1019"/>
      <c r="D53" s="1019"/>
      <c r="E53" s="1019"/>
      <c r="F53" s="1019"/>
      <c r="G53" s="1019"/>
      <c r="H53" s="1019"/>
      <c r="I53" s="1019"/>
      <c r="J53" s="1019"/>
      <c r="K53" s="1019"/>
      <c r="L53" s="443"/>
    </row>
    <row r="54" spans="1:24">
      <c r="A54" s="443"/>
      <c r="B54" s="579"/>
      <c r="C54" s="579"/>
      <c r="D54" s="579"/>
      <c r="E54" s="579"/>
      <c r="F54" s="579"/>
      <c r="G54" s="579"/>
      <c r="H54" s="579"/>
      <c r="I54" s="579"/>
      <c r="J54" s="579"/>
      <c r="K54" s="579"/>
      <c r="L54" s="443"/>
    </row>
    <row r="55" spans="1:24">
      <c r="A55" s="443"/>
      <c r="B55" s="1020" t="s">
        <v>631</v>
      </c>
      <c r="C55" s="1020"/>
      <c r="D55" s="1020"/>
      <c r="E55" s="1020"/>
      <c r="F55" s="1020"/>
      <c r="G55" s="1020"/>
      <c r="H55" s="1020"/>
      <c r="I55" s="1020"/>
      <c r="J55" s="1020"/>
      <c r="K55" s="1020"/>
      <c r="L55" s="443"/>
    </row>
    <row r="56" spans="1:24" ht="15" customHeight="1">
      <c r="A56" s="443"/>
      <c r="L56" s="443"/>
    </row>
    <row r="57" spans="1:24" ht="74.25" customHeight="1">
      <c r="A57" s="443"/>
      <c r="B57" s="1017" t="s">
        <v>632</v>
      </c>
      <c r="C57" s="1012"/>
      <c r="D57" s="1012"/>
      <c r="E57" s="1012"/>
      <c r="F57" s="1012"/>
      <c r="G57" s="1012"/>
      <c r="H57" s="1012"/>
      <c r="I57" s="1012"/>
      <c r="J57" s="1012"/>
      <c r="K57" s="1012"/>
      <c r="L57" s="443"/>
      <c r="M57" s="463"/>
      <c r="N57" s="464"/>
      <c r="O57" s="464"/>
      <c r="P57" s="464"/>
      <c r="Q57" s="464"/>
      <c r="R57" s="464"/>
      <c r="S57" s="464"/>
      <c r="T57" s="464"/>
      <c r="U57" s="464"/>
      <c r="V57" s="464"/>
      <c r="W57" s="464"/>
      <c r="X57" s="464"/>
    </row>
    <row r="58" spans="1:24" ht="15" customHeight="1">
      <c r="A58" s="443"/>
      <c r="B58" s="1017"/>
      <c r="C58" s="1012"/>
      <c r="D58" s="1012"/>
      <c r="E58" s="1012"/>
      <c r="F58" s="1012"/>
      <c r="G58" s="1012"/>
      <c r="H58" s="1012"/>
      <c r="I58" s="1012"/>
      <c r="J58" s="1012"/>
      <c r="K58" s="1012"/>
      <c r="L58" s="443"/>
      <c r="M58" s="463"/>
      <c r="N58" s="464"/>
      <c r="O58" s="464"/>
      <c r="P58" s="464"/>
      <c r="Q58" s="464"/>
      <c r="R58" s="464"/>
      <c r="S58" s="464"/>
      <c r="T58" s="464"/>
      <c r="U58" s="464"/>
      <c r="V58" s="464"/>
      <c r="W58" s="464"/>
      <c r="X58" s="464"/>
    </row>
    <row r="59" spans="1:24">
      <c r="A59" s="443"/>
      <c r="B59" s="446" t="s">
        <v>621</v>
      </c>
      <c r="L59" s="443"/>
      <c r="M59" s="464"/>
      <c r="N59" s="464"/>
      <c r="O59" s="464"/>
      <c r="P59" s="464"/>
      <c r="Q59" s="464"/>
      <c r="R59" s="464"/>
      <c r="S59" s="464"/>
      <c r="T59" s="464"/>
      <c r="U59" s="464"/>
      <c r="V59" s="464"/>
      <c r="W59" s="464"/>
      <c r="X59" s="464"/>
    </row>
    <row r="60" spans="1:24">
      <c r="A60" s="443"/>
      <c r="L60" s="443"/>
      <c r="M60" s="464"/>
      <c r="N60" s="464"/>
      <c r="O60" s="464"/>
      <c r="P60" s="464"/>
      <c r="Q60" s="464"/>
      <c r="R60" s="464"/>
      <c r="S60" s="464"/>
      <c r="T60" s="464"/>
      <c r="U60" s="464"/>
      <c r="V60" s="464"/>
      <c r="W60" s="464"/>
      <c r="X60" s="464"/>
    </row>
    <row r="61" spans="1:24">
      <c r="A61" s="443"/>
      <c r="B61" s="444" t="s">
        <v>633</v>
      </c>
      <c r="L61" s="443"/>
      <c r="M61" s="464"/>
      <c r="N61" s="464"/>
      <c r="O61" s="464"/>
      <c r="P61" s="464"/>
      <c r="Q61" s="464"/>
      <c r="R61" s="464"/>
      <c r="S61" s="464"/>
      <c r="T61" s="464"/>
      <c r="U61" s="464"/>
      <c r="V61" s="464"/>
      <c r="W61" s="464"/>
      <c r="X61" s="464"/>
    </row>
    <row r="62" spans="1:24">
      <c r="A62" s="443"/>
      <c r="B62" s="444" t="s">
        <v>855</v>
      </c>
      <c r="L62" s="443"/>
      <c r="M62" s="464"/>
      <c r="N62" s="464"/>
      <c r="O62" s="464"/>
      <c r="P62" s="464"/>
      <c r="Q62" s="464"/>
      <c r="R62" s="464"/>
      <c r="S62" s="464"/>
      <c r="T62" s="464"/>
      <c r="U62" s="464"/>
      <c r="V62" s="464"/>
      <c r="W62" s="464"/>
      <c r="X62" s="464"/>
    </row>
    <row r="63" spans="1:24">
      <c r="A63" s="443"/>
      <c r="B63" s="444" t="s">
        <v>856</v>
      </c>
      <c r="L63" s="443"/>
      <c r="M63" s="464"/>
      <c r="N63" s="464"/>
      <c r="O63" s="464"/>
      <c r="P63" s="464"/>
      <c r="Q63" s="464"/>
      <c r="R63" s="464"/>
      <c r="S63" s="464"/>
      <c r="T63" s="464"/>
      <c r="U63" s="464"/>
      <c r="V63" s="464"/>
      <c r="W63" s="464"/>
      <c r="X63" s="464"/>
    </row>
    <row r="64" spans="1:24">
      <c r="A64" s="443"/>
      <c r="L64" s="443"/>
      <c r="M64" s="464"/>
      <c r="N64" s="464"/>
      <c r="O64" s="464"/>
      <c r="P64" s="464"/>
      <c r="Q64" s="464"/>
      <c r="R64" s="464"/>
      <c r="S64" s="464"/>
      <c r="T64" s="464"/>
      <c r="U64" s="464"/>
      <c r="V64" s="464"/>
      <c r="W64" s="464"/>
      <c r="X64" s="464"/>
    </row>
    <row r="65" spans="1:24">
      <c r="A65" s="443"/>
      <c r="B65" s="444" t="s">
        <v>634</v>
      </c>
      <c r="L65" s="443"/>
      <c r="M65" s="464"/>
      <c r="N65" s="464"/>
      <c r="O65" s="464"/>
      <c r="P65" s="464"/>
      <c r="Q65" s="464"/>
      <c r="R65" s="464"/>
      <c r="S65" s="464"/>
      <c r="T65" s="464"/>
      <c r="U65" s="464"/>
      <c r="V65" s="464"/>
      <c r="W65" s="464"/>
      <c r="X65" s="464"/>
    </row>
    <row r="66" spans="1:24">
      <c r="A66" s="443"/>
      <c r="B66" s="444" t="s">
        <v>635</v>
      </c>
      <c r="L66" s="443"/>
      <c r="M66" s="464"/>
      <c r="N66" s="464"/>
      <c r="O66" s="464"/>
      <c r="P66" s="464"/>
      <c r="Q66" s="464"/>
      <c r="R66" s="464"/>
      <c r="S66" s="464"/>
      <c r="T66" s="464"/>
      <c r="U66" s="464"/>
      <c r="V66" s="464"/>
      <c r="W66" s="464"/>
      <c r="X66" s="464"/>
    </row>
    <row r="67" spans="1:24">
      <c r="A67" s="443"/>
      <c r="L67" s="443"/>
      <c r="M67" s="464"/>
      <c r="N67" s="464"/>
      <c r="O67" s="464"/>
      <c r="P67" s="464"/>
      <c r="Q67" s="464"/>
      <c r="R67" s="464"/>
      <c r="S67" s="464"/>
      <c r="T67" s="464"/>
      <c r="U67" s="464"/>
      <c r="V67" s="464"/>
      <c r="W67" s="464"/>
      <c r="X67" s="464"/>
    </row>
    <row r="68" spans="1:24">
      <c r="A68" s="443"/>
      <c r="B68" s="444" t="s">
        <v>636</v>
      </c>
      <c r="L68" s="443"/>
      <c r="M68" s="465"/>
      <c r="N68" s="466"/>
      <c r="O68" s="466"/>
      <c r="P68" s="466"/>
      <c r="Q68" s="466"/>
      <c r="R68" s="466"/>
      <c r="S68" s="466"/>
      <c r="T68" s="466"/>
      <c r="U68" s="466"/>
      <c r="V68" s="466"/>
      <c r="W68" s="466"/>
      <c r="X68" s="464"/>
    </row>
    <row r="69" spans="1:24">
      <c r="A69" s="443"/>
      <c r="B69" s="444" t="s">
        <v>857</v>
      </c>
      <c r="L69" s="443"/>
      <c r="M69" s="464"/>
      <c r="N69" s="464"/>
      <c r="O69" s="464"/>
      <c r="P69" s="464"/>
      <c r="Q69" s="464"/>
      <c r="R69" s="464"/>
      <c r="S69" s="464"/>
      <c r="T69" s="464"/>
      <c r="U69" s="464"/>
      <c r="V69" s="464"/>
      <c r="W69" s="464"/>
      <c r="X69" s="464"/>
    </row>
    <row r="70" spans="1:24">
      <c r="A70" s="443"/>
      <c r="B70" s="444" t="s">
        <v>858</v>
      </c>
      <c r="L70" s="443"/>
      <c r="M70" s="464"/>
      <c r="N70" s="464"/>
      <c r="O70" s="464"/>
      <c r="P70" s="464"/>
      <c r="Q70" s="464"/>
      <c r="R70" s="464"/>
      <c r="S70" s="464"/>
      <c r="T70" s="464"/>
      <c r="U70" s="464"/>
      <c r="V70" s="464"/>
      <c r="W70" s="464"/>
      <c r="X70" s="464"/>
    </row>
    <row r="71" spans="1:24" ht="15" thickBot="1">
      <c r="A71" s="443"/>
      <c r="B71" s="452"/>
      <c r="C71" s="452"/>
      <c r="D71" s="452"/>
      <c r="E71" s="452"/>
      <c r="F71" s="452"/>
      <c r="G71" s="452"/>
      <c r="H71" s="452"/>
      <c r="I71" s="452"/>
      <c r="J71" s="452"/>
      <c r="K71" s="452"/>
      <c r="L71" s="443"/>
    </row>
    <row r="72" spans="1:24">
      <c r="A72" s="443"/>
      <c r="B72" s="448" t="s">
        <v>610</v>
      </c>
      <c r="C72" s="449"/>
      <c r="D72" s="449"/>
      <c r="E72" s="449"/>
      <c r="F72" s="449"/>
      <c r="G72" s="449"/>
      <c r="H72" s="449"/>
      <c r="I72" s="449"/>
      <c r="J72" s="449"/>
      <c r="K72" s="450"/>
      <c r="L72" s="467"/>
    </row>
    <row r="73" spans="1:24">
      <c r="A73" s="443"/>
      <c r="B73" s="460"/>
      <c r="C73" s="452" t="s">
        <v>616</v>
      </c>
      <c r="D73" s="452"/>
      <c r="E73" s="452"/>
      <c r="F73" s="452"/>
      <c r="G73" s="452"/>
      <c r="H73" s="452"/>
      <c r="I73" s="452"/>
      <c r="J73" s="452"/>
      <c r="K73" s="454"/>
      <c r="L73" s="467"/>
    </row>
    <row r="74" spans="1:24">
      <c r="A74" s="443"/>
      <c r="B74" s="460" t="s">
        <v>637</v>
      </c>
      <c r="C74" s="1023">
        <v>312000000</v>
      </c>
      <c r="D74" s="1023"/>
      <c r="E74" s="583" t="s">
        <v>615</v>
      </c>
      <c r="F74" s="583">
        <v>1000</v>
      </c>
      <c r="G74" s="583" t="s">
        <v>614</v>
      </c>
      <c r="H74" s="576">
        <f>C74/F74</f>
        <v>312000</v>
      </c>
      <c r="I74" s="452" t="s">
        <v>638</v>
      </c>
      <c r="J74" s="452"/>
      <c r="K74" s="454"/>
      <c r="L74" s="467"/>
    </row>
    <row r="75" spans="1:24">
      <c r="A75" s="443"/>
      <c r="B75" s="460"/>
      <c r="C75" s="452"/>
      <c r="D75" s="452"/>
      <c r="E75" s="583"/>
      <c r="F75" s="452"/>
      <c r="G75" s="452"/>
      <c r="H75" s="452"/>
      <c r="I75" s="452"/>
      <c r="J75" s="452"/>
      <c r="K75" s="454"/>
      <c r="L75" s="467"/>
    </row>
    <row r="76" spans="1:24">
      <c r="A76" s="443"/>
      <c r="B76" s="460"/>
      <c r="C76" s="452" t="s">
        <v>639</v>
      </c>
      <c r="D76" s="452"/>
      <c r="E76" s="583"/>
      <c r="F76" s="452" t="s">
        <v>638</v>
      </c>
      <c r="G76" s="452"/>
      <c r="H76" s="452"/>
      <c r="I76" s="452"/>
      <c r="J76" s="452"/>
      <c r="K76" s="454"/>
      <c r="L76" s="467"/>
    </row>
    <row r="77" spans="1:24">
      <c r="A77" s="443"/>
      <c r="B77" s="460" t="s">
        <v>642</v>
      </c>
      <c r="C77" s="1023">
        <v>50000</v>
      </c>
      <c r="D77" s="1023"/>
      <c r="E77" s="583" t="s">
        <v>615</v>
      </c>
      <c r="F77" s="576">
        <f>H74</f>
        <v>312000</v>
      </c>
      <c r="G77" s="583" t="s">
        <v>614</v>
      </c>
      <c r="H77" s="462">
        <f>C77/F77</f>
        <v>0.16025641025641027</v>
      </c>
      <c r="I77" s="452" t="s">
        <v>640</v>
      </c>
      <c r="J77" s="452"/>
      <c r="K77" s="454"/>
      <c r="L77" s="467"/>
    </row>
    <row r="78" spans="1:24">
      <c r="A78" s="443"/>
      <c r="B78" s="460"/>
      <c r="C78" s="452"/>
      <c r="D78" s="452"/>
      <c r="E78" s="583"/>
      <c r="F78" s="452"/>
      <c r="G78" s="452"/>
      <c r="H78" s="452"/>
      <c r="I78" s="452"/>
      <c r="J78" s="452"/>
      <c r="K78" s="454"/>
      <c r="L78" s="467"/>
    </row>
    <row r="79" spans="1:24">
      <c r="A79" s="443"/>
      <c r="B79" s="468"/>
      <c r="C79" s="469" t="s">
        <v>641</v>
      </c>
      <c r="D79" s="469"/>
      <c r="E79" s="577"/>
      <c r="F79" s="469"/>
      <c r="G79" s="469"/>
      <c r="H79" s="469"/>
      <c r="I79" s="469"/>
      <c r="J79" s="469"/>
      <c r="K79" s="470"/>
      <c r="L79" s="467"/>
    </row>
    <row r="80" spans="1:24">
      <c r="A80" s="443"/>
      <c r="B80" s="460" t="s">
        <v>737</v>
      </c>
      <c r="C80" s="1023">
        <v>100000</v>
      </c>
      <c r="D80" s="1023"/>
      <c r="E80" s="583" t="s">
        <v>67</v>
      </c>
      <c r="F80" s="583">
        <v>0.115</v>
      </c>
      <c r="G80" s="583" t="s">
        <v>614</v>
      </c>
      <c r="H80" s="576">
        <f>C80*F80</f>
        <v>11500</v>
      </c>
      <c r="I80" s="452" t="s">
        <v>643</v>
      </c>
      <c r="J80" s="452"/>
      <c r="K80" s="454"/>
      <c r="L80" s="467"/>
    </row>
    <row r="81" spans="1:12">
      <c r="A81" s="443"/>
      <c r="B81" s="460"/>
      <c r="C81" s="452"/>
      <c r="D81" s="452"/>
      <c r="E81" s="583"/>
      <c r="F81" s="452"/>
      <c r="G81" s="452"/>
      <c r="H81" s="452"/>
      <c r="I81" s="452"/>
      <c r="J81" s="452"/>
      <c r="K81" s="454"/>
      <c r="L81" s="467"/>
    </row>
    <row r="82" spans="1:12">
      <c r="A82" s="443"/>
      <c r="B82" s="468"/>
      <c r="C82" s="469" t="s">
        <v>644</v>
      </c>
      <c r="D82" s="469"/>
      <c r="E82" s="577"/>
      <c r="F82" s="469" t="s">
        <v>640</v>
      </c>
      <c r="G82" s="469"/>
      <c r="H82" s="469"/>
      <c r="I82" s="469"/>
      <c r="J82" s="469" t="s">
        <v>645</v>
      </c>
      <c r="K82" s="470"/>
      <c r="L82" s="467"/>
    </row>
    <row r="83" spans="1:12">
      <c r="A83" s="443"/>
      <c r="B83" s="460" t="s">
        <v>738</v>
      </c>
      <c r="C83" s="1026">
        <f>H80</f>
        <v>11500</v>
      </c>
      <c r="D83" s="1026"/>
      <c r="E83" s="583" t="s">
        <v>67</v>
      </c>
      <c r="F83" s="462">
        <f>H77</f>
        <v>0.16025641025641027</v>
      </c>
      <c r="G83" s="583" t="s">
        <v>615</v>
      </c>
      <c r="H83" s="583">
        <v>1000</v>
      </c>
      <c r="I83" s="583" t="s">
        <v>614</v>
      </c>
      <c r="J83" s="584">
        <f>C83*F83/H83</f>
        <v>1.8429487179487181</v>
      </c>
      <c r="K83" s="454"/>
      <c r="L83" s="467"/>
    </row>
    <row r="84" spans="1:12" ht="15" thickBot="1">
      <c r="A84" s="443"/>
      <c r="B84" s="455"/>
      <c r="C84" s="471"/>
      <c r="D84" s="471"/>
      <c r="E84" s="472"/>
      <c r="F84" s="473"/>
      <c r="G84" s="472"/>
      <c r="H84" s="472"/>
      <c r="I84" s="472"/>
      <c r="J84" s="474"/>
      <c r="K84" s="457"/>
      <c r="L84" s="467"/>
    </row>
    <row r="85" spans="1:12" ht="40.5" customHeight="1">
      <c r="A85" s="443"/>
      <c r="B85" s="1018" t="s">
        <v>606</v>
      </c>
      <c r="C85" s="1018"/>
      <c r="D85" s="1018"/>
      <c r="E85" s="1018"/>
      <c r="F85" s="1018"/>
      <c r="G85" s="1018"/>
      <c r="H85" s="1018"/>
      <c r="I85" s="1018"/>
      <c r="J85" s="1018"/>
      <c r="K85" s="1018"/>
      <c r="L85" s="443"/>
    </row>
    <row r="86" spans="1:12">
      <c r="A86" s="443"/>
      <c r="B86" s="1020" t="s">
        <v>646</v>
      </c>
      <c r="C86" s="1020"/>
      <c r="D86" s="1020"/>
      <c r="E86" s="1020"/>
      <c r="F86" s="1020"/>
      <c r="G86" s="1020"/>
      <c r="H86" s="1020"/>
      <c r="I86" s="1020"/>
      <c r="J86" s="1020"/>
      <c r="K86" s="1020"/>
      <c r="L86" s="443"/>
    </row>
    <row r="87" spans="1:12">
      <c r="A87" s="443"/>
      <c r="B87" s="475"/>
      <c r="C87" s="475"/>
      <c r="D87" s="475"/>
      <c r="E87" s="475"/>
      <c r="F87" s="475"/>
      <c r="G87" s="475"/>
      <c r="H87" s="475"/>
      <c r="I87" s="475"/>
      <c r="J87" s="475"/>
      <c r="K87" s="475"/>
      <c r="L87" s="443"/>
    </row>
    <row r="88" spans="1:12">
      <c r="A88" s="443"/>
      <c r="B88" s="1020" t="s">
        <v>647</v>
      </c>
      <c r="C88" s="1020"/>
      <c r="D88" s="1020"/>
      <c r="E88" s="1020"/>
      <c r="F88" s="1020"/>
      <c r="G88" s="1020"/>
      <c r="H88" s="1020"/>
      <c r="I88" s="1020"/>
      <c r="J88" s="1020"/>
      <c r="K88" s="1020"/>
      <c r="L88" s="443"/>
    </row>
    <row r="89" spans="1:12">
      <c r="A89" s="443"/>
      <c r="B89" s="578"/>
      <c r="C89" s="578"/>
      <c r="D89" s="578"/>
      <c r="E89" s="578"/>
      <c r="F89" s="578"/>
      <c r="G89" s="578"/>
      <c r="H89" s="578"/>
      <c r="I89" s="578"/>
      <c r="J89" s="578"/>
      <c r="K89" s="578"/>
      <c r="L89" s="443"/>
    </row>
    <row r="90" spans="1:12" ht="45" customHeight="1">
      <c r="A90" s="443"/>
      <c r="B90" s="1017" t="s">
        <v>648</v>
      </c>
      <c r="C90" s="1017"/>
      <c r="D90" s="1017"/>
      <c r="E90" s="1017"/>
      <c r="F90" s="1017"/>
      <c r="G90" s="1017"/>
      <c r="H90" s="1017"/>
      <c r="I90" s="1017"/>
      <c r="J90" s="1017"/>
      <c r="K90" s="1017"/>
      <c r="L90" s="443"/>
    </row>
    <row r="91" spans="1:12" ht="15" customHeight="1" thickBot="1">
      <c r="A91" s="443"/>
      <c r="L91" s="443"/>
    </row>
    <row r="92" spans="1:12" ht="15" customHeight="1">
      <c r="A92" s="443"/>
      <c r="B92" s="476" t="s">
        <v>610</v>
      </c>
      <c r="C92" s="477"/>
      <c r="D92" s="477"/>
      <c r="E92" s="477"/>
      <c r="F92" s="477"/>
      <c r="G92" s="477"/>
      <c r="H92" s="477"/>
      <c r="I92" s="477"/>
      <c r="J92" s="477"/>
      <c r="K92" s="478"/>
      <c r="L92" s="443"/>
    </row>
    <row r="93" spans="1:12" ht="15" customHeight="1">
      <c r="A93" s="443"/>
      <c r="B93" s="479"/>
      <c r="C93" s="581" t="s">
        <v>616</v>
      </c>
      <c r="D93" s="581"/>
      <c r="E93" s="581"/>
      <c r="F93" s="581"/>
      <c r="G93" s="581"/>
      <c r="H93" s="581"/>
      <c r="I93" s="581"/>
      <c r="J93" s="581"/>
      <c r="K93" s="480"/>
      <c r="L93" s="443"/>
    </row>
    <row r="94" spans="1:12" ht="15" customHeight="1">
      <c r="A94" s="443"/>
      <c r="B94" s="479" t="s">
        <v>637</v>
      </c>
      <c r="C94" s="1023">
        <v>312000000</v>
      </c>
      <c r="D94" s="1023"/>
      <c r="E94" s="583" t="s">
        <v>615</v>
      </c>
      <c r="F94" s="583">
        <v>1000</v>
      </c>
      <c r="G94" s="583" t="s">
        <v>614</v>
      </c>
      <c r="H94" s="576">
        <f>C94/F94</f>
        <v>312000</v>
      </c>
      <c r="I94" s="581" t="s">
        <v>638</v>
      </c>
      <c r="J94" s="581"/>
      <c r="K94" s="480"/>
      <c r="L94" s="443"/>
    </row>
    <row r="95" spans="1:12" ht="15" customHeight="1">
      <c r="A95" s="443"/>
      <c r="B95" s="479"/>
      <c r="C95" s="581"/>
      <c r="D95" s="581"/>
      <c r="E95" s="583"/>
      <c r="F95" s="581"/>
      <c r="G95" s="581"/>
      <c r="H95" s="581"/>
      <c r="I95" s="581"/>
      <c r="J95" s="581"/>
      <c r="K95" s="480"/>
      <c r="L95" s="443"/>
    </row>
    <row r="96" spans="1:12" ht="15" customHeight="1">
      <c r="A96" s="443"/>
      <c r="B96" s="479"/>
      <c r="C96" s="581" t="s">
        <v>639</v>
      </c>
      <c r="D96" s="581"/>
      <c r="E96" s="583"/>
      <c r="F96" s="581" t="s">
        <v>638</v>
      </c>
      <c r="G96" s="581"/>
      <c r="H96" s="581"/>
      <c r="I96" s="581"/>
      <c r="J96" s="581"/>
      <c r="K96" s="480"/>
      <c r="L96" s="443"/>
    </row>
    <row r="97" spans="1:12" ht="15" customHeight="1">
      <c r="A97" s="443"/>
      <c r="B97" s="479" t="s">
        <v>642</v>
      </c>
      <c r="C97" s="1023">
        <v>50000</v>
      </c>
      <c r="D97" s="1023"/>
      <c r="E97" s="583" t="s">
        <v>615</v>
      </c>
      <c r="F97" s="576">
        <f>H94</f>
        <v>312000</v>
      </c>
      <c r="G97" s="583" t="s">
        <v>614</v>
      </c>
      <c r="H97" s="462">
        <f>C97/F97</f>
        <v>0.16025641025641027</v>
      </c>
      <c r="I97" s="581" t="s">
        <v>640</v>
      </c>
      <c r="J97" s="581"/>
      <c r="K97" s="480"/>
      <c r="L97" s="443"/>
    </row>
    <row r="98" spans="1:12" ht="15" customHeight="1">
      <c r="A98" s="443"/>
      <c r="B98" s="479"/>
      <c r="C98" s="581"/>
      <c r="D98" s="581"/>
      <c r="E98" s="583"/>
      <c r="F98" s="581"/>
      <c r="G98" s="581"/>
      <c r="H98" s="581"/>
      <c r="I98" s="581"/>
      <c r="J98" s="581"/>
      <c r="K98" s="480"/>
      <c r="L98" s="443"/>
    </row>
    <row r="99" spans="1:12" ht="15" customHeight="1">
      <c r="A99" s="443"/>
      <c r="B99" s="481"/>
      <c r="C99" s="482" t="s">
        <v>649</v>
      </c>
      <c r="D99" s="482"/>
      <c r="E99" s="577"/>
      <c r="F99" s="482"/>
      <c r="G99" s="482"/>
      <c r="H99" s="482"/>
      <c r="I99" s="482"/>
      <c r="J99" s="482"/>
      <c r="K99" s="483"/>
      <c r="L99" s="443"/>
    </row>
    <row r="100" spans="1:12" ht="15" customHeight="1">
      <c r="A100" s="443"/>
      <c r="B100" s="479" t="s">
        <v>737</v>
      </c>
      <c r="C100" s="1023">
        <v>2500000</v>
      </c>
      <c r="D100" s="1023"/>
      <c r="E100" s="583" t="s">
        <v>67</v>
      </c>
      <c r="F100" s="484">
        <v>0.3</v>
      </c>
      <c r="G100" s="583" t="s">
        <v>614</v>
      </c>
      <c r="H100" s="576">
        <f>C100*F100</f>
        <v>750000</v>
      </c>
      <c r="I100" s="581" t="s">
        <v>643</v>
      </c>
      <c r="J100" s="581"/>
      <c r="K100" s="480"/>
      <c r="L100" s="443"/>
    </row>
    <row r="101" spans="1:12" ht="15" customHeight="1">
      <c r="A101" s="443"/>
      <c r="B101" s="479"/>
      <c r="C101" s="581"/>
      <c r="D101" s="581"/>
      <c r="E101" s="583"/>
      <c r="F101" s="581"/>
      <c r="G101" s="581"/>
      <c r="H101" s="581"/>
      <c r="I101" s="581"/>
      <c r="J101" s="581"/>
      <c r="K101" s="480"/>
      <c r="L101" s="443"/>
    </row>
    <row r="102" spans="1:12" ht="15" customHeight="1">
      <c r="A102" s="443"/>
      <c r="B102" s="481"/>
      <c r="C102" s="482" t="s">
        <v>644</v>
      </c>
      <c r="D102" s="482"/>
      <c r="E102" s="577"/>
      <c r="F102" s="482" t="s">
        <v>640</v>
      </c>
      <c r="G102" s="482"/>
      <c r="H102" s="482"/>
      <c r="I102" s="482"/>
      <c r="J102" s="482" t="s">
        <v>645</v>
      </c>
      <c r="K102" s="483"/>
      <c r="L102" s="443"/>
    </row>
    <row r="103" spans="1:12" ht="15" customHeight="1">
      <c r="A103" s="443"/>
      <c r="B103" s="479" t="s">
        <v>738</v>
      </c>
      <c r="C103" s="1026">
        <f>H100</f>
        <v>750000</v>
      </c>
      <c r="D103" s="1026"/>
      <c r="E103" s="583" t="s">
        <v>67</v>
      </c>
      <c r="F103" s="462">
        <f>H97</f>
        <v>0.16025641025641027</v>
      </c>
      <c r="G103" s="583" t="s">
        <v>615</v>
      </c>
      <c r="H103" s="583">
        <v>1000</v>
      </c>
      <c r="I103" s="583" t="s">
        <v>614</v>
      </c>
      <c r="J103" s="584">
        <f>C103*F103/H103</f>
        <v>120.19230769230771</v>
      </c>
      <c r="K103" s="480"/>
      <c r="L103" s="443"/>
    </row>
    <row r="104" spans="1:12" ht="15" customHeight="1" thickBot="1">
      <c r="A104" s="443"/>
      <c r="B104" s="485"/>
      <c r="C104" s="471"/>
      <c r="D104" s="471"/>
      <c r="E104" s="472"/>
      <c r="F104" s="473"/>
      <c r="G104" s="472"/>
      <c r="H104" s="472"/>
      <c r="I104" s="472"/>
      <c r="J104" s="474"/>
      <c r="K104" s="582"/>
      <c r="L104" s="443"/>
    </row>
    <row r="105" spans="1:12" ht="40.5" customHeight="1">
      <c r="A105" s="443"/>
      <c r="B105" s="1018" t="s">
        <v>606</v>
      </c>
      <c r="C105" s="1025"/>
      <c r="D105" s="1025"/>
      <c r="E105" s="1025"/>
      <c r="F105" s="1025"/>
      <c r="G105" s="1025"/>
      <c r="H105" s="1025"/>
      <c r="I105" s="1025"/>
      <c r="J105" s="1025"/>
      <c r="K105" s="1025"/>
      <c r="L105" s="443"/>
    </row>
    <row r="106" spans="1:12" ht="15" customHeight="1">
      <c r="A106" s="443"/>
      <c r="B106" s="1009" t="s">
        <v>650</v>
      </c>
      <c r="C106" s="1024"/>
      <c r="D106" s="1024"/>
      <c r="E106" s="1024"/>
      <c r="F106" s="1024"/>
      <c r="G106" s="1024"/>
      <c r="H106" s="1024"/>
      <c r="I106" s="1024"/>
      <c r="J106" s="1024"/>
      <c r="K106" s="1024"/>
      <c r="L106" s="443"/>
    </row>
    <row r="107" spans="1:12" ht="15" customHeight="1">
      <c r="A107" s="443"/>
      <c r="B107" s="581"/>
      <c r="C107" s="486"/>
      <c r="D107" s="486"/>
      <c r="E107" s="583"/>
      <c r="F107" s="462"/>
      <c r="G107" s="583"/>
      <c r="H107" s="583"/>
      <c r="I107" s="583"/>
      <c r="J107" s="584"/>
      <c r="K107" s="581"/>
      <c r="L107" s="443"/>
    </row>
    <row r="108" spans="1:12" ht="15" customHeight="1">
      <c r="A108" s="443"/>
      <c r="B108" s="1009" t="s">
        <v>651</v>
      </c>
      <c r="C108" s="1010"/>
      <c r="D108" s="1010"/>
      <c r="E108" s="1010"/>
      <c r="F108" s="1010"/>
      <c r="G108" s="1010"/>
      <c r="H108" s="1010"/>
      <c r="I108" s="1010"/>
      <c r="J108" s="1010"/>
      <c r="K108" s="1010"/>
      <c r="L108" s="443"/>
    </row>
    <row r="109" spans="1:12" ht="15" customHeight="1">
      <c r="A109" s="443"/>
      <c r="B109" s="581"/>
      <c r="C109" s="486"/>
      <c r="D109" s="486"/>
      <c r="E109" s="583"/>
      <c r="F109" s="462"/>
      <c r="G109" s="583"/>
      <c r="H109" s="583"/>
      <c r="I109" s="583"/>
      <c r="J109" s="584"/>
      <c r="K109" s="581"/>
      <c r="L109" s="443"/>
    </row>
    <row r="110" spans="1:12" ht="59.25" customHeight="1">
      <c r="A110" s="443"/>
      <c r="B110" s="1011" t="s">
        <v>652</v>
      </c>
      <c r="C110" s="1012"/>
      <c r="D110" s="1012"/>
      <c r="E110" s="1012"/>
      <c r="F110" s="1012"/>
      <c r="G110" s="1012"/>
      <c r="H110" s="1012"/>
      <c r="I110" s="1012"/>
      <c r="J110" s="1012"/>
      <c r="K110" s="1012"/>
      <c r="L110" s="443"/>
    </row>
    <row r="111" spans="1:12" ht="15" thickBot="1">
      <c r="A111" s="443"/>
      <c r="B111" s="579"/>
      <c r="C111" s="579"/>
      <c r="D111" s="579"/>
      <c r="E111" s="579"/>
      <c r="F111" s="579"/>
      <c r="G111" s="579"/>
      <c r="H111" s="579"/>
      <c r="I111" s="579"/>
      <c r="J111" s="579"/>
      <c r="K111" s="579"/>
      <c r="L111" s="487"/>
    </row>
    <row r="112" spans="1:12">
      <c r="A112" s="443"/>
      <c r="B112" s="448" t="s">
        <v>610</v>
      </c>
      <c r="C112" s="449"/>
      <c r="D112" s="449"/>
      <c r="E112" s="449"/>
      <c r="F112" s="449"/>
      <c r="G112" s="449"/>
      <c r="H112" s="449"/>
      <c r="I112" s="449"/>
      <c r="J112" s="449"/>
      <c r="K112" s="450"/>
      <c r="L112" s="443"/>
    </row>
    <row r="113" spans="1:12">
      <c r="A113" s="443"/>
      <c r="B113" s="460"/>
      <c r="C113" s="452" t="s">
        <v>616</v>
      </c>
      <c r="D113" s="452"/>
      <c r="E113" s="452"/>
      <c r="F113" s="452"/>
      <c r="G113" s="452"/>
      <c r="H113" s="452"/>
      <c r="I113" s="452"/>
      <c r="J113" s="452"/>
      <c r="K113" s="454"/>
      <c r="L113" s="443"/>
    </row>
    <row r="114" spans="1:12">
      <c r="A114" s="443"/>
      <c r="B114" s="460" t="s">
        <v>637</v>
      </c>
      <c r="C114" s="1023">
        <v>312000000</v>
      </c>
      <c r="D114" s="1023"/>
      <c r="E114" s="583" t="s">
        <v>615</v>
      </c>
      <c r="F114" s="583">
        <v>1000</v>
      </c>
      <c r="G114" s="583" t="s">
        <v>614</v>
      </c>
      <c r="H114" s="576">
        <f>C114/F114</f>
        <v>312000</v>
      </c>
      <c r="I114" s="452" t="s">
        <v>638</v>
      </c>
      <c r="J114" s="452"/>
      <c r="K114" s="454"/>
      <c r="L114" s="443"/>
    </row>
    <row r="115" spans="1:12">
      <c r="A115" s="443"/>
      <c r="B115" s="460"/>
      <c r="C115" s="452"/>
      <c r="D115" s="452"/>
      <c r="E115" s="583"/>
      <c r="F115" s="452"/>
      <c r="G115" s="452"/>
      <c r="H115" s="452"/>
      <c r="I115" s="452"/>
      <c r="J115" s="452"/>
      <c r="K115" s="454"/>
      <c r="L115" s="443"/>
    </row>
    <row r="116" spans="1:12">
      <c r="A116" s="443"/>
      <c r="B116" s="460"/>
      <c r="C116" s="452" t="s">
        <v>639</v>
      </c>
      <c r="D116" s="452"/>
      <c r="E116" s="583"/>
      <c r="F116" s="452" t="s">
        <v>638</v>
      </c>
      <c r="G116" s="452"/>
      <c r="H116" s="452"/>
      <c r="I116" s="452"/>
      <c r="J116" s="452"/>
      <c r="K116" s="454"/>
      <c r="L116" s="443"/>
    </row>
    <row r="117" spans="1:12">
      <c r="A117" s="443"/>
      <c r="B117" s="460" t="s">
        <v>642</v>
      </c>
      <c r="C117" s="1023">
        <v>50000</v>
      </c>
      <c r="D117" s="1023"/>
      <c r="E117" s="583" t="s">
        <v>615</v>
      </c>
      <c r="F117" s="576">
        <f>H114</f>
        <v>312000</v>
      </c>
      <c r="G117" s="583" t="s">
        <v>614</v>
      </c>
      <c r="H117" s="462">
        <f>C117/F117</f>
        <v>0.16025641025641027</v>
      </c>
      <c r="I117" s="452" t="s">
        <v>640</v>
      </c>
      <c r="J117" s="452"/>
      <c r="K117" s="454"/>
      <c r="L117" s="443"/>
    </row>
    <row r="118" spans="1:12">
      <c r="A118" s="443"/>
      <c r="B118" s="460"/>
      <c r="C118" s="452"/>
      <c r="D118" s="452"/>
      <c r="E118" s="583"/>
      <c r="F118" s="452"/>
      <c r="G118" s="452"/>
      <c r="H118" s="452"/>
      <c r="I118" s="452"/>
      <c r="J118" s="452"/>
      <c r="K118" s="454"/>
      <c r="L118" s="443"/>
    </row>
    <row r="119" spans="1:12">
      <c r="A119" s="443"/>
      <c r="B119" s="468"/>
      <c r="C119" s="469" t="s">
        <v>649</v>
      </c>
      <c r="D119" s="469"/>
      <c r="E119" s="577"/>
      <c r="F119" s="469"/>
      <c r="G119" s="469"/>
      <c r="H119" s="469"/>
      <c r="I119" s="469"/>
      <c r="J119" s="469"/>
      <c r="K119" s="470"/>
      <c r="L119" s="443"/>
    </row>
    <row r="120" spans="1:12">
      <c r="A120" s="443"/>
      <c r="B120" s="460" t="s">
        <v>737</v>
      </c>
      <c r="C120" s="1023">
        <v>2500000</v>
      </c>
      <c r="D120" s="1023"/>
      <c r="E120" s="583" t="s">
        <v>67</v>
      </c>
      <c r="F120" s="484">
        <v>0.25</v>
      </c>
      <c r="G120" s="583" t="s">
        <v>614</v>
      </c>
      <c r="H120" s="576">
        <f>C120*F120</f>
        <v>625000</v>
      </c>
      <c r="I120" s="452" t="s">
        <v>643</v>
      </c>
      <c r="J120" s="452"/>
      <c r="K120" s="454"/>
      <c r="L120" s="443"/>
    </row>
    <row r="121" spans="1:12">
      <c r="A121" s="443"/>
      <c r="B121" s="460"/>
      <c r="C121" s="452"/>
      <c r="D121" s="452"/>
      <c r="E121" s="583"/>
      <c r="F121" s="452"/>
      <c r="G121" s="452"/>
      <c r="H121" s="452"/>
      <c r="I121" s="452"/>
      <c r="J121" s="452"/>
      <c r="K121" s="454"/>
      <c r="L121" s="443"/>
    </row>
    <row r="122" spans="1:12">
      <c r="A122" s="443"/>
      <c r="B122" s="468"/>
      <c r="C122" s="469" t="s">
        <v>644</v>
      </c>
      <c r="D122" s="469"/>
      <c r="E122" s="577"/>
      <c r="F122" s="469" t="s">
        <v>640</v>
      </c>
      <c r="G122" s="469"/>
      <c r="H122" s="469"/>
      <c r="I122" s="469"/>
      <c r="J122" s="469" t="s">
        <v>645</v>
      </c>
      <c r="K122" s="470"/>
      <c r="L122" s="443"/>
    </row>
    <row r="123" spans="1:12">
      <c r="A123" s="443"/>
      <c r="B123" s="460" t="s">
        <v>738</v>
      </c>
      <c r="C123" s="1026">
        <f>H120</f>
        <v>625000</v>
      </c>
      <c r="D123" s="1026"/>
      <c r="E123" s="583" t="s">
        <v>67</v>
      </c>
      <c r="F123" s="462">
        <f>H117</f>
        <v>0.16025641025641027</v>
      </c>
      <c r="G123" s="583" t="s">
        <v>615</v>
      </c>
      <c r="H123" s="583">
        <v>1000</v>
      </c>
      <c r="I123" s="583" t="s">
        <v>614</v>
      </c>
      <c r="J123" s="584">
        <f>C123*F123/H123</f>
        <v>100.16025641025642</v>
      </c>
      <c r="K123" s="454"/>
      <c r="L123" s="443"/>
    </row>
    <row r="124" spans="1:12" ht="15" thickBot="1">
      <c r="A124" s="443"/>
      <c r="B124" s="455"/>
      <c r="C124" s="471"/>
      <c r="D124" s="471"/>
      <c r="E124" s="472"/>
      <c r="F124" s="473"/>
      <c r="G124" s="472"/>
      <c r="H124" s="472"/>
      <c r="I124" s="472"/>
      <c r="J124" s="474"/>
      <c r="K124" s="457"/>
      <c r="L124" s="443"/>
    </row>
    <row r="125" spans="1:12" ht="40.5" customHeight="1">
      <c r="A125" s="443"/>
      <c r="B125" s="1018" t="s">
        <v>606</v>
      </c>
      <c r="C125" s="1018"/>
      <c r="D125" s="1018"/>
      <c r="E125" s="1018"/>
      <c r="F125" s="1018"/>
      <c r="G125" s="1018"/>
      <c r="H125" s="1018"/>
      <c r="I125" s="1018"/>
      <c r="J125" s="1018"/>
      <c r="K125" s="1018"/>
      <c r="L125" s="487"/>
    </row>
    <row r="126" spans="1:12">
      <c r="A126" s="443"/>
      <c r="B126" s="1020" t="s">
        <v>653</v>
      </c>
      <c r="C126" s="1020"/>
      <c r="D126" s="1020"/>
      <c r="E126" s="1020"/>
      <c r="F126" s="1020"/>
      <c r="G126" s="1020"/>
      <c r="H126" s="1020"/>
      <c r="I126" s="1020"/>
      <c r="J126" s="1020"/>
      <c r="K126" s="1020"/>
      <c r="L126" s="487"/>
    </row>
    <row r="127" spans="1:12">
      <c r="A127" s="443"/>
      <c r="B127" s="579"/>
      <c r="C127" s="579"/>
      <c r="D127" s="579"/>
      <c r="E127" s="579"/>
      <c r="F127" s="579"/>
      <c r="G127" s="579"/>
      <c r="H127" s="579"/>
      <c r="I127" s="579"/>
      <c r="J127" s="579"/>
      <c r="K127" s="579"/>
      <c r="L127" s="487"/>
    </row>
    <row r="128" spans="1:12">
      <c r="A128" s="443"/>
      <c r="B128" s="1020" t="s">
        <v>654</v>
      </c>
      <c r="C128" s="1020"/>
      <c r="D128" s="1020"/>
      <c r="E128" s="1020"/>
      <c r="F128" s="1020"/>
      <c r="G128" s="1020"/>
      <c r="H128" s="1020"/>
      <c r="I128" s="1020"/>
      <c r="J128" s="1020"/>
      <c r="K128" s="1020"/>
      <c r="L128" s="487"/>
    </row>
    <row r="129" spans="1:12">
      <c r="A129" s="443"/>
      <c r="B129" s="578"/>
      <c r="C129" s="578"/>
      <c r="D129" s="578"/>
      <c r="E129" s="578"/>
      <c r="F129" s="578"/>
      <c r="G129" s="578"/>
      <c r="H129" s="578"/>
      <c r="I129" s="578"/>
      <c r="J129" s="578"/>
      <c r="K129" s="578"/>
      <c r="L129" s="487"/>
    </row>
    <row r="130" spans="1:12" ht="74.25" customHeight="1">
      <c r="A130" s="443"/>
      <c r="B130" s="1017" t="s">
        <v>739</v>
      </c>
      <c r="C130" s="1017"/>
      <c r="D130" s="1017"/>
      <c r="E130" s="1017"/>
      <c r="F130" s="1017"/>
      <c r="G130" s="1017"/>
      <c r="H130" s="1017"/>
      <c r="I130" s="1017"/>
      <c r="J130" s="1017"/>
      <c r="K130" s="1017"/>
      <c r="L130" s="487"/>
    </row>
    <row r="131" spans="1:12" ht="15" thickBot="1">
      <c r="A131" s="443"/>
      <c r="L131" s="443"/>
    </row>
    <row r="132" spans="1:12">
      <c r="A132" s="443"/>
      <c r="B132" s="448" t="s">
        <v>610</v>
      </c>
      <c r="C132" s="449"/>
      <c r="D132" s="449"/>
      <c r="E132" s="449"/>
      <c r="F132" s="449"/>
      <c r="G132" s="449"/>
      <c r="H132" s="449"/>
      <c r="I132" s="449"/>
      <c r="J132" s="449"/>
      <c r="K132" s="450"/>
      <c r="L132" s="443"/>
    </row>
    <row r="133" spans="1:12">
      <c r="A133" s="443"/>
      <c r="B133" s="460"/>
      <c r="C133" s="1035" t="s">
        <v>655</v>
      </c>
      <c r="D133" s="1035"/>
      <c r="E133" s="452"/>
      <c r="F133" s="583" t="s">
        <v>656</v>
      </c>
      <c r="G133" s="452"/>
      <c r="H133" s="1035" t="s">
        <v>643</v>
      </c>
      <c r="I133" s="1035"/>
      <c r="J133" s="452"/>
      <c r="K133" s="454"/>
      <c r="L133" s="443"/>
    </row>
    <row r="134" spans="1:12">
      <c r="A134" s="443"/>
      <c r="B134" s="460" t="s">
        <v>637</v>
      </c>
      <c r="C134" s="1023">
        <v>100000</v>
      </c>
      <c r="D134" s="1023"/>
      <c r="E134" s="583" t="s">
        <v>67</v>
      </c>
      <c r="F134" s="583">
        <v>0.115</v>
      </c>
      <c r="G134" s="583" t="s">
        <v>614</v>
      </c>
      <c r="H134" s="1030">
        <f>C134*F134</f>
        <v>11500</v>
      </c>
      <c r="I134" s="1030"/>
      <c r="J134" s="452"/>
      <c r="K134" s="454"/>
      <c r="L134" s="443"/>
    </row>
    <row r="135" spans="1:12">
      <c r="A135" s="443"/>
      <c r="B135" s="460"/>
      <c r="C135" s="452"/>
      <c r="D135" s="452"/>
      <c r="E135" s="452"/>
      <c r="F135" s="452"/>
      <c r="G135" s="452"/>
      <c r="H135" s="452"/>
      <c r="I135" s="452"/>
      <c r="J135" s="452"/>
      <c r="K135" s="454"/>
      <c r="L135" s="443"/>
    </row>
    <row r="136" spans="1:12">
      <c r="A136" s="443"/>
      <c r="B136" s="468"/>
      <c r="C136" s="1029" t="s">
        <v>643</v>
      </c>
      <c r="D136" s="1029"/>
      <c r="E136" s="469"/>
      <c r="F136" s="577" t="s">
        <v>657</v>
      </c>
      <c r="G136" s="577"/>
      <c r="H136" s="469"/>
      <c r="I136" s="469"/>
      <c r="J136" s="469" t="s">
        <v>658</v>
      </c>
      <c r="K136" s="470"/>
      <c r="L136" s="443"/>
    </row>
    <row r="137" spans="1:12">
      <c r="A137" s="443"/>
      <c r="B137" s="460" t="s">
        <v>642</v>
      </c>
      <c r="C137" s="1030">
        <f>H134</f>
        <v>11500</v>
      </c>
      <c r="D137" s="1030"/>
      <c r="E137" s="583" t="s">
        <v>67</v>
      </c>
      <c r="F137" s="488">
        <v>52.869</v>
      </c>
      <c r="G137" s="583" t="s">
        <v>615</v>
      </c>
      <c r="H137" s="583">
        <v>1000</v>
      </c>
      <c r="I137" s="583" t="s">
        <v>614</v>
      </c>
      <c r="J137" s="489">
        <f>C137*F137/H137</f>
        <v>607.99350000000004</v>
      </c>
      <c r="K137" s="454"/>
      <c r="L137" s="443"/>
    </row>
    <row r="138" spans="1:12" ht="15" thickBot="1">
      <c r="A138" s="443"/>
      <c r="B138" s="455"/>
      <c r="C138" s="560"/>
      <c r="D138" s="560"/>
      <c r="E138" s="472"/>
      <c r="F138" s="561"/>
      <c r="G138" s="472"/>
      <c r="H138" s="472"/>
      <c r="I138" s="472"/>
      <c r="J138" s="562"/>
      <c r="K138" s="457"/>
      <c r="L138" s="443"/>
    </row>
    <row r="139" spans="1:12" ht="40.5" customHeight="1">
      <c r="A139" s="443"/>
      <c r="B139" s="547" t="s">
        <v>606</v>
      </c>
      <c r="C139" s="548"/>
      <c r="D139" s="548"/>
      <c r="E139" s="549"/>
      <c r="F139" s="550"/>
      <c r="G139" s="549"/>
      <c r="H139" s="549"/>
      <c r="I139" s="549"/>
      <c r="J139" s="551"/>
      <c r="K139" s="552"/>
      <c r="L139" s="443"/>
    </row>
    <row r="140" spans="1:12">
      <c r="A140" s="443"/>
      <c r="B140" s="553" t="s">
        <v>740</v>
      </c>
      <c r="C140" s="554"/>
      <c r="D140" s="554"/>
      <c r="E140" s="555"/>
      <c r="F140" s="556"/>
      <c r="G140" s="555"/>
      <c r="H140" s="555"/>
      <c r="I140" s="555"/>
      <c r="J140" s="557"/>
      <c r="K140" s="558"/>
      <c r="L140" s="443"/>
    </row>
    <row r="141" spans="1:12">
      <c r="A141" s="443"/>
      <c r="B141" s="460"/>
      <c r="C141" s="576"/>
      <c r="D141" s="576"/>
      <c r="E141" s="583"/>
      <c r="F141" s="563"/>
      <c r="G141" s="583"/>
      <c r="H141" s="583"/>
      <c r="I141" s="583"/>
      <c r="J141" s="489"/>
      <c r="K141" s="454"/>
      <c r="L141" s="443"/>
    </row>
    <row r="142" spans="1:12">
      <c r="A142" s="443"/>
      <c r="B142" s="553" t="s">
        <v>741</v>
      </c>
      <c r="C142" s="554"/>
      <c r="D142" s="554"/>
      <c r="E142" s="555"/>
      <c r="F142" s="556"/>
      <c r="G142" s="555"/>
      <c r="H142" s="555"/>
      <c r="I142" s="555"/>
      <c r="J142" s="557"/>
      <c r="K142" s="558"/>
      <c r="L142" s="443"/>
    </row>
    <row r="143" spans="1:12">
      <c r="A143" s="443"/>
      <c r="B143" s="460"/>
      <c r="C143" s="576"/>
      <c r="D143" s="576"/>
      <c r="E143" s="583"/>
      <c r="F143" s="563"/>
      <c r="G143" s="583"/>
      <c r="H143" s="583"/>
      <c r="I143" s="583"/>
      <c r="J143" s="489"/>
      <c r="K143" s="454"/>
      <c r="L143" s="443"/>
    </row>
    <row r="144" spans="1:12" ht="76.5" customHeight="1">
      <c r="A144" s="443"/>
      <c r="B144" s="1037" t="s">
        <v>742</v>
      </c>
      <c r="C144" s="1038"/>
      <c r="D144" s="1038"/>
      <c r="E144" s="1038"/>
      <c r="F144" s="1038"/>
      <c r="G144" s="1038"/>
      <c r="H144" s="1038"/>
      <c r="I144" s="1038"/>
      <c r="J144" s="1038"/>
      <c r="K144" s="1039"/>
      <c r="L144" s="443"/>
    </row>
    <row r="145" spans="1:12" ht="15" thickBot="1">
      <c r="A145" s="443"/>
      <c r="B145" s="460"/>
      <c r="C145" s="576"/>
      <c r="D145" s="576"/>
      <c r="E145" s="583"/>
      <c r="F145" s="563"/>
      <c r="G145" s="583"/>
      <c r="H145" s="583"/>
      <c r="I145" s="583"/>
      <c r="J145" s="489"/>
      <c r="K145" s="454"/>
      <c r="L145" s="443"/>
    </row>
    <row r="146" spans="1:12">
      <c r="A146" s="443"/>
      <c r="B146" s="448" t="s">
        <v>610</v>
      </c>
      <c r="C146" s="564"/>
      <c r="D146" s="564"/>
      <c r="E146" s="565"/>
      <c r="F146" s="566"/>
      <c r="G146" s="565"/>
      <c r="H146" s="565"/>
      <c r="I146" s="565"/>
      <c r="J146" s="567"/>
      <c r="K146" s="450"/>
      <c r="L146" s="443"/>
    </row>
    <row r="147" spans="1:12">
      <c r="A147" s="443"/>
      <c r="B147" s="460"/>
      <c r="C147" s="1030" t="s">
        <v>743</v>
      </c>
      <c r="D147" s="1030"/>
      <c r="E147" s="583"/>
      <c r="F147" s="563" t="s">
        <v>744</v>
      </c>
      <c r="G147" s="583"/>
      <c r="H147" s="583"/>
      <c r="I147" s="583"/>
      <c r="J147" s="1032" t="s">
        <v>745</v>
      </c>
      <c r="K147" s="1034"/>
      <c r="L147" s="443"/>
    </row>
    <row r="148" spans="1:12">
      <c r="A148" s="443"/>
      <c r="B148" s="460"/>
      <c r="C148" s="1031">
        <v>52.869</v>
      </c>
      <c r="D148" s="1031"/>
      <c r="E148" s="583" t="s">
        <v>67</v>
      </c>
      <c r="F148" s="575">
        <v>312000000</v>
      </c>
      <c r="G148" s="568" t="s">
        <v>615</v>
      </c>
      <c r="H148" s="583">
        <v>1000</v>
      </c>
      <c r="I148" s="583" t="s">
        <v>614</v>
      </c>
      <c r="J148" s="1032">
        <f>C148*(F148/1000)</f>
        <v>16495128</v>
      </c>
      <c r="K148" s="1033"/>
      <c r="L148" s="443"/>
    </row>
    <row r="149" spans="1:12" ht="15" thickBot="1">
      <c r="A149" s="443"/>
      <c r="B149" s="455"/>
      <c r="C149" s="560"/>
      <c r="D149" s="560"/>
      <c r="E149" s="472"/>
      <c r="F149" s="561"/>
      <c r="G149" s="472"/>
      <c r="H149" s="472"/>
      <c r="I149" s="472"/>
      <c r="J149" s="562"/>
      <c r="K149" s="457"/>
      <c r="L149" s="443"/>
    </row>
    <row r="150" spans="1:12" ht="15" thickBot="1">
      <c r="A150" s="443"/>
      <c r="B150" s="455"/>
      <c r="C150" s="456"/>
      <c r="D150" s="456"/>
      <c r="E150" s="456"/>
      <c r="F150" s="456"/>
      <c r="G150" s="456"/>
      <c r="H150" s="456"/>
      <c r="I150" s="456"/>
      <c r="J150" s="456"/>
      <c r="K150" s="457"/>
      <c r="L150" s="443"/>
    </row>
    <row r="151" spans="1:12">
      <c r="A151" s="443"/>
      <c r="B151" s="443"/>
      <c r="C151" s="443"/>
      <c r="D151" s="443"/>
      <c r="E151" s="443"/>
      <c r="F151" s="443"/>
      <c r="G151" s="443"/>
      <c r="H151" s="443"/>
      <c r="I151" s="443"/>
      <c r="J151" s="443"/>
      <c r="K151" s="443"/>
      <c r="L151" s="443"/>
    </row>
    <row r="152" spans="1:12">
      <c r="A152" s="443"/>
      <c r="B152" s="443"/>
      <c r="C152" s="443"/>
      <c r="D152" s="443"/>
      <c r="E152" s="443"/>
      <c r="F152" s="443"/>
      <c r="G152" s="443"/>
      <c r="H152" s="443"/>
      <c r="I152" s="443"/>
      <c r="J152" s="443"/>
      <c r="K152" s="443"/>
      <c r="L152" s="443"/>
    </row>
    <row r="153" spans="1:12">
      <c r="A153" s="443"/>
      <c r="B153" s="443"/>
      <c r="C153" s="443"/>
      <c r="D153" s="443"/>
      <c r="E153" s="443"/>
      <c r="F153" s="443"/>
      <c r="G153" s="443"/>
      <c r="H153" s="443"/>
      <c r="I153" s="443"/>
      <c r="J153" s="443"/>
      <c r="K153" s="443"/>
      <c r="L153" s="443"/>
    </row>
    <row r="154" spans="1:12">
      <c r="A154" s="490"/>
      <c r="B154" s="490"/>
      <c r="C154" s="490"/>
      <c r="D154" s="490"/>
      <c r="E154" s="490"/>
      <c r="F154" s="490"/>
      <c r="G154" s="490"/>
      <c r="H154" s="490"/>
      <c r="I154" s="490"/>
      <c r="J154" s="490"/>
      <c r="K154" s="490"/>
      <c r="L154" s="490"/>
    </row>
    <row r="155" spans="1:12">
      <c r="A155" s="490"/>
      <c r="B155" s="490"/>
      <c r="C155" s="490"/>
      <c r="D155" s="490"/>
      <c r="E155" s="490"/>
      <c r="F155" s="490"/>
      <c r="G155" s="490"/>
      <c r="H155" s="490"/>
      <c r="I155" s="490"/>
      <c r="J155" s="490"/>
      <c r="K155" s="490"/>
      <c r="L155" s="490"/>
    </row>
    <row r="156" spans="1:12">
      <c r="A156" s="490"/>
      <c r="B156" s="490"/>
      <c r="C156" s="490"/>
      <c r="D156" s="490"/>
      <c r="E156" s="490"/>
      <c r="F156" s="490"/>
      <c r="G156" s="490"/>
      <c r="H156" s="490"/>
      <c r="I156" s="490"/>
      <c r="J156" s="490"/>
      <c r="K156" s="490"/>
      <c r="L156" s="490"/>
    </row>
    <row r="157" spans="1:12">
      <c r="A157" s="490"/>
      <c r="B157" s="490"/>
      <c r="C157" s="490"/>
      <c r="D157" s="490"/>
      <c r="E157" s="490"/>
      <c r="F157" s="490"/>
      <c r="G157" s="490"/>
      <c r="H157" s="490"/>
      <c r="I157" s="490"/>
      <c r="J157" s="490"/>
      <c r="K157" s="490"/>
      <c r="L157" s="490"/>
    </row>
    <row r="158" spans="1:12">
      <c r="A158" s="490"/>
      <c r="B158" s="490"/>
      <c r="C158" s="490"/>
      <c r="D158" s="490"/>
      <c r="E158" s="490"/>
      <c r="F158" s="490"/>
      <c r="G158" s="490"/>
      <c r="H158" s="490"/>
      <c r="I158" s="490"/>
      <c r="J158" s="490"/>
      <c r="K158" s="490"/>
      <c r="L158" s="490"/>
    </row>
    <row r="159" spans="1:12">
      <c r="A159" s="490"/>
      <c r="B159" s="490"/>
      <c r="C159" s="490"/>
      <c r="D159" s="490"/>
      <c r="E159" s="490"/>
      <c r="F159" s="490"/>
      <c r="G159" s="490"/>
      <c r="H159" s="490"/>
      <c r="I159" s="490"/>
      <c r="J159" s="490"/>
      <c r="K159" s="490"/>
      <c r="L159" s="490"/>
    </row>
    <row r="160" spans="1:12">
      <c r="A160" s="490"/>
      <c r="B160" s="490"/>
      <c r="C160" s="490"/>
      <c r="D160" s="490"/>
      <c r="E160" s="490"/>
      <c r="F160" s="490"/>
      <c r="G160" s="490"/>
      <c r="H160" s="490"/>
      <c r="I160" s="490"/>
      <c r="J160" s="490"/>
      <c r="K160" s="490"/>
      <c r="L160" s="490"/>
    </row>
    <row r="161" spans="1:12">
      <c r="A161" s="490"/>
      <c r="B161" s="490"/>
      <c r="C161" s="490"/>
      <c r="D161" s="490"/>
      <c r="E161" s="490"/>
      <c r="F161" s="490"/>
      <c r="G161" s="490"/>
      <c r="H161" s="490"/>
      <c r="I161" s="490"/>
      <c r="J161" s="490"/>
      <c r="K161" s="490"/>
      <c r="L161" s="490"/>
    </row>
    <row r="162" spans="1:12">
      <c r="A162" s="490"/>
      <c r="B162" s="490"/>
      <c r="C162" s="490"/>
      <c r="D162" s="490"/>
      <c r="E162" s="490"/>
      <c r="F162" s="490"/>
      <c r="G162" s="490"/>
      <c r="H162" s="490"/>
      <c r="I162" s="490"/>
      <c r="J162" s="490"/>
      <c r="K162" s="490"/>
      <c r="L162" s="490"/>
    </row>
    <row r="163" spans="1:12">
      <c r="A163" s="490"/>
      <c r="B163" s="490"/>
      <c r="C163" s="490"/>
      <c r="D163" s="490"/>
      <c r="E163" s="490"/>
      <c r="F163" s="490"/>
      <c r="G163" s="490"/>
      <c r="H163" s="490"/>
      <c r="I163" s="490"/>
      <c r="J163" s="490"/>
      <c r="K163" s="490"/>
      <c r="L163" s="490"/>
    </row>
    <row r="164" spans="1:12">
      <c r="A164" s="490"/>
      <c r="B164" s="490"/>
      <c r="C164" s="490"/>
      <c r="D164" s="490"/>
      <c r="E164" s="490"/>
      <c r="F164" s="490"/>
      <c r="G164" s="490"/>
      <c r="H164" s="490"/>
      <c r="I164" s="490"/>
      <c r="J164" s="490"/>
      <c r="K164" s="490"/>
      <c r="L164" s="490"/>
    </row>
    <row r="165" spans="1:12">
      <c r="A165" s="490"/>
      <c r="B165" s="490"/>
      <c r="C165" s="490"/>
      <c r="D165" s="490"/>
      <c r="E165" s="490"/>
      <c r="F165" s="490"/>
      <c r="G165" s="490"/>
      <c r="H165" s="490"/>
      <c r="I165" s="490"/>
      <c r="J165" s="490"/>
      <c r="K165" s="490"/>
      <c r="L165" s="490"/>
    </row>
    <row r="166" spans="1:12">
      <c r="A166" s="490"/>
      <c r="B166" s="490"/>
      <c r="C166" s="490"/>
      <c r="D166" s="490"/>
      <c r="E166" s="490"/>
      <c r="F166" s="490"/>
      <c r="G166" s="490"/>
      <c r="H166" s="490"/>
      <c r="I166" s="490"/>
      <c r="J166" s="490"/>
      <c r="K166" s="490"/>
      <c r="L166" s="490"/>
    </row>
    <row r="167" spans="1:12">
      <c r="A167" s="490"/>
      <c r="B167" s="490"/>
      <c r="C167" s="490"/>
      <c r="D167" s="490"/>
      <c r="E167" s="490"/>
      <c r="F167" s="490"/>
      <c r="G167" s="490"/>
      <c r="H167" s="490"/>
      <c r="I167" s="490"/>
      <c r="J167" s="490"/>
      <c r="K167" s="490"/>
      <c r="L167" s="490"/>
    </row>
    <row r="168" spans="1:12">
      <c r="A168" s="490"/>
      <c r="B168" s="490"/>
      <c r="C168" s="490"/>
      <c r="D168" s="490"/>
      <c r="E168" s="490"/>
      <c r="F168" s="490"/>
      <c r="G168" s="490"/>
      <c r="H168" s="490"/>
      <c r="I168" s="490"/>
      <c r="J168" s="490"/>
      <c r="K168" s="490"/>
      <c r="L168" s="490"/>
    </row>
    <row r="169" spans="1:12">
      <c r="A169" s="490"/>
      <c r="B169" s="490"/>
      <c r="C169" s="490"/>
      <c r="D169" s="490"/>
      <c r="E169" s="490"/>
      <c r="F169" s="490"/>
      <c r="G169" s="490"/>
      <c r="H169" s="490"/>
      <c r="I169" s="490"/>
      <c r="J169" s="490"/>
      <c r="K169" s="490"/>
      <c r="L169" s="490"/>
    </row>
    <row r="170" spans="1:12">
      <c r="A170" s="490"/>
      <c r="B170" s="490"/>
      <c r="C170" s="490"/>
      <c r="D170" s="490"/>
      <c r="E170" s="490"/>
      <c r="F170" s="490"/>
      <c r="G170" s="490"/>
      <c r="H170" s="490"/>
      <c r="I170" s="490"/>
      <c r="J170" s="490"/>
      <c r="K170" s="490"/>
      <c r="L170" s="490"/>
    </row>
    <row r="171" spans="1:12">
      <c r="A171" s="490"/>
      <c r="B171" s="490"/>
      <c r="C171" s="490"/>
      <c r="D171" s="490"/>
      <c r="E171" s="490"/>
      <c r="F171" s="490"/>
      <c r="G171" s="490"/>
      <c r="H171" s="490"/>
      <c r="I171" s="490"/>
      <c r="J171" s="490"/>
      <c r="K171" s="490"/>
      <c r="L171" s="490"/>
    </row>
    <row r="172" spans="1:12">
      <c r="A172" s="490"/>
      <c r="B172" s="490"/>
      <c r="C172" s="490"/>
      <c r="D172" s="490"/>
      <c r="E172" s="490"/>
      <c r="F172" s="490"/>
      <c r="G172" s="490"/>
      <c r="H172" s="490"/>
      <c r="I172" s="490"/>
      <c r="J172" s="490"/>
      <c r="K172" s="490"/>
      <c r="L172" s="490"/>
    </row>
    <row r="173" spans="1:12">
      <c r="A173" s="490"/>
      <c r="B173" s="490"/>
      <c r="C173" s="490"/>
      <c r="D173" s="490"/>
      <c r="E173" s="490"/>
      <c r="F173" s="490"/>
      <c r="G173" s="490"/>
      <c r="H173" s="490"/>
      <c r="I173" s="490"/>
      <c r="J173" s="490"/>
      <c r="K173" s="490"/>
      <c r="L173" s="490"/>
    </row>
    <row r="174" spans="1:12">
      <c r="A174" s="490"/>
      <c r="B174" s="490"/>
      <c r="C174" s="490"/>
      <c r="D174" s="490"/>
      <c r="E174" s="490"/>
      <c r="F174" s="490"/>
      <c r="G174" s="490"/>
      <c r="H174" s="490"/>
      <c r="I174" s="490"/>
      <c r="J174" s="490"/>
      <c r="K174" s="490"/>
      <c r="L174" s="490"/>
    </row>
    <row r="175" spans="1:12">
      <c r="A175" s="490"/>
      <c r="B175" s="490"/>
      <c r="C175" s="490"/>
      <c r="D175" s="490"/>
      <c r="E175" s="490"/>
      <c r="F175" s="490"/>
      <c r="G175" s="490"/>
      <c r="H175" s="490"/>
      <c r="I175" s="490"/>
      <c r="J175" s="490"/>
      <c r="K175" s="490"/>
      <c r="L175" s="490"/>
    </row>
    <row r="176" spans="1:12">
      <c r="A176" s="490"/>
      <c r="B176" s="490"/>
      <c r="C176" s="490"/>
      <c r="D176" s="490"/>
      <c r="E176" s="490"/>
      <c r="F176" s="490"/>
      <c r="G176" s="490"/>
      <c r="H176" s="490"/>
      <c r="I176" s="490"/>
      <c r="J176" s="490"/>
      <c r="K176" s="490"/>
      <c r="L176" s="490"/>
    </row>
    <row r="177" spans="1:12">
      <c r="A177" s="490"/>
      <c r="B177" s="490"/>
      <c r="C177" s="490"/>
      <c r="D177" s="490"/>
      <c r="E177" s="490"/>
      <c r="F177" s="490"/>
      <c r="G177" s="490"/>
      <c r="H177" s="490"/>
      <c r="I177" s="490"/>
      <c r="J177" s="490"/>
      <c r="K177" s="490"/>
      <c r="L177" s="490"/>
    </row>
    <row r="178" spans="1:12">
      <c r="A178" s="490"/>
      <c r="B178" s="490"/>
      <c r="C178" s="490"/>
      <c r="D178" s="490"/>
      <c r="E178" s="490"/>
      <c r="F178" s="490"/>
      <c r="G178" s="490"/>
      <c r="H178" s="490"/>
      <c r="I178" s="490"/>
      <c r="J178" s="490"/>
      <c r="K178" s="490"/>
      <c r="L178" s="490"/>
    </row>
    <row r="179" spans="1:12">
      <c r="A179" s="490"/>
      <c r="B179" s="490"/>
      <c r="C179" s="490"/>
      <c r="D179" s="490"/>
      <c r="E179" s="490"/>
      <c r="F179" s="490"/>
      <c r="G179" s="490"/>
      <c r="H179" s="490"/>
      <c r="I179" s="490"/>
      <c r="J179" s="490"/>
      <c r="K179" s="490"/>
      <c r="L179" s="490"/>
    </row>
    <row r="180" spans="1:12">
      <c r="A180" s="490"/>
      <c r="B180" s="490"/>
      <c r="C180" s="490"/>
      <c r="D180" s="490"/>
      <c r="E180" s="490"/>
      <c r="F180" s="490"/>
      <c r="G180" s="490"/>
      <c r="H180" s="490"/>
      <c r="I180" s="490"/>
      <c r="J180" s="490"/>
      <c r="K180" s="490"/>
      <c r="L180" s="490"/>
    </row>
    <row r="181" spans="1:12">
      <c r="A181" s="490"/>
      <c r="B181" s="490"/>
      <c r="C181" s="490"/>
      <c r="D181" s="490"/>
      <c r="E181" s="490"/>
      <c r="F181" s="490"/>
      <c r="G181" s="490"/>
      <c r="H181" s="490"/>
      <c r="I181" s="490"/>
      <c r="J181" s="490"/>
      <c r="K181" s="490"/>
      <c r="L181" s="490"/>
    </row>
    <row r="182" spans="1:12">
      <c r="A182" s="490"/>
      <c r="B182" s="490"/>
      <c r="C182" s="490"/>
      <c r="D182" s="490"/>
      <c r="E182" s="490"/>
      <c r="F182" s="490"/>
      <c r="G182" s="490"/>
      <c r="H182" s="490"/>
      <c r="I182" s="490"/>
      <c r="J182" s="490"/>
      <c r="K182" s="490"/>
      <c r="L182" s="490"/>
    </row>
    <row r="183" spans="1:12">
      <c r="A183" s="490"/>
      <c r="B183" s="490"/>
      <c r="C183" s="490"/>
      <c r="D183" s="490"/>
      <c r="E183" s="490"/>
      <c r="F183" s="490"/>
      <c r="G183" s="490"/>
      <c r="H183" s="490"/>
      <c r="I183" s="490"/>
      <c r="J183" s="490"/>
      <c r="K183" s="490"/>
      <c r="L183" s="490"/>
    </row>
    <row r="184" spans="1:12">
      <c r="A184" s="490"/>
      <c r="B184" s="490"/>
      <c r="C184" s="490"/>
      <c r="D184" s="490"/>
      <c r="E184" s="490"/>
      <c r="F184" s="490"/>
      <c r="G184" s="490"/>
      <c r="H184" s="490"/>
      <c r="I184" s="490"/>
      <c r="J184" s="490"/>
      <c r="K184" s="490"/>
      <c r="L184" s="490"/>
    </row>
    <row r="185" spans="1:12">
      <c r="A185" s="490"/>
      <c r="B185" s="490"/>
      <c r="C185" s="490"/>
      <c r="D185" s="490"/>
      <c r="E185" s="490"/>
      <c r="F185" s="490"/>
      <c r="G185" s="490"/>
      <c r="H185" s="490"/>
      <c r="I185" s="490"/>
      <c r="J185" s="490"/>
      <c r="K185" s="490"/>
      <c r="L185" s="490"/>
    </row>
    <row r="186" spans="1:12">
      <c r="A186" s="490"/>
      <c r="B186" s="490"/>
      <c r="C186" s="490"/>
      <c r="D186" s="490"/>
      <c r="E186" s="490"/>
      <c r="F186" s="490"/>
      <c r="G186" s="490"/>
      <c r="H186" s="490"/>
      <c r="I186" s="490"/>
      <c r="J186" s="490"/>
      <c r="K186" s="490"/>
      <c r="L186" s="490"/>
    </row>
    <row r="187" spans="1:12">
      <c r="A187" s="490"/>
      <c r="B187" s="490"/>
      <c r="C187" s="490"/>
      <c r="D187" s="490"/>
      <c r="E187" s="490"/>
      <c r="F187" s="490"/>
      <c r="G187" s="490"/>
      <c r="H187" s="490"/>
      <c r="I187" s="490"/>
      <c r="J187" s="490"/>
      <c r="K187" s="490"/>
      <c r="L187" s="490"/>
    </row>
    <row r="188" spans="1:12">
      <c r="A188" s="490"/>
      <c r="B188" s="490"/>
      <c r="C188" s="490"/>
      <c r="D188" s="490"/>
      <c r="E188" s="490"/>
      <c r="F188" s="490"/>
      <c r="G188" s="490"/>
      <c r="H188" s="490"/>
      <c r="I188" s="490"/>
      <c r="J188" s="490"/>
      <c r="K188" s="490"/>
      <c r="L188" s="490"/>
    </row>
    <row r="189" spans="1:12">
      <c r="A189" s="490"/>
      <c r="B189" s="490"/>
      <c r="C189" s="490"/>
      <c r="D189" s="490"/>
      <c r="E189" s="490"/>
      <c r="F189" s="490"/>
      <c r="G189" s="490"/>
      <c r="H189" s="490"/>
      <c r="I189" s="490"/>
      <c r="J189" s="490"/>
      <c r="K189" s="490"/>
      <c r="L189" s="490"/>
    </row>
    <row r="190" spans="1:12">
      <c r="A190" s="490"/>
      <c r="B190" s="490"/>
      <c r="C190" s="490"/>
      <c r="D190" s="490"/>
      <c r="E190" s="490"/>
      <c r="F190" s="490"/>
      <c r="G190" s="490"/>
      <c r="H190" s="490"/>
      <c r="I190" s="490"/>
      <c r="J190" s="490"/>
      <c r="K190" s="490"/>
      <c r="L190" s="490"/>
    </row>
    <row r="191" spans="1:12">
      <c r="A191" s="490"/>
      <c r="B191" s="490"/>
      <c r="C191" s="490"/>
      <c r="D191" s="490"/>
      <c r="E191" s="490"/>
      <c r="F191" s="490"/>
      <c r="G191" s="490"/>
      <c r="H191" s="490"/>
      <c r="I191" s="490"/>
      <c r="J191" s="490"/>
      <c r="K191" s="490"/>
      <c r="L191" s="490"/>
    </row>
    <row r="192" spans="1:12">
      <c r="A192" s="490"/>
      <c r="B192" s="490"/>
      <c r="C192" s="490"/>
      <c r="D192" s="490"/>
      <c r="E192" s="490"/>
      <c r="F192" s="490"/>
      <c r="G192" s="490"/>
      <c r="H192" s="490"/>
      <c r="I192" s="490"/>
      <c r="J192" s="490"/>
      <c r="K192" s="490"/>
      <c r="L192" s="490"/>
    </row>
    <row r="193" spans="1:12">
      <c r="A193" s="490"/>
      <c r="B193" s="490"/>
      <c r="C193" s="490"/>
      <c r="D193" s="490"/>
      <c r="E193" s="490"/>
      <c r="F193" s="490"/>
      <c r="G193" s="490"/>
      <c r="H193" s="490"/>
      <c r="I193" s="490"/>
      <c r="J193" s="490"/>
      <c r="K193" s="490"/>
      <c r="L193" s="490"/>
    </row>
    <row r="194" spans="1:12">
      <c r="A194" s="490"/>
      <c r="B194" s="490"/>
      <c r="C194" s="490"/>
      <c r="D194" s="490"/>
      <c r="E194" s="490"/>
      <c r="F194" s="490"/>
      <c r="G194" s="490"/>
      <c r="H194" s="490"/>
      <c r="I194" s="490"/>
      <c r="J194" s="490"/>
      <c r="K194" s="490"/>
      <c r="L194" s="490"/>
    </row>
    <row r="195" spans="1:12">
      <c r="A195" s="490"/>
      <c r="B195" s="490"/>
      <c r="C195" s="490"/>
      <c r="D195" s="490"/>
      <c r="E195" s="490"/>
      <c r="F195" s="490"/>
      <c r="G195" s="490"/>
      <c r="H195" s="490"/>
      <c r="I195" s="490"/>
      <c r="J195" s="490"/>
      <c r="K195" s="490"/>
      <c r="L195" s="490"/>
    </row>
    <row r="196" spans="1:12">
      <c r="A196" s="490"/>
      <c r="B196" s="490"/>
      <c r="C196" s="490"/>
      <c r="D196" s="490"/>
      <c r="E196" s="490"/>
      <c r="F196" s="490"/>
      <c r="G196" s="490"/>
      <c r="H196" s="490"/>
      <c r="I196" s="490"/>
      <c r="J196" s="490"/>
      <c r="K196" s="490"/>
      <c r="L196" s="490"/>
    </row>
    <row r="197" spans="1:12">
      <c r="A197" s="490"/>
      <c r="B197" s="490"/>
      <c r="C197" s="490"/>
      <c r="D197" s="490"/>
      <c r="E197" s="490"/>
      <c r="F197" s="490"/>
      <c r="G197" s="490"/>
      <c r="H197" s="490"/>
      <c r="I197" s="490"/>
      <c r="J197" s="490"/>
      <c r="K197" s="490"/>
      <c r="L197" s="490"/>
    </row>
    <row r="198" spans="1:12">
      <c r="A198" s="490"/>
      <c r="B198" s="490"/>
      <c r="C198" s="490"/>
      <c r="D198" s="490"/>
      <c r="E198" s="490"/>
      <c r="F198" s="490"/>
      <c r="G198" s="490"/>
      <c r="H198" s="490"/>
      <c r="I198" s="490"/>
      <c r="J198" s="490"/>
      <c r="K198" s="490"/>
      <c r="L198" s="490"/>
    </row>
    <row r="199" spans="1:12">
      <c r="A199" s="490"/>
      <c r="B199" s="490"/>
      <c r="C199" s="490"/>
      <c r="D199" s="490"/>
      <c r="E199" s="490"/>
      <c r="F199" s="490"/>
      <c r="G199" s="490"/>
      <c r="H199" s="490"/>
      <c r="I199" s="490"/>
      <c r="J199" s="490"/>
      <c r="K199" s="490"/>
      <c r="L199" s="490"/>
    </row>
    <row r="200" spans="1:12">
      <c r="A200" s="490"/>
      <c r="B200" s="490"/>
      <c r="C200" s="490"/>
      <c r="D200" s="490"/>
      <c r="E200" s="490"/>
      <c r="F200" s="490"/>
      <c r="G200" s="490"/>
      <c r="H200" s="490"/>
      <c r="I200" s="490"/>
      <c r="J200" s="490"/>
      <c r="K200" s="490"/>
      <c r="L200" s="490"/>
    </row>
    <row r="201" spans="1:12">
      <c r="A201" s="490"/>
      <c r="B201" s="490"/>
      <c r="C201" s="490"/>
      <c r="D201" s="490"/>
      <c r="E201" s="490"/>
      <c r="F201" s="490"/>
      <c r="G201" s="490"/>
      <c r="H201" s="490"/>
      <c r="I201" s="490"/>
      <c r="J201" s="490"/>
      <c r="K201" s="490"/>
      <c r="L201" s="490"/>
    </row>
    <row r="202" spans="1:12">
      <c r="A202" s="490"/>
      <c r="B202" s="490"/>
      <c r="C202" s="490"/>
      <c r="D202" s="490"/>
      <c r="E202" s="490"/>
      <c r="F202" s="490"/>
      <c r="G202" s="490"/>
      <c r="H202" s="490"/>
      <c r="I202" s="490"/>
      <c r="J202" s="490"/>
      <c r="K202" s="490"/>
      <c r="L202" s="490"/>
    </row>
    <row r="203" spans="1:12">
      <c r="A203" s="490"/>
      <c r="B203" s="490"/>
      <c r="C203" s="490"/>
      <c r="D203" s="490"/>
      <c r="E203" s="490"/>
      <c r="F203" s="490"/>
      <c r="G203" s="490"/>
      <c r="H203" s="490"/>
      <c r="I203" s="490"/>
      <c r="J203" s="490"/>
      <c r="K203" s="490"/>
      <c r="L203" s="490"/>
    </row>
    <row r="204" spans="1:12">
      <c r="A204" s="490"/>
      <c r="B204" s="490"/>
      <c r="C204" s="490"/>
      <c r="D204" s="490"/>
      <c r="E204" s="490"/>
      <c r="F204" s="490"/>
      <c r="G204" s="490"/>
      <c r="H204" s="490"/>
      <c r="I204" s="490"/>
      <c r="J204" s="490"/>
      <c r="K204" s="490"/>
      <c r="L204" s="490"/>
    </row>
    <row r="205" spans="1:12">
      <c r="A205" s="490"/>
      <c r="B205" s="490"/>
      <c r="C205" s="490"/>
      <c r="D205" s="490"/>
      <c r="E205" s="490"/>
      <c r="F205" s="490"/>
      <c r="G205" s="490"/>
      <c r="H205" s="490"/>
      <c r="I205" s="490"/>
      <c r="J205" s="490"/>
      <c r="K205" s="490"/>
      <c r="L205" s="490"/>
    </row>
    <row r="206" spans="1:12">
      <c r="A206" s="490"/>
      <c r="B206" s="490"/>
      <c r="C206" s="490"/>
      <c r="D206" s="490"/>
      <c r="E206" s="490"/>
      <c r="F206" s="490"/>
      <c r="G206" s="490"/>
      <c r="H206" s="490"/>
      <c r="I206" s="490"/>
      <c r="J206" s="490"/>
      <c r="K206" s="490"/>
      <c r="L206" s="490"/>
    </row>
    <row r="207" spans="1:12">
      <c r="A207" s="490"/>
      <c r="B207" s="490"/>
      <c r="C207" s="490"/>
      <c r="D207" s="490"/>
      <c r="E207" s="490"/>
      <c r="F207" s="490"/>
      <c r="G207" s="490"/>
      <c r="H207" s="490"/>
      <c r="I207" s="490"/>
      <c r="J207" s="490"/>
      <c r="K207" s="490"/>
      <c r="L207" s="490"/>
    </row>
    <row r="208" spans="1:12">
      <c r="A208" s="490"/>
      <c r="B208" s="490"/>
      <c r="C208" s="490"/>
      <c r="D208" s="490"/>
      <c r="E208" s="490"/>
      <c r="F208" s="490"/>
      <c r="G208" s="490"/>
      <c r="H208" s="490"/>
      <c r="I208" s="490"/>
      <c r="J208" s="490"/>
      <c r="K208" s="490"/>
      <c r="L208" s="490"/>
    </row>
    <row r="209" spans="1:12">
      <c r="A209" s="490"/>
      <c r="B209" s="490"/>
      <c r="C209" s="490"/>
      <c r="D209" s="490"/>
      <c r="E209" s="490"/>
      <c r="F209" s="490"/>
      <c r="G209" s="490"/>
      <c r="H209" s="490"/>
      <c r="I209" s="490"/>
      <c r="J209" s="490"/>
      <c r="K209" s="490"/>
      <c r="L209" s="490"/>
    </row>
    <row r="210" spans="1:12">
      <c r="A210" s="490"/>
      <c r="B210" s="490"/>
      <c r="C210" s="490"/>
      <c r="D210" s="490"/>
      <c r="E210" s="490"/>
      <c r="F210" s="490"/>
      <c r="G210" s="490"/>
      <c r="H210" s="490"/>
      <c r="I210" s="490"/>
      <c r="J210" s="490"/>
      <c r="K210" s="490"/>
      <c r="L210" s="490"/>
    </row>
    <row r="211" spans="1:12">
      <c r="A211" s="490"/>
      <c r="B211" s="490"/>
      <c r="C211" s="490"/>
      <c r="D211" s="490"/>
      <c r="E211" s="490"/>
      <c r="F211" s="490"/>
      <c r="G211" s="490"/>
      <c r="H211" s="490"/>
      <c r="I211" s="490"/>
      <c r="J211" s="490"/>
      <c r="K211" s="490"/>
      <c r="L211" s="490"/>
    </row>
    <row r="212" spans="1:12">
      <c r="A212" s="490"/>
      <c r="B212" s="490"/>
      <c r="C212" s="490"/>
      <c r="D212" s="490"/>
      <c r="E212" s="490"/>
      <c r="F212" s="490"/>
      <c r="G212" s="490"/>
      <c r="H212" s="490"/>
      <c r="I212" s="490"/>
      <c r="J212" s="490"/>
      <c r="K212" s="490"/>
      <c r="L212" s="490"/>
    </row>
    <row r="213" spans="1:12">
      <c r="A213" s="490"/>
      <c r="B213" s="490"/>
      <c r="C213" s="490"/>
      <c r="D213" s="490"/>
      <c r="E213" s="490"/>
      <c r="F213" s="490"/>
      <c r="G213" s="490"/>
      <c r="H213" s="490"/>
      <c r="I213" s="490"/>
      <c r="J213" s="490"/>
      <c r="K213" s="490"/>
      <c r="L213" s="490"/>
    </row>
    <row r="214" spans="1:12">
      <c r="A214" s="490"/>
      <c r="B214" s="490"/>
      <c r="C214" s="490"/>
      <c r="D214" s="490"/>
      <c r="E214" s="490"/>
      <c r="F214" s="490"/>
      <c r="G214" s="490"/>
      <c r="H214" s="490"/>
      <c r="I214" s="490"/>
      <c r="J214" s="490"/>
      <c r="K214" s="490"/>
      <c r="L214" s="490"/>
    </row>
    <row r="215" spans="1:12">
      <c r="A215" s="490"/>
      <c r="B215" s="490"/>
      <c r="C215" s="490"/>
      <c r="D215" s="490"/>
      <c r="E215" s="490"/>
      <c r="F215" s="490"/>
      <c r="G215" s="490"/>
      <c r="H215" s="490"/>
      <c r="I215" s="490"/>
      <c r="J215" s="490"/>
      <c r="K215" s="490"/>
      <c r="L215" s="490"/>
    </row>
    <row r="216" spans="1:12">
      <c r="A216" s="490"/>
      <c r="B216" s="490"/>
      <c r="C216" s="490"/>
      <c r="D216" s="490"/>
      <c r="E216" s="490"/>
      <c r="F216" s="490"/>
      <c r="G216" s="490"/>
      <c r="H216" s="490"/>
      <c r="I216" s="490"/>
      <c r="J216" s="490"/>
      <c r="K216" s="490"/>
      <c r="L216" s="490"/>
    </row>
    <row r="217" spans="1:12">
      <c r="A217" s="490"/>
      <c r="B217" s="490"/>
      <c r="C217" s="490"/>
      <c r="D217" s="490"/>
      <c r="E217" s="490"/>
      <c r="F217" s="490"/>
      <c r="G217" s="490"/>
      <c r="H217" s="490"/>
      <c r="I217" s="490"/>
      <c r="J217" s="490"/>
      <c r="K217" s="490"/>
      <c r="L217" s="490"/>
    </row>
    <row r="218" spans="1:12">
      <c r="A218" s="490"/>
      <c r="B218" s="490"/>
      <c r="C218" s="490"/>
      <c r="D218" s="490"/>
      <c r="E218" s="490"/>
      <c r="F218" s="490"/>
      <c r="G218" s="490"/>
      <c r="H218" s="490"/>
      <c r="I218" s="490"/>
      <c r="J218" s="490"/>
      <c r="K218" s="490"/>
      <c r="L218" s="490"/>
    </row>
    <row r="219" spans="1:12">
      <c r="A219" s="490"/>
      <c r="B219" s="490"/>
      <c r="C219" s="490"/>
      <c r="D219" s="490"/>
      <c r="E219" s="490"/>
      <c r="F219" s="490"/>
      <c r="G219" s="490"/>
      <c r="H219" s="490"/>
      <c r="I219" s="490"/>
      <c r="J219" s="490"/>
      <c r="K219" s="490"/>
      <c r="L219" s="490"/>
    </row>
    <row r="220" spans="1:12">
      <c r="A220" s="490"/>
      <c r="B220" s="490"/>
      <c r="C220" s="490"/>
      <c r="D220" s="490"/>
      <c r="E220" s="490"/>
      <c r="F220" s="490"/>
      <c r="G220" s="490"/>
      <c r="H220" s="490"/>
      <c r="I220" s="490"/>
      <c r="J220" s="490"/>
      <c r="K220" s="490"/>
      <c r="L220" s="490"/>
    </row>
    <row r="221" spans="1:12">
      <c r="A221" s="490"/>
      <c r="B221" s="490"/>
      <c r="C221" s="490"/>
      <c r="D221" s="490"/>
      <c r="E221" s="490"/>
      <c r="F221" s="490"/>
      <c r="G221" s="490"/>
      <c r="H221" s="490"/>
      <c r="I221" s="490"/>
      <c r="J221" s="490"/>
      <c r="K221" s="490"/>
      <c r="L221" s="490"/>
    </row>
    <row r="222" spans="1:12">
      <c r="A222" s="490"/>
      <c r="B222" s="490"/>
      <c r="C222" s="490"/>
      <c r="D222" s="490"/>
      <c r="E222" s="490"/>
      <c r="F222" s="490"/>
      <c r="G222" s="490"/>
      <c r="H222" s="490"/>
      <c r="I222" s="490"/>
      <c r="J222" s="490"/>
      <c r="K222" s="490"/>
      <c r="L222" s="490"/>
    </row>
    <row r="223" spans="1:12">
      <c r="A223" s="490"/>
      <c r="B223" s="490"/>
      <c r="C223" s="490"/>
      <c r="D223" s="490"/>
      <c r="E223" s="490"/>
      <c r="F223" s="490"/>
      <c r="G223" s="490"/>
      <c r="H223" s="490"/>
      <c r="I223" s="490"/>
      <c r="J223" s="490"/>
      <c r="K223" s="490"/>
      <c r="L223" s="490"/>
    </row>
    <row r="224" spans="1:12">
      <c r="A224" s="490"/>
      <c r="B224" s="490"/>
      <c r="C224" s="490"/>
      <c r="D224" s="490"/>
      <c r="E224" s="490"/>
      <c r="F224" s="490"/>
      <c r="G224" s="490"/>
      <c r="H224" s="490"/>
      <c r="I224" s="490"/>
      <c r="J224" s="490"/>
      <c r="K224" s="490"/>
      <c r="L224" s="490"/>
    </row>
    <row r="225" spans="1:12">
      <c r="A225" s="490"/>
      <c r="B225" s="490"/>
      <c r="C225" s="490"/>
      <c r="D225" s="490"/>
      <c r="E225" s="490"/>
      <c r="F225" s="490"/>
      <c r="G225" s="490"/>
      <c r="H225" s="490"/>
      <c r="I225" s="490"/>
      <c r="J225" s="490"/>
      <c r="K225" s="490"/>
      <c r="L225" s="490"/>
    </row>
    <row r="226" spans="1:12">
      <c r="A226" s="490"/>
      <c r="B226" s="490"/>
      <c r="C226" s="490"/>
      <c r="D226" s="490"/>
      <c r="E226" s="490"/>
      <c r="F226" s="490"/>
      <c r="G226" s="490"/>
      <c r="H226" s="490"/>
      <c r="I226" s="490"/>
      <c r="J226" s="490"/>
      <c r="K226" s="490"/>
      <c r="L226" s="490"/>
    </row>
    <row r="227" spans="1:12">
      <c r="A227" s="490"/>
      <c r="B227" s="490"/>
      <c r="C227" s="490"/>
      <c r="D227" s="490"/>
      <c r="E227" s="490"/>
      <c r="F227" s="490"/>
      <c r="G227" s="490"/>
      <c r="H227" s="490"/>
      <c r="I227" s="490"/>
      <c r="J227" s="490"/>
      <c r="K227" s="490"/>
      <c r="L227" s="490"/>
    </row>
    <row r="228" spans="1:12">
      <c r="A228" s="490"/>
      <c r="B228" s="490"/>
      <c r="C228" s="490"/>
      <c r="D228" s="490"/>
      <c r="E228" s="490"/>
      <c r="F228" s="490"/>
      <c r="G228" s="490"/>
      <c r="H228" s="490"/>
      <c r="I228" s="490"/>
      <c r="J228" s="490"/>
      <c r="K228" s="490"/>
      <c r="L228" s="490"/>
    </row>
    <row r="229" spans="1:12">
      <c r="A229" s="490"/>
      <c r="B229" s="490"/>
      <c r="C229" s="490"/>
      <c r="D229" s="490"/>
      <c r="E229" s="490"/>
      <c r="F229" s="490"/>
      <c r="G229" s="490"/>
      <c r="H229" s="490"/>
      <c r="I229" s="490"/>
      <c r="J229" s="490"/>
      <c r="K229" s="490"/>
      <c r="L229" s="490"/>
    </row>
    <row r="230" spans="1:12">
      <c r="A230" s="490"/>
      <c r="B230" s="490"/>
      <c r="C230" s="490"/>
      <c r="D230" s="490"/>
      <c r="E230" s="490"/>
      <c r="F230" s="490"/>
      <c r="G230" s="490"/>
      <c r="H230" s="490"/>
      <c r="I230" s="490"/>
      <c r="J230" s="490"/>
      <c r="K230" s="490"/>
      <c r="L230" s="490"/>
    </row>
    <row r="231" spans="1:12">
      <c r="A231" s="490"/>
      <c r="B231" s="490"/>
      <c r="C231" s="490"/>
      <c r="D231" s="490"/>
      <c r="E231" s="490"/>
      <c r="F231" s="490"/>
      <c r="G231" s="490"/>
      <c r="H231" s="490"/>
      <c r="I231" s="490"/>
      <c r="J231" s="490"/>
      <c r="K231" s="490"/>
      <c r="L231" s="490"/>
    </row>
    <row r="232" spans="1:12">
      <c r="A232" s="490"/>
      <c r="B232" s="490"/>
      <c r="C232" s="490"/>
      <c r="D232" s="490"/>
      <c r="E232" s="490"/>
      <c r="F232" s="490"/>
      <c r="G232" s="490"/>
      <c r="H232" s="490"/>
      <c r="I232" s="490"/>
      <c r="J232" s="490"/>
      <c r="K232" s="490"/>
      <c r="L232" s="490"/>
    </row>
    <row r="233" spans="1:12">
      <c r="A233" s="490"/>
      <c r="B233" s="490"/>
      <c r="C233" s="490"/>
      <c r="D233" s="490"/>
      <c r="E233" s="490"/>
      <c r="F233" s="490"/>
      <c r="G233" s="490"/>
      <c r="H233" s="490"/>
      <c r="I233" s="490"/>
      <c r="J233" s="490"/>
      <c r="K233" s="490"/>
      <c r="L233" s="490"/>
    </row>
    <row r="234" spans="1:12">
      <c r="A234" s="490"/>
      <c r="B234" s="490"/>
      <c r="C234" s="490"/>
      <c r="D234" s="490"/>
      <c r="E234" s="490"/>
      <c r="F234" s="490"/>
      <c r="G234" s="490"/>
      <c r="H234" s="490"/>
      <c r="I234" s="490"/>
      <c r="J234" s="490"/>
      <c r="K234" s="490"/>
      <c r="L234" s="490"/>
    </row>
    <row r="235" spans="1:12">
      <c r="A235" s="490"/>
      <c r="B235" s="490"/>
      <c r="C235" s="490"/>
      <c r="D235" s="490"/>
      <c r="E235" s="490"/>
      <c r="F235" s="490"/>
      <c r="G235" s="490"/>
      <c r="H235" s="490"/>
      <c r="I235" s="490"/>
      <c r="J235" s="490"/>
      <c r="K235" s="490"/>
      <c r="L235" s="490"/>
    </row>
    <row r="236" spans="1:12">
      <c r="A236" s="490"/>
      <c r="B236" s="490"/>
      <c r="C236" s="490"/>
      <c r="D236" s="490"/>
      <c r="E236" s="490"/>
      <c r="F236" s="490"/>
      <c r="G236" s="490"/>
      <c r="H236" s="490"/>
      <c r="I236" s="490"/>
      <c r="J236" s="490"/>
      <c r="K236" s="490"/>
      <c r="L236" s="490"/>
    </row>
    <row r="237" spans="1:12">
      <c r="A237" s="490"/>
      <c r="B237" s="490"/>
      <c r="C237" s="490"/>
      <c r="D237" s="490"/>
      <c r="E237" s="490"/>
      <c r="F237" s="490"/>
      <c r="G237" s="490"/>
      <c r="H237" s="490"/>
      <c r="I237" s="490"/>
      <c r="J237" s="490"/>
      <c r="K237" s="490"/>
      <c r="L237" s="490"/>
    </row>
    <row r="238" spans="1:12">
      <c r="A238" s="490"/>
      <c r="B238" s="490"/>
      <c r="C238" s="490"/>
      <c r="D238" s="490"/>
      <c r="E238" s="490"/>
      <c r="F238" s="490"/>
      <c r="G238" s="490"/>
      <c r="H238" s="490"/>
      <c r="I238" s="490"/>
      <c r="J238" s="490"/>
      <c r="K238" s="490"/>
      <c r="L238" s="490"/>
    </row>
    <row r="239" spans="1:12">
      <c r="A239" s="490"/>
      <c r="B239" s="490"/>
      <c r="C239" s="490"/>
      <c r="D239" s="490"/>
      <c r="E239" s="490"/>
      <c r="F239" s="490"/>
      <c r="G239" s="490"/>
      <c r="H239" s="490"/>
      <c r="I239" s="490"/>
      <c r="J239" s="490"/>
      <c r="K239" s="490"/>
      <c r="L239" s="490"/>
    </row>
    <row r="240" spans="1:12">
      <c r="A240" s="490"/>
      <c r="B240" s="490"/>
      <c r="C240" s="490"/>
      <c r="D240" s="490"/>
      <c r="E240" s="490"/>
      <c r="F240" s="490"/>
      <c r="G240" s="490"/>
      <c r="H240" s="490"/>
      <c r="I240" s="490"/>
      <c r="J240" s="490"/>
      <c r="K240" s="490"/>
      <c r="L240" s="490"/>
    </row>
    <row r="241" spans="1:12">
      <c r="A241" s="490"/>
      <c r="B241" s="490"/>
      <c r="C241" s="490"/>
      <c r="D241" s="490"/>
      <c r="E241" s="490"/>
      <c r="F241" s="490"/>
      <c r="G241" s="490"/>
      <c r="H241" s="490"/>
      <c r="I241" s="490"/>
      <c r="J241" s="490"/>
      <c r="K241" s="490"/>
      <c r="L241" s="490"/>
    </row>
    <row r="242" spans="1:12">
      <c r="A242" s="490"/>
      <c r="B242" s="490"/>
      <c r="C242" s="490"/>
      <c r="D242" s="490"/>
      <c r="E242" s="490"/>
      <c r="F242" s="490"/>
      <c r="G242" s="490"/>
      <c r="H242" s="490"/>
      <c r="I242" s="490"/>
      <c r="J242" s="490"/>
      <c r="K242" s="490"/>
      <c r="L242" s="490"/>
    </row>
    <row r="243" spans="1:12">
      <c r="A243" s="490"/>
      <c r="B243" s="490"/>
      <c r="C243" s="490"/>
      <c r="D243" s="490"/>
      <c r="E243" s="490"/>
      <c r="F243" s="490"/>
      <c r="G243" s="490"/>
      <c r="H243" s="490"/>
      <c r="I243" s="490"/>
      <c r="J243" s="490"/>
      <c r="K243" s="490"/>
      <c r="L243" s="490"/>
    </row>
    <row r="244" spans="1:12">
      <c r="A244" s="490"/>
      <c r="B244" s="490"/>
      <c r="C244" s="490"/>
      <c r="D244" s="490"/>
      <c r="E244" s="490"/>
      <c r="F244" s="490"/>
      <c r="G244" s="490"/>
      <c r="H244" s="490"/>
      <c r="I244" s="490"/>
      <c r="J244" s="490"/>
      <c r="K244" s="490"/>
      <c r="L244" s="490"/>
    </row>
    <row r="245" spans="1:12">
      <c r="A245" s="490"/>
      <c r="B245" s="490"/>
      <c r="C245" s="490"/>
      <c r="D245" s="490"/>
      <c r="E245" s="490"/>
      <c r="F245" s="490"/>
      <c r="G245" s="490"/>
      <c r="H245" s="490"/>
      <c r="I245" s="490"/>
      <c r="J245" s="490"/>
      <c r="K245" s="490"/>
      <c r="L245" s="490"/>
    </row>
    <row r="246" spans="1:12">
      <c r="A246" s="490"/>
      <c r="B246" s="490"/>
      <c r="C246" s="490"/>
      <c r="D246" s="490"/>
      <c r="E246" s="490"/>
      <c r="F246" s="490"/>
      <c r="G246" s="490"/>
      <c r="H246" s="490"/>
      <c r="I246" s="490"/>
      <c r="J246" s="490"/>
      <c r="K246" s="490"/>
      <c r="L246" s="490"/>
    </row>
    <row r="247" spans="1:12">
      <c r="A247" s="490"/>
      <c r="B247" s="490"/>
      <c r="C247" s="490"/>
      <c r="D247" s="490"/>
      <c r="E247" s="490"/>
      <c r="F247" s="490"/>
      <c r="G247" s="490"/>
      <c r="H247" s="490"/>
      <c r="I247" s="490"/>
      <c r="J247" s="490"/>
      <c r="K247" s="490"/>
      <c r="L247" s="490"/>
    </row>
    <row r="248" spans="1:12">
      <c r="A248" s="490"/>
      <c r="B248" s="490"/>
      <c r="C248" s="490"/>
      <c r="D248" s="490"/>
      <c r="E248" s="490"/>
      <c r="F248" s="490"/>
      <c r="G248" s="490"/>
      <c r="H248" s="490"/>
      <c r="I248" s="490"/>
      <c r="J248" s="490"/>
      <c r="K248" s="490"/>
      <c r="L248" s="490"/>
    </row>
    <row r="249" spans="1:12">
      <c r="A249" s="490"/>
      <c r="B249" s="490"/>
      <c r="C249" s="490"/>
      <c r="D249" s="490"/>
      <c r="E249" s="490"/>
      <c r="F249" s="490"/>
      <c r="G249" s="490"/>
      <c r="H249" s="490"/>
      <c r="I249" s="490"/>
      <c r="J249" s="490"/>
      <c r="K249" s="490"/>
      <c r="L249" s="490"/>
    </row>
    <row r="250" spans="1:12">
      <c r="A250" s="490"/>
      <c r="B250" s="490"/>
      <c r="C250" s="490"/>
      <c r="D250" s="490"/>
      <c r="E250" s="490"/>
      <c r="F250" s="490"/>
      <c r="G250" s="490"/>
      <c r="H250" s="490"/>
      <c r="I250" s="490"/>
      <c r="J250" s="490"/>
      <c r="K250" s="490"/>
      <c r="L250" s="490"/>
    </row>
    <row r="251" spans="1:12">
      <c r="A251" s="490"/>
      <c r="B251" s="490"/>
      <c r="C251" s="490"/>
      <c r="D251" s="490"/>
      <c r="E251" s="490"/>
      <c r="F251" s="490"/>
      <c r="G251" s="490"/>
      <c r="H251" s="490"/>
      <c r="I251" s="490"/>
      <c r="J251" s="490"/>
      <c r="K251" s="490"/>
      <c r="L251" s="490"/>
    </row>
    <row r="252" spans="1:12">
      <c r="A252" s="490"/>
      <c r="B252" s="490"/>
      <c r="C252" s="490"/>
      <c r="D252" s="490"/>
      <c r="E252" s="490"/>
      <c r="F252" s="490"/>
      <c r="G252" s="490"/>
      <c r="H252" s="490"/>
      <c r="I252" s="490"/>
      <c r="J252" s="490"/>
      <c r="K252" s="490"/>
      <c r="L252" s="490"/>
    </row>
    <row r="253" spans="1:12">
      <c r="A253" s="490"/>
      <c r="B253" s="490"/>
      <c r="C253" s="490"/>
      <c r="D253" s="490"/>
      <c r="E253" s="490"/>
      <c r="F253" s="490"/>
      <c r="G253" s="490"/>
      <c r="H253" s="490"/>
      <c r="I253" s="490"/>
      <c r="J253" s="490"/>
      <c r="K253" s="490"/>
      <c r="L253" s="490"/>
    </row>
    <row r="254" spans="1:12">
      <c r="A254" s="490"/>
      <c r="B254" s="490"/>
      <c r="C254" s="490"/>
      <c r="D254" s="490"/>
      <c r="E254" s="490"/>
      <c r="F254" s="490"/>
      <c r="G254" s="490"/>
      <c r="H254" s="490"/>
      <c r="I254" s="490"/>
      <c r="J254" s="490"/>
      <c r="K254" s="490"/>
      <c r="L254" s="490"/>
    </row>
    <row r="255" spans="1:12">
      <c r="A255" s="490"/>
      <c r="B255" s="490"/>
      <c r="C255" s="490"/>
      <c r="D255" s="490"/>
      <c r="E255" s="490"/>
      <c r="F255" s="490"/>
      <c r="G255" s="490"/>
      <c r="H255" s="490"/>
      <c r="I255" s="490"/>
      <c r="J255" s="490"/>
      <c r="K255" s="490"/>
      <c r="L255" s="490"/>
    </row>
    <row r="256" spans="1:12">
      <c r="A256" s="490"/>
      <c r="B256" s="490"/>
      <c r="C256" s="490"/>
      <c r="D256" s="490"/>
      <c r="E256" s="490"/>
      <c r="F256" s="490"/>
      <c r="G256" s="490"/>
      <c r="H256" s="490"/>
      <c r="I256" s="490"/>
      <c r="J256" s="490"/>
      <c r="K256" s="490"/>
      <c r="L256" s="490"/>
    </row>
    <row r="257" spans="1:12">
      <c r="A257" s="490"/>
      <c r="B257" s="490"/>
      <c r="C257" s="490"/>
      <c r="D257" s="490"/>
      <c r="E257" s="490"/>
      <c r="F257" s="490"/>
      <c r="G257" s="490"/>
      <c r="H257" s="490"/>
      <c r="I257" s="490"/>
      <c r="J257" s="490"/>
      <c r="K257" s="490"/>
      <c r="L257" s="490"/>
    </row>
    <row r="258" spans="1:12">
      <c r="A258" s="490"/>
      <c r="B258" s="490"/>
      <c r="C258" s="490"/>
      <c r="D258" s="490"/>
      <c r="E258" s="490"/>
      <c r="F258" s="490"/>
      <c r="G258" s="490"/>
      <c r="H258" s="490"/>
      <c r="I258" s="490"/>
      <c r="J258" s="490"/>
      <c r="K258" s="490"/>
      <c r="L258" s="490"/>
    </row>
    <row r="259" spans="1:12">
      <c r="A259" s="490"/>
      <c r="B259" s="490"/>
      <c r="C259" s="490"/>
      <c r="D259" s="490"/>
      <c r="E259" s="490"/>
      <c r="F259" s="490"/>
      <c r="G259" s="490"/>
      <c r="H259" s="490"/>
      <c r="I259" s="490"/>
      <c r="J259" s="490"/>
      <c r="K259" s="490"/>
      <c r="L259" s="490"/>
    </row>
    <row r="260" spans="1:12">
      <c r="A260" s="490"/>
      <c r="B260" s="490"/>
      <c r="C260" s="490"/>
      <c r="D260" s="490"/>
      <c r="E260" s="490"/>
      <c r="F260" s="490"/>
      <c r="G260" s="490"/>
      <c r="H260" s="490"/>
      <c r="I260" s="490"/>
      <c r="J260" s="490"/>
      <c r="K260" s="490"/>
      <c r="L260" s="490"/>
    </row>
    <row r="261" spans="1:12">
      <c r="A261" s="490"/>
      <c r="B261" s="490"/>
      <c r="C261" s="490"/>
      <c r="D261" s="490"/>
      <c r="E261" s="490"/>
      <c r="F261" s="490"/>
      <c r="G261" s="490"/>
      <c r="H261" s="490"/>
      <c r="I261" s="490"/>
      <c r="J261" s="490"/>
      <c r="K261" s="490"/>
      <c r="L261" s="490"/>
    </row>
    <row r="262" spans="1:12">
      <c r="A262" s="490"/>
      <c r="B262" s="490"/>
      <c r="C262" s="490"/>
      <c r="D262" s="490"/>
      <c r="E262" s="490"/>
      <c r="F262" s="490"/>
      <c r="G262" s="490"/>
      <c r="H262" s="490"/>
      <c r="I262" s="490"/>
      <c r="J262" s="490"/>
      <c r="K262" s="490"/>
      <c r="L262" s="490"/>
    </row>
    <row r="263" spans="1:12">
      <c r="A263" s="490"/>
      <c r="B263" s="490"/>
      <c r="C263" s="490"/>
      <c r="D263" s="490"/>
      <c r="E263" s="490"/>
      <c r="F263" s="490"/>
      <c r="G263" s="490"/>
      <c r="H263" s="490"/>
      <c r="I263" s="490"/>
      <c r="J263" s="490"/>
      <c r="K263" s="490"/>
      <c r="L263" s="490"/>
    </row>
    <row r="264" spans="1:12">
      <c r="A264" s="490"/>
      <c r="B264" s="490"/>
      <c r="C264" s="490"/>
      <c r="D264" s="490"/>
      <c r="E264" s="490"/>
      <c r="F264" s="490"/>
      <c r="G264" s="490"/>
      <c r="H264" s="490"/>
      <c r="I264" s="490"/>
      <c r="J264" s="490"/>
      <c r="K264" s="490"/>
      <c r="L264" s="490"/>
    </row>
    <row r="265" spans="1:12">
      <c r="A265" s="490"/>
      <c r="B265" s="490"/>
      <c r="C265" s="490"/>
      <c r="D265" s="490"/>
      <c r="E265" s="490"/>
      <c r="F265" s="490"/>
      <c r="G265" s="490"/>
      <c r="H265" s="490"/>
      <c r="I265" s="490"/>
      <c r="J265" s="490"/>
      <c r="K265" s="490"/>
      <c r="L265" s="490"/>
    </row>
    <row r="266" spans="1:12">
      <c r="A266" s="490"/>
      <c r="B266" s="490"/>
      <c r="C266" s="490"/>
      <c r="D266" s="490"/>
      <c r="E266" s="490"/>
      <c r="F266" s="490"/>
      <c r="G266" s="490"/>
      <c r="H266" s="490"/>
      <c r="I266" s="490"/>
      <c r="J266" s="490"/>
      <c r="K266" s="490"/>
      <c r="L266" s="490"/>
    </row>
    <row r="267" spans="1:12">
      <c r="A267" s="490"/>
      <c r="B267" s="490"/>
      <c r="C267" s="490"/>
      <c r="D267" s="490"/>
      <c r="E267" s="490"/>
      <c r="F267" s="490"/>
      <c r="G267" s="490"/>
      <c r="H267" s="490"/>
      <c r="I267" s="490"/>
      <c r="J267" s="490"/>
      <c r="K267" s="490"/>
      <c r="L267" s="490"/>
    </row>
    <row r="268" spans="1:12">
      <c r="A268" s="490"/>
      <c r="B268" s="490"/>
      <c r="C268" s="490"/>
      <c r="D268" s="490"/>
      <c r="E268" s="490"/>
      <c r="F268" s="490"/>
      <c r="G268" s="490"/>
      <c r="H268" s="490"/>
      <c r="I268" s="490"/>
      <c r="J268" s="490"/>
      <c r="K268" s="490"/>
      <c r="L268" s="490"/>
    </row>
    <row r="269" spans="1:12">
      <c r="A269" s="490"/>
      <c r="B269" s="490"/>
      <c r="C269" s="490"/>
      <c r="D269" s="490"/>
      <c r="E269" s="490"/>
      <c r="F269" s="490"/>
      <c r="G269" s="490"/>
      <c r="H269" s="490"/>
      <c r="I269" s="490"/>
      <c r="J269" s="490"/>
      <c r="K269" s="490"/>
      <c r="L269" s="490"/>
    </row>
    <row r="270" spans="1:12">
      <c r="A270" s="490"/>
      <c r="B270" s="490"/>
      <c r="C270" s="490"/>
      <c r="D270" s="490"/>
      <c r="E270" s="490"/>
      <c r="F270" s="490"/>
      <c r="G270" s="490"/>
      <c r="H270" s="490"/>
      <c r="I270" s="490"/>
      <c r="J270" s="490"/>
      <c r="K270" s="490"/>
      <c r="L270" s="490"/>
    </row>
    <row r="271" spans="1:12">
      <c r="A271" s="490"/>
      <c r="B271" s="490"/>
      <c r="C271" s="490"/>
      <c r="D271" s="490"/>
      <c r="E271" s="490"/>
      <c r="F271" s="490"/>
      <c r="G271" s="490"/>
      <c r="H271" s="490"/>
      <c r="I271" s="490"/>
      <c r="J271" s="490"/>
      <c r="K271" s="490"/>
      <c r="L271" s="490"/>
    </row>
    <row r="272" spans="1:12">
      <c r="A272" s="490"/>
      <c r="B272" s="490"/>
      <c r="C272" s="490"/>
      <c r="D272" s="490"/>
      <c r="E272" s="490"/>
      <c r="F272" s="490"/>
      <c r="G272" s="490"/>
      <c r="H272" s="490"/>
      <c r="I272" s="490"/>
      <c r="J272" s="490"/>
      <c r="K272" s="490"/>
      <c r="L272" s="490"/>
    </row>
    <row r="273" spans="1:12">
      <c r="A273" s="490"/>
      <c r="B273" s="490"/>
      <c r="C273" s="490"/>
      <c r="D273" s="490"/>
      <c r="E273" s="490"/>
      <c r="F273" s="490"/>
      <c r="G273" s="490"/>
      <c r="H273" s="490"/>
      <c r="I273" s="490"/>
      <c r="J273" s="490"/>
      <c r="K273" s="490"/>
      <c r="L273" s="490"/>
    </row>
    <row r="274" spans="1:12">
      <c r="A274" s="490"/>
      <c r="B274" s="490"/>
      <c r="C274" s="490"/>
      <c r="D274" s="490"/>
      <c r="E274" s="490"/>
      <c r="F274" s="490"/>
      <c r="G274" s="490"/>
      <c r="H274" s="490"/>
      <c r="I274" s="490"/>
      <c r="J274" s="490"/>
      <c r="K274" s="490"/>
      <c r="L274" s="490"/>
    </row>
    <row r="275" spans="1:12">
      <c r="A275" s="490"/>
      <c r="B275" s="490"/>
      <c r="C275" s="490"/>
      <c r="D275" s="490"/>
      <c r="E275" s="490"/>
      <c r="F275" s="490"/>
      <c r="G275" s="490"/>
      <c r="H275" s="490"/>
      <c r="I275" s="490"/>
      <c r="J275" s="490"/>
      <c r="K275" s="490"/>
      <c r="L275" s="490"/>
    </row>
    <row r="276" spans="1:12">
      <c r="A276" s="490"/>
      <c r="B276" s="490"/>
      <c r="C276" s="490"/>
      <c r="D276" s="490"/>
      <c r="E276" s="490"/>
      <c r="F276" s="490"/>
      <c r="G276" s="490"/>
      <c r="H276" s="490"/>
      <c r="I276" s="490"/>
      <c r="J276" s="490"/>
      <c r="K276" s="490"/>
      <c r="L276" s="490"/>
    </row>
    <row r="277" spans="1:12">
      <c r="A277" s="490"/>
      <c r="B277" s="490"/>
      <c r="C277" s="490"/>
      <c r="D277" s="490"/>
      <c r="E277" s="490"/>
      <c r="F277" s="490"/>
      <c r="G277" s="490"/>
      <c r="H277" s="490"/>
      <c r="I277" s="490"/>
      <c r="J277" s="490"/>
      <c r="K277" s="490"/>
      <c r="L277" s="490"/>
    </row>
    <row r="278" spans="1:12">
      <c r="A278" s="490"/>
      <c r="B278" s="490"/>
      <c r="C278" s="490"/>
      <c r="D278" s="490"/>
      <c r="E278" s="490"/>
      <c r="F278" s="490"/>
      <c r="G278" s="490"/>
      <c r="H278" s="490"/>
      <c r="I278" s="490"/>
      <c r="J278" s="490"/>
      <c r="K278" s="490"/>
      <c r="L278" s="490"/>
    </row>
    <row r="279" spans="1:12">
      <c r="A279" s="490"/>
      <c r="B279" s="490"/>
      <c r="C279" s="490"/>
      <c r="D279" s="490"/>
      <c r="E279" s="490"/>
      <c r="F279" s="490"/>
      <c r="G279" s="490"/>
      <c r="H279" s="490"/>
      <c r="I279" s="490"/>
      <c r="J279" s="490"/>
      <c r="K279" s="490"/>
      <c r="L279" s="490"/>
    </row>
    <row r="280" spans="1:12">
      <c r="A280" s="490"/>
      <c r="B280" s="490"/>
      <c r="C280" s="490"/>
      <c r="D280" s="490"/>
      <c r="E280" s="490"/>
      <c r="F280" s="490"/>
      <c r="G280" s="490"/>
      <c r="H280" s="490"/>
      <c r="I280" s="490"/>
      <c r="J280" s="490"/>
      <c r="K280" s="490"/>
      <c r="L280" s="490"/>
    </row>
    <row r="281" spans="1:12">
      <c r="A281" s="490"/>
      <c r="B281" s="490"/>
      <c r="C281" s="490"/>
      <c r="D281" s="490"/>
      <c r="E281" s="490"/>
      <c r="F281" s="490"/>
      <c r="G281" s="490"/>
      <c r="H281" s="490"/>
      <c r="I281" s="490"/>
      <c r="J281" s="490"/>
      <c r="K281" s="490"/>
      <c r="L281" s="490"/>
    </row>
    <row r="282" spans="1:12">
      <c r="A282" s="490"/>
      <c r="B282" s="490"/>
      <c r="C282" s="490"/>
      <c r="D282" s="490"/>
      <c r="E282" s="490"/>
      <c r="F282" s="490"/>
      <c r="G282" s="490"/>
      <c r="H282" s="490"/>
      <c r="I282" s="490"/>
      <c r="J282" s="490"/>
      <c r="K282" s="490"/>
      <c r="L282" s="490"/>
    </row>
    <row r="283" spans="1:12">
      <c r="A283" s="490"/>
      <c r="B283" s="490"/>
      <c r="C283" s="490"/>
      <c r="D283" s="490"/>
      <c r="E283" s="490"/>
      <c r="F283" s="490"/>
      <c r="G283" s="490"/>
      <c r="H283" s="490"/>
      <c r="I283" s="490"/>
      <c r="J283" s="490"/>
      <c r="K283" s="490"/>
      <c r="L283" s="490"/>
    </row>
    <row r="284" spans="1:12">
      <c r="A284" s="490"/>
      <c r="B284" s="490"/>
      <c r="C284" s="490"/>
      <c r="D284" s="490"/>
      <c r="E284" s="490"/>
      <c r="F284" s="490"/>
      <c r="G284" s="490"/>
      <c r="H284" s="490"/>
      <c r="I284" s="490"/>
      <c r="J284" s="490"/>
      <c r="K284" s="490"/>
      <c r="L284" s="490"/>
    </row>
    <row r="285" spans="1:12">
      <c r="A285" s="490"/>
      <c r="B285" s="490"/>
      <c r="C285" s="490"/>
      <c r="D285" s="490"/>
      <c r="E285" s="490"/>
      <c r="F285" s="490"/>
      <c r="G285" s="490"/>
      <c r="H285" s="490"/>
      <c r="I285" s="490"/>
      <c r="J285" s="490"/>
      <c r="K285" s="490"/>
      <c r="L285" s="490"/>
    </row>
    <row r="286" spans="1:12">
      <c r="A286" s="490"/>
      <c r="B286" s="490"/>
      <c r="C286" s="490"/>
      <c r="D286" s="490"/>
      <c r="E286" s="490"/>
      <c r="F286" s="490"/>
      <c r="G286" s="490"/>
      <c r="H286" s="490"/>
      <c r="I286" s="490"/>
      <c r="J286" s="490"/>
      <c r="K286" s="490"/>
      <c r="L286" s="490"/>
    </row>
    <row r="287" spans="1:12">
      <c r="A287" s="490"/>
      <c r="B287" s="490"/>
      <c r="C287" s="490"/>
      <c r="D287" s="490"/>
      <c r="E287" s="490"/>
      <c r="F287" s="490"/>
      <c r="G287" s="490"/>
      <c r="H287" s="490"/>
      <c r="I287" s="490"/>
      <c r="J287" s="490"/>
      <c r="K287" s="490"/>
      <c r="L287" s="490"/>
    </row>
    <row r="288" spans="1:12">
      <c r="A288" s="490"/>
      <c r="B288" s="490"/>
      <c r="C288" s="490"/>
      <c r="D288" s="490"/>
      <c r="E288" s="490"/>
      <c r="F288" s="490"/>
      <c r="G288" s="490"/>
      <c r="H288" s="490"/>
      <c r="I288" s="490"/>
      <c r="J288" s="490"/>
      <c r="K288" s="490"/>
      <c r="L288" s="490"/>
    </row>
    <row r="289" spans="1:12">
      <c r="A289" s="490"/>
      <c r="B289" s="490"/>
      <c r="C289" s="490"/>
      <c r="D289" s="490"/>
      <c r="E289" s="490"/>
      <c r="F289" s="490"/>
      <c r="G289" s="490"/>
      <c r="H289" s="490"/>
      <c r="I289" s="490"/>
      <c r="J289" s="490"/>
      <c r="K289" s="490"/>
      <c r="L289" s="490"/>
    </row>
    <row r="290" spans="1:12">
      <c r="A290" s="490"/>
      <c r="B290" s="490"/>
      <c r="C290" s="490"/>
      <c r="D290" s="490"/>
      <c r="E290" s="490"/>
      <c r="F290" s="490"/>
      <c r="G290" s="490"/>
      <c r="H290" s="490"/>
      <c r="I290" s="490"/>
      <c r="J290" s="490"/>
      <c r="K290" s="490"/>
      <c r="L290" s="490"/>
    </row>
    <row r="291" spans="1:12">
      <c r="A291" s="490"/>
      <c r="B291" s="490"/>
      <c r="C291" s="490"/>
      <c r="D291" s="490"/>
      <c r="E291" s="490"/>
      <c r="F291" s="490"/>
      <c r="G291" s="490"/>
      <c r="H291" s="490"/>
      <c r="I291" s="490"/>
      <c r="J291" s="490"/>
      <c r="K291" s="490"/>
      <c r="L291" s="490"/>
    </row>
    <row r="292" spans="1:12">
      <c r="A292" s="490"/>
      <c r="B292" s="490"/>
      <c r="C292" s="490"/>
      <c r="D292" s="490"/>
      <c r="E292" s="490"/>
      <c r="F292" s="490"/>
      <c r="G292" s="490"/>
      <c r="H292" s="490"/>
      <c r="I292" s="490"/>
      <c r="J292" s="490"/>
      <c r="K292" s="490"/>
      <c r="L292" s="490"/>
    </row>
    <row r="293" spans="1:12">
      <c r="A293" s="490"/>
      <c r="B293" s="490"/>
      <c r="C293" s="490"/>
      <c r="D293" s="490"/>
      <c r="E293" s="490"/>
      <c r="F293" s="490"/>
      <c r="G293" s="490"/>
      <c r="H293" s="490"/>
      <c r="I293" s="490"/>
      <c r="J293" s="490"/>
      <c r="K293" s="490"/>
      <c r="L293" s="490"/>
    </row>
    <row r="294" spans="1:12">
      <c r="A294" s="490"/>
      <c r="B294" s="490"/>
      <c r="C294" s="490"/>
      <c r="D294" s="490"/>
      <c r="E294" s="490"/>
      <c r="F294" s="490"/>
      <c r="G294" s="490"/>
      <c r="H294" s="490"/>
      <c r="I294" s="490"/>
      <c r="J294" s="490"/>
      <c r="K294" s="490"/>
      <c r="L294" s="490"/>
    </row>
    <row r="295" spans="1:12">
      <c r="A295" s="490"/>
      <c r="B295" s="490"/>
      <c r="C295" s="490"/>
      <c r="D295" s="490"/>
      <c r="E295" s="490"/>
      <c r="F295" s="490"/>
      <c r="G295" s="490"/>
      <c r="H295" s="490"/>
      <c r="I295" s="490"/>
      <c r="J295" s="490"/>
      <c r="K295" s="490"/>
      <c r="L295" s="490"/>
    </row>
    <row r="296" spans="1:12">
      <c r="A296" s="490"/>
      <c r="B296" s="490"/>
      <c r="C296" s="490"/>
      <c r="D296" s="490"/>
      <c r="E296" s="490"/>
      <c r="F296" s="490"/>
      <c r="G296" s="490"/>
      <c r="H296" s="490"/>
      <c r="I296" s="490"/>
      <c r="J296" s="490"/>
      <c r="K296" s="490"/>
      <c r="L296" s="490"/>
    </row>
    <row r="297" spans="1:12">
      <c r="A297" s="490"/>
      <c r="B297" s="490"/>
      <c r="C297" s="490"/>
      <c r="D297" s="490"/>
      <c r="E297" s="490"/>
      <c r="F297" s="490"/>
      <c r="G297" s="490"/>
      <c r="H297" s="490"/>
      <c r="I297" s="490"/>
      <c r="J297" s="490"/>
      <c r="K297" s="490"/>
      <c r="L297" s="490"/>
    </row>
    <row r="298" spans="1:12">
      <c r="A298" s="490"/>
      <c r="B298" s="490"/>
      <c r="C298" s="490"/>
      <c r="D298" s="490"/>
      <c r="E298" s="490"/>
      <c r="F298" s="490"/>
      <c r="G298" s="490"/>
      <c r="H298" s="490"/>
      <c r="I298" s="490"/>
      <c r="J298" s="490"/>
      <c r="K298" s="490"/>
      <c r="L298" s="490"/>
    </row>
    <row r="299" spans="1:12">
      <c r="A299" s="490"/>
      <c r="B299" s="490"/>
      <c r="C299" s="490"/>
      <c r="D299" s="490"/>
      <c r="E299" s="490"/>
      <c r="F299" s="490"/>
      <c r="G299" s="490"/>
      <c r="H299" s="490"/>
      <c r="I299" s="490"/>
      <c r="J299" s="490"/>
      <c r="K299" s="490"/>
      <c r="L299" s="490"/>
    </row>
    <row r="300" spans="1:12">
      <c r="A300" s="490"/>
      <c r="B300" s="490"/>
      <c r="C300" s="490"/>
      <c r="D300" s="490"/>
      <c r="E300" s="490"/>
      <c r="F300" s="490"/>
      <c r="G300" s="490"/>
      <c r="H300" s="490"/>
      <c r="I300" s="490"/>
      <c r="J300" s="490"/>
      <c r="K300" s="490"/>
      <c r="L300" s="490"/>
    </row>
    <row r="301" spans="1:12">
      <c r="A301" s="490"/>
      <c r="B301" s="490"/>
      <c r="C301" s="490"/>
      <c r="D301" s="490"/>
      <c r="E301" s="490"/>
      <c r="F301" s="490"/>
      <c r="G301" s="490"/>
      <c r="H301" s="490"/>
      <c r="I301" s="490"/>
      <c r="J301" s="490"/>
      <c r="K301" s="490"/>
      <c r="L301" s="490"/>
    </row>
    <row r="302" spans="1:12">
      <c r="A302" s="490"/>
      <c r="B302" s="490"/>
      <c r="C302" s="490"/>
      <c r="D302" s="490"/>
      <c r="E302" s="490"/>
      <c r="F302" s="490"/>
      <c r="G302" s="490"/>
      <c r="H302" s="490"/>
      <c r="I302" s="490"/>
      <c r="J302" s="490"/>
      <c r="K302" s="490"/>
      <c r="L302" s="490"/>
    </row>
    <row r="303" spans="1:12">
      <c r="A303" s="490"/>
      <c r="B303" s="490"/>
      <c r="C303" s="490"/>
      <c r="D303" s="490"/>
      <c r="E303" s="490"/>
      <c r="F303" s="490"/>
      <c r="G303" s="490"/>
      <c r="H303" s="490"/>
      <c r="I303" s="490"/>
      <c r="J303" s="490"/>
      <c r="K303" s="490"/>
      <c r="L303" s="490"/>
    </row>
    <row r="304" spans="1:12">
      <c r="A304" s="490"/>
      <c r="B304" s="490"/>
      <c r="C304" s="490"/>
      <c r="D304" s="490"/>
      <c r="E304" s="490"/>
      <c r="F304" s="490"/>
      <c r="G304" s="490"/>
      <c r="H304" s="490"/>
      <c r="I304" s="490"/>
      <c r="J304" s="490"/>
      <c r="K304" s="490"/>
      <c r="L304" s="490"/>
    </row>
    <row r="305" spans="1:12">
      <c r="A305" s="490"/>
      <c r="B305" s="490"/>
      <c r="C305" s="490"/>
      <c r="D305" s="490"/>
      <c r="E305" s="490"/>
      <c r="F305" s="490"/>
      <c r="G305" s="490"/>
      <c r="H305" s="490"/>
      <c r="I305" s="490"/>
      <c r="J305" s="490"/>
      <c r="K305" s="490"/>
      <c r="L305" s="490"/>
    </row>
    <row r="306" spans="1:12">
      <c r="A306" s="490"/>
      <c r="B306" s="490"/>
      <c r="C306" s="490"/>
      <c r="D306" s="490"/>
      <c r="E306" s="490"/>
      <c r="F306" s="490"/>
      <c r="G306" s="490"/>
      <c r="H306" s="490"/>
      <c r="I306" s="490"/>
      <c r="J306" s="490"/>
      <c r="K306" s="490"/>
      <c r="L306" s="490"/>
    </row>
    <row r="307" spans="1:12">
      <c r="A307" s="490"/>
      <c r="B307" s="490"/>
      <c r="C307" s="490"/>
      <c r="D307" s="490"/>
      <c r="E307" s="490"/>
      <c r="F307" s="490"/>
      <c r="G307" s="490"/>
      <c r="H307" s="490"/>
      <c r="I307" s="490"/>
      <c r="J307" s="490"/>
      <c r="K307" s="490"/>
      <c r="L307" s="490"/>
    </row>
    <row r="308" spans="1:12">
      <c r="A308" s="490"/>
      <c r="B308" s="490"/>
      <c r="C308" s="490"/>
      <c r="D308" s="490"/>
      <c r="E308" s="490"/>
      <c r="F308" s="490"/>
      <c r="G308" s="490"/>
      <c r="H308" s="490"/>
      <c r="I308" s="490"/>
      <c r="J308" s="490"/>
      <c r="K308" s="490"/>
      <c r="L308" s="490"/>
    </row>
    <row r="309" spans="1:12">
      <c r="A309" s="490"/>
      <c r="B309" s="490"/>
      <c r="C309" s="490"/>
      <c r="D309" s="490"/>
      <c r="E309" s="490"/>
      <c r="F309" s="490"/>
      <c r="G309" s="490"/>
      <c r="H309" s="490"/>
      <c r="I309" s="490"/>
      <c r="J309" s="490"/>
      <c r="K309" s="490"/>
      <c r="L309" s="490"/>
    </row>
    <row r="310" spans="1:12">
      <c r="A310" s="490"/>
      <c r="B310" s="490"/>
      <c r="C310" s="490"/>
      <c r="D310" s="490"/>
      <c r="E310" s="490"/>
      <c r="F310" s="490"/>
      <c r="G310" s="490"/>
      <c r="H310" s="490"/>
      <c r="I310" s="490"/>
      <c r="J310" s="490"/>
      <c r="K310" s="490"/>
      <c r="L310" s="490"/>
    </row>
    <row r="311" spans="1:12">
      <c r="A311" s="490"/>
      <c r="B311" s="490"/>
      <c r="C311" s="490"/>
      <c r="D311" s="490"/>
      <c r="E311" s="490"/>
      <c r="F311" s="490"/>
      <c r="G311" s="490"/>
      <c r="H311" s="490"/>
      <c r="I311" s="490"/>
      <c r="J311" s="490"/>
      <c r="K311" s="490"/>
      <c r="L311" s="490"/>
    </row>
    <row r="312" spans="1:12">
      <c r="A312" s="490"/>
      <c r="B312" s="490"/>
      <c r="C312" s="490"/>
      <c r="D312" s="490"/>
      <c r="E312" s="490"/>
      <c r="F312" s="490"/>
      <c r="G312" s="490"/>
      <c r="H312" s="490"/>
      <c r="I312" s="490"/>
      <c r="J312" s="490"/>
      <c r="K312" s="490"/>
      <c r="L312" s="490"/>
    </row>
    <row r="313" spans="1:12">
      <c r="A313" s="490"/>
      <c r="B313" s="490"/>
      <c r="C313" s="490"/>
      <c r="D313" s="490"/>
      <c r="E313" s="490"/>
      <c r="F313" s="490"/>
      <c r="G313" s="490"/>
      <c r="H313" s="490"/>
      <c r="I313" s="490"/>
      <c r="J313" s="490"/>
      <c r="K313" s="490"/>
      <c r="L313" s="490"/>
    </row>
    <row r="314" spans="1:12">
      <c r="A314" s="490"/>
      <c r="B314" s="490"/>
      <c r="C314" s="490"/>
      <c r="D314" s="490"/>
      <c r="E314" s="490"/>
      <c r="F314" s="490"/>
      <c r="G314" s="490"/>
      <c r="H314" s="490"/>
      <c r="I314" s="490"/>
      <c r="J314" s="490"/>
      <c r="K314" s="490"/>
      <c r="L314" s="490"/>
    </row>
    <row r="315" spans="1:12">
      <c r="A315" s="490"/>
      <c r="B315" s="490"/>
      <c r="C315" s="490"/>
      <c r="D315" s="490"/>
      <c r="E315" s="490"/>
      <c r="F315" s="490"/>
      <c r="G315" s="490"/>
      <c r="H315" s="490"/>
      <c r="I315" s="490"/>
      <c r="J315" s="490"/>
      <c r="K315" s="490"/>
      <c r="L315" s="490"/>
    </row>
    <row r="316" spans="1:12">
      <c r="A316" s="490"/>
      <c r="B316" s="490"/>
      <c r="C316" s="490"/>
      <c r="D316" s="490"/>
      <c r="E316" s="490"/>
      <c r="F316" s="490"/>
      <c r="G316" s="490"/>
      <c r="H316" s="490"/>
      <c r="I316" s="490"/>
      <c r="J316" s="490"/>
      <c r="K316" s="490"/>
      <c r="L316" s="490"/>
    </row>
    <row r="317" spans="1:12">
      <c r="A317" s="490"/>
      <c r="B317" s="490"/>
      <c r="C317" s="490"/>
      <c r="D317" s="490"/>
      <c r="E317" s="490"/>
      <c r="F317" s="490"/>
      <c r="G317" s="490"/>
      <c r="H317" s="490"/>
      <c r="I317" s="490"/>
      <c r="J317" s="490"/>
      <c r="K317" s="490"/>
      <c r="L317" s="490"/>
    </row>
    <row r="318" spans="1:12">
      <c r="A318" s="490"/>
      <c r="B318" s="490"/>
      <c r="C318" s="490"/>
      <c r="D318" s="490"/>
      <c r="E318" s="490"/>
      <c r="F318" s="490"/>
      <c r="G318" s="490"/>
      <c r="H318" s="490"/>
      <c r="I318" s="490"/>
      <c r="J318" s="490"/>
      <c r="K318" s="490"/>
      <c r="L318" s="490"/>
    </row>
    <row r="319" spans="1:12">
      <c r="A319" s="490"/>
      <c r="B319" s="490"/>
      <c r="C319" s="490"/>
      <c r="D319" s="490"/>
      <c r="E319" s="490"/>
      <c r="F319" s="490"/>
      <c r="G319" s="490"/>
      <c r="H319" s="490"/>
      <c r="I319" s="490"/>
      <c r="J319" s="490"/>
      <c r="K319" s="490"/>
      <c r="L319" s="490"/>
    </row>
    <row r="320" spans="1:12">
      <c r="A320" s="490"/>
      <c r="B320" s="490"/>
      <c r="C320" s="490"/>
      <c r="D320" s="490"/>
      <c r="E320" s="490"/>
      <c r="F320" s="490"/>
      <c r="G320" s="490"/>
      <c r="H320" s="490"/>
      <c r="I320" s="490"/>
      <c r="J320" s="490"/>
      <c r="K320" s="490"/>
      <c r="L320" s="490"/>
    </row>
    <row r="321" spans="1:12">
      <c r="A321" s="490"/>
      <c r="B321" s="490"/>
      <c r="C321" s="490"/>
      <c r="D321" s="490"/>
      <c r="E321" s="490"/>
      <c r="F321" s="490"/>
      <c r="G321" s="490"/>
      <c r="H321" s="490"/>
      <c r="I321" s="490"/>
      <c r="J321" s="490"/>
      <c r="K321" s="490"/>
      <c r="L321" s="490"/>
    </row>
    <row r="322" spans="1:12">
      <c r="A322" s="490"/>
      <c r="B322" s="490"/>
      <c r="C322" s="490"/>
      <c r="D322" s="490"/>
      <c r="E322" s="490"/>
      <c r="F322" s="490"/>
      <c r="G322" s="490"/>
      <c r="H322" s="490"/>
      <c r="I322" s="490"/>
      <c r="J322" s="490"/>
      <c r="K322" s="490"/>
      <c r="L322" s="490"/>
    </row>
    <row r="323" spans="1:12">
      <c r="A323" s="490"/>
      <c r="B323" s="490"/>
      <c r="C323" s="490"/>
      <c r="D323" s="490"/>
      <c r="E323" s="490"/>
      <c r="F323" s="490"/>
      <c r="G323" s="490"/>
      <c r="H323" s="490"/>
      <c r="I323" s="490"/>
      <c r="J323" s="490"/>
      <c r="K323" s="490"/>
      <c r="L323" s="490"/>
    </row>
    <row r="324" spans="1:12">
      <c r="A324" s="490"/>
      <c r="B324" s="490"/>
      <c r="C324" s="490"/>
      <c r="D324" s="490"/>
      <c r="E324" s="490"/>
      <c r="F324" s="490"/>
      <c r="G324" s="490"/>
      <c r="H324" s="490"/>
      <c r="I324" s="490"/>
      <c r="J324" s="490"/>
      <c r="K324" s="490"/>
      <c r="L324" s="490"/>
    </row>
    <row r="325" spans="1:12">
      <c r="A325" s="490"/>
      <c r="B325" s="490"/>
      <c r="C325" s="490"/>
      <c r="D325" s="490"/>
      <c r="E325" s="490"/>
      <c r="F325" s="490"/>
      <c r="G325" s="490"/>
      <c r="H325" s="490"/>
      <c r="I325" s="490"/>
      <c r="J325" s="490"/>
      <c r="K325" s="490"/>
      <c r="L325" s="490"/>
    </row>
    <row r="326" spans="1:12">
      <c r="A326" s="490"/>
      <c r="B326" s="490"/>
      <c r="C326" s="490"/>
      <c r="D326" s="490"/>
      <c r="E326" s="490"/>
      <c r="F326" s="490"/>
      <c r="G326" s="490"/>
      <c r="H326" s="490"/>
      <c r="I326" s="490"/>
      <c r="J326" s="490"/>
      <c r="K326" s="490"/>
      <c r="L326" s="490"/>
    </row>
    <row r="327" spans="1:12">
      <c r="A327" s="490"/>
      <c r="B327" s="490"/>
      <c r="C327" s="490"/>
      <c r="D327" s="490"/>
      <c r="E327" s="490"/>
      <c r="F327" s="490"/>
      <c r="G327" s="490"/>
      <c r="H327" s="490"/>
      <c r="I327" s="490"/>
      <c r="J327" s="490"/>
      <c r="K327" s="490"/>
      <c r="L327" s="490"/>
    </row>
    <row r="328" spans="1:12">
      <c r="A328" s="490"/>
      <c r="B328" s="490"/>
      <c r="C328" s="490"/>
      <c r="D328" s="490"/>
      <c r="E328" s="490"/>
      <c r="F328" s="490"/>
      <c r="G328" s="490"/>
      <c r="H328" s="490"/>
      <c r="I328" s="490"/>
      <c r="J328" s="490"/>
      <c r="K328" s="490"/>
      <c r="L328" s="490"/>
    </row>
    <row r="329" spans="1:12">
      <c r="A329" s="490"/>
      <c r="B329" s="490"/>
      <c r="C329" s="490"/>
      <c r="D329" s="490"/>
      <c r="E329" s="490"/>
      <c r="F329" s="490"/>
      <c r="G329" s="490"/>
      <c r="H329" s="490"/>
      <c r="I329" s="490"/>
      <c r="J329" s="490"/>
      <c r="K329" s="490"/>
      <c r="L329" s="490"/>
    </row>
    <row r="330" spans="1:12">
      <c r="A330" s="490"/>
      <c r="B330" s="490"/>
      <c r="C330" s="490"/>
      <c r="D330" s="490"/>
      <c r="E330" s="490"/>
      <c r="F330" s="490"/>
      <c r="G330" s="490"/>
      <c r="H330" s="490"/>
      <c r="I330" s="490"/>
      <c r="J330" s="490"/>
      <c r="K330" s="490"/>
      <c r="L330" s="490"/>
    </row>
    <row r="331" spans="1:12">
      <c r="A331" s="490"/>
      <c r="B331" s="490"/>
      <c r="C331" s="490"/>
      <c r="D331" s="490"/>
      <c r="E331" s="490"/>
      <c r="F331" s="490"/>
      <c r="G331" s="490"/>
      <c r="H331" s="490"/>
      <c r="I331" s="490"/>
      <c r="J331" s="490"/>
      <c r="K331" s="490"/>
      <c r="L331" s="490"/>
    </row>
    <row r="332" spans="1:12">
      <c r="A332" s="490"/>
      <c r="B332" s="490"/>
      <c r="C332" s="490"/>
      <c r="D332" s="490"/>
      <c r="E332" s="490"/>
      <c r="F332" s="490"/>
      <c r="G332" s="490"/>
      <c r="H332" s="490"/>
      <c r="I332" s="490"/>
      <c r="J332" s="490"/>
      <c r="K332" s="490"/>
      <c r="L332" s="490"/>
    </row>
    <row r="333" spans="1:12">
      <c r="A333" s="490"/>
      <c r="B333" s="490"/>
      <c r="C333" s="490"/>
      <c r="D333" s="490"/>
      <c r="E333" s="490"/>
      <c r="F333" s="490"/>
      <c r="G333" s="490"/>
      <c r="H333" s="490"/>
      <c r="I333" s="490"/>
      <c r="J333" s="490"/>
      <c r="K333" s="490"/>
      <c r="L333" s="490"/>
    </row>
    <row r="334" spans="1:12">
      <c r="A334" s="490"/>
      <c r="B334" s="490"/>
      <c r="C334" s="490"/>
      <c r="D334" s="490"/>
      <c r="E334" s="490"/>
      <c r="F334" s="490"/>
      <c r="G334" s="490"/>
      <c r="H334" s="490"/>
      <c r="I334" s="490"/>
      <c r="J334" s="490"/>
      <c r="K334" s="490"/>
      <c r="L334" s="490"/>
    </row>
    <row r="335" spans="1:12">
      <c r="A335" s="490"/>
      <c r="B335" s="490"/>
      <c r="C335" s="490"/>
      <c r="D335" s="490"/>
      <c r="E335" s="490"/>
      <c r="F335" s="490"/>
      <c r="G335" s="490"/>
      <c r="H335" s="490"/>
      <c r="I335" s="490"/>
      <c r="J335" s="490"/>
      <c r="K335" s="490"/>
      <c r="L335" s="490"/>
    </row>
    <row r="336" spans="1:12">
      <c r="A336" s="490"/>
      <c r="B336" s="490"/>
      <c r="C336" s="490"/>
      <c r="D336" s="490"/>
      <c r="E336" s="490"/>
      <c r="F336" s="490"/>
      <c r="G336" s="490"/>
      <c r="H336" s="490"/>
      <c r="I336" s="490"/>
      <c r="J336" s="490"/>
      <c r="K336" s="490"/>
      <c r="L336" s="490"/>
    </row>
    <row r="337" spans="1:12">
      <c r="A337" s="490"/>
      <c r="B337" s="490"/>
      <c r="C337" s="490"/>
      <c r="D337" s="490"/>
      <c r="E337" s="490"/>
      <c r="F337" s="490"/>
      <c r="G337" s="490"/>
      <c r="H337" s="490"/>
      <c r="I337" s="490"/>
      <c r="J337" s="490"/>
      <c r="K337" s="490"/>
      <c r="L337" s="490"/>
    </row>
    <row r="338" spans="1:12">
      <c r="A338" s="490"/>
      <c r="B338" s="490"/>
      <c r="C338" s="490"/>
      <c r="D338" s="490"/>
      <c r="E338" s="490"/>
      <c r="F338" s="490"/>
      <c r="G338" s="490"/>
      <c r="H338" s="490"/>
      <c r="I338" s="490"/>
      <c r="J338" s="490"/>
      <c r="K338" s="490"/>
      <c r="L338" s="490"/>
    </row>
    <row r="339" spans="1:12">
      <c r="A339" s="490"/>
      <c r="B339" s="490"/>
      <c r="C339" s="490"/>
      <c r="D339" s="490"/>
      <c r="E339" s="490"/>
      <c r="F339" s="490"/>
      <c r="G339" s="490"/>
      <c r="H339" s="490"/>
      <c r="I339" s="490"/>
      <c r="J339" s="490"/>
      <c r="K339" s="490"/>
      <c r="L339" s="490"/>
    </row>
    <row r="340" spans="1:12">
      <c r="A340" s="490"/>
      <c r="B340" s="490"/>
      <c r="C340" s="490"/>
      <c r="D340" s="490"/>
      <c r="E340" s="490"/>
      <c r="F340" s="490"/>
      <c r="G340" s="490"/>
      <c r="H340" s="490"/>
      <c r="I340" s="490"/>
      <c r="J340" s="490"/>
      <c r="K340" s="490"/>
      <c r="L340" s="490"/>
    </row>
    <row r="341" spans="1:12">
      <c r="A341" s="490"/>
      <c r="B341" s="490"/>
      <c r="C341" s="490"/>
      <c r="D341" s="490"/>
      <c r="E341" s="490"/>
      <c r="F341" s="490"/>
      <c r="G341" s="490"/>
      <c r="H341" s="490"/>
      <c r="I341" s="490"/>
      <c r="J341" s="490"/>
      <c r="K341" s="490"/>
      <c r="L341" s="490"/>
    </row>
    <row r="342" spans="1:12">
      <c r="A342" s="490"/>
      <c r="B342" s="490"/>
      <c r="C342" s="490"/>
      <c r="D342" s="490"/>
      <c r="E342" s="490"/>
      <c r="F342" s="490"/>
      <c r="G342" s="490"/>
      <c r="H342" s="490"/>
      <c r="I342" s="490"/>
      <c r="J342" s="490"/>
      <c r="K342" s="490"/>
      <c r="L342" s="490"/>
    </row>
    <row r="343" spans="1:12">
      <c r="A343" s="490"/>
      <c r="B343" s="490"/>
      <c r="C343" s="490"/>
      <c r="D343" s="490"/>
      <c r="E343" s="490"/>
      <c r="F343" s="490"/>
      <c r="G343" s="490"/>
      <c r="H343" s="490"/>
      <c r="I343" s="490"/>
      <c r="J343" s="490"/>
      <c r="K343" s="490"/>
      <c r="L343" s="490"/>
    </row>
    <row r="344" spans="1:12">
      <c r="A344" s="490"/>
      <c r="B344" s="490"/>
      <c r="C344" s="490"/>
      <c r="D344" s="490"/>
      <c r="E344" s="490"/>
      <c r="F344" s="490"/>
      <c r="G344" s="490"/>
      <c r="H344" s="490"/>
      <c r="I344" s="490"/>
      <c r="J344" s="490"/>
      <c r="K344" s="490"/>
      <c r="L344" s="490"/>
    </row>
    <row r="345" spans="1:12">
      <c r="A345" s="490"/>
      <c r="B345" s="490"/>
      <c r="C345" s="490"/>
      <c r="D345" s="490"/>
      <c r="E345" s="490"/>
      <c r="F345" s="490"/>
      <c r="G345" s="490"/>
      <c r="H345" s="490"/>
      <c r="I345" s="490"/>
      <c r="J345" s="490"/>
      <c r="K345" s="490"/>
      <c r="L345" s="490"/>
    </row>
    <row r="346" spans="1:12">
      <c r="A346" s="490"/>
      <c r="B346" s="490"/>
      <c r="C346" s="490"/>
      <c r="D346" s="490"/>
      <c r="E346" s="490"/>
      <c r="F346" s="490"/>
      <c r="G346" s="490"/>
      <c r="H346" s="490"/>
      <c r="I346" s="490"/>
      <c r="J346" s="490"/>
      <c r="K346" s="490"/>
      <c r="L346" s="490"/>
    </row>
    <row r="347" spans="1:12">
      <c r="A347" s="490"/>
      <c r="B347" s="490"/>
      <c r="C347" s="490"/>
      <c r="D347" s="490"/>
      <c r="E347" s="490"/>
      <c r="F347" s="490"/>
      <c r="G347" s="490"/>
      <c r="H347" s="490"/>
      <c r="I347" s="490"/>
      <c r="J347" s="490"/>
      <c r="K347" s="490"/>
      <c r="L347" s="490"/>
    </row>
    <row r="348" spans="1:12">
      <c r="A348" s="490"/>
      <c r="B348" s="490"/>
      <c r="C348" s="490"/>
      <c r="D348" s="490"/>
      <c r="E348" s="490"/>
      <c r="F348" s="490"/>
      <c r="G348" s="490"/>
      <c r="H348" s="490"/>
      <c r="I348" s="490"/>
      <c r="J348" s="490"/>
      <c r="K348" s="490"/>
      <c r="L348" s="490"/>
    </row>
    <row r="349" spans="1:12">
      <c r="A349" s="490"/>
      <c r="B349" s="490"/>
      <c r="C349" s="490"/>
      <c r="D349" s="490"/>
      <c r="E349" s="490"/>
      <c r="F349" s="490"/>
      <c r="G349" s="490"/>
      <c r="H349" s="490"/>
      <c r="I349" s="490"/>
      <c r="J349" s="490"/>
      <c r="K349" s="490"/>
      <c r="L349" s="490"/>
    </row>
    <row r="350" spans="1:12">
      <c r="A350" s="490"/>
      <c r="B350" s="490"/>
      <c r="C350" s="490"/>
      <c r="D350" s="490"/>
      <c r="E350" s="490"/>
      <c r="F350" s="490"/>
      <c r="G350" s="490"/>
      <c r="H350" s="490"/>
      <c r="I350" s="490"/>
      <c r="J350" s="490"/>
      <c r="K350" s="490"/>
      <c r="L350" s="490"/>
    </row>
    <row r="351" spans="1:12">
      <c r="A351" s="490"/>
      <c r="B351" s="490"/>
      <c r="C351" s="490"/>
      <c r="D351" s="490"/>
      <c r="E351" s="490"/>
      <c r="F351" s="490"/>
      <c r="G351" s="490"/>
      <c r="H351" s="490"/>
      <c r="I351" s="490"/>
      <c r="J351" s="490"/>
      <c r="K351" s="490"/>
      <c r="L351" s="490"/>
    </row>
    <row r="352" spans="1:12">
      <c r="A352" s="490"/>
      <c r="B352" s="490"/>
      <c r="C352" s="490"/>
      <c r="D352" s="490"/>
      <c r="E352" s="490"/>
      <c r="F352" s="490"/>
      <c r="G352" s="490"/>
      <c r="H352" s="490"/>
      <c r="I352" s="490"/>
      <c r="J352" s="490"/>
      <c r="K352" s="490"/>
      <c r="L352" s="490"/>
    </row>
    <row r="353" spans="1:12">
      <c r="A353" s="490"/>
      <c r="B353" s="490"/>
      <c r="C353" s="490"/>
      <c r="D353" s="490"/>
      <c r="E353" s="490"/>
      <c r="F353" s="490"/>
      <c r="G353" s="490"/>
      <c r="H353" s="490"/>
      <c r="I353" s="490"/>
      <c r="J353" s="490"/>
      <c r="K353" s="490"/>
      <c r="L353" s="490"/>
    </row>
    <row r="354" spans="1:12">
      <c r="A354" s="490"/>
      <c r="B354" s="490"/>
      <c r="C354" s="490"/>
      <c r="D354" s="490"/>
      <c r="E354" s="490"/>
      <c r="F354" s="490"/>
      <c r="G354" s="490"/>
      <c r="H354" s="490"/>
      <c r="I354" s="490"/>
      <c r="J354" s="490"/>
      <c r="K354" s="490"/>
      <c r="L354" s="490"/>
    </row>
  </sheetData>
  <sheetProtection sheet="1" objects="1" scenarios="1"/>
  <mergeCells count="55">
    <mergeCell ref="C148:D148"/>
    <mergeCell ref="J148:K148"/>
    <mergeCell ref="B125:K125"/>
    <mergeCell ref="B126:K126"/>
    <mergeCell ref="B128:K128"/>
    <mergeCell ref="C147:D147"/>
    <mergeCell ref="J147:K147"/>
    <mergeCell ref="C133:D133"/>
    <mergeCell ref="H133:I133"/>
    <mergeCell ref="B144:K144"/>
    <mergeCell ref="C137:D137"/>
    <mergeCell ref="C120:D120"/>
    <mergeCell ref="C123:D123"/>
    <mergeCell ref="B88:K88"/>
    <mergeCell ref="B57:K57"/>
    <mergeCell ref="C74:D74"/>
    <mergeCell ref="B85:K85"/>
    <mergeCell ref="B86:K86"/>
    <mergeCell ref="C80:D80"/>
    <mergeCell ref="C83:D83"/>
    <mergeCell ref="F23:G23"/>
    <mergeCell ref="C77:D77"/>
    <mergeCell ref="B30:K30"/>
    <mergeCell ref="C136:D136"/>
    <mergeCell ref="B130:K130"/>
    <mergeCell ref="C134:D134"/>
    <mergeCell ref="H134:I134"/>
    <mergeCell ref="C25:D25"/>
    <mergeCell ref="B33:K33"/>
    <mergeCell ref="B35:K35"/>
    <mergeCell ref="B6:K6"/>
    <mergeCell ref="B7:K7"/>
    <mergeCell ref="B8:K8"/>
    <mergeCell ref="B10:K10"/>
    <mergeCell ref="B12:K12"/>
    <mergeCell ref="B31:K31"/>
    <mergeCell ref="C41:D41"/>
    <mergeCell ref="B48:C48"/>
    <mergeCell ref="C114:D114"/>
    <mergeCell ref="C117:D117"/>
    <mergeCell ref="B90:K90"/>
    <mergeCell ref="C94:D94"/>
    <mergeCell ref="C97:D97"/>
    <mergeCell ref="C100:D100"/>
    <mergeCell ref="B106:K106"/>
    <mergeCell ref="B105:K105"/>
    <mergeCell ref="C103:D103"/>
    <mergeCell ref="B108:K108"/>
    <mergeCell ref="B110:K110"/>
    <mergeCell ref="G50:H50"/>
    <mergeCell ref="I51:K51"/>
    <mergeCell ref="B58:K58"/>
    <mergeCell ref="B52:K52"/>
    <mergeCell ref="B53:K53"/>
    <mergeCell ref="B55:K55"/>
  </mergeCells>
  <phoneticPr fontId="0" type="noConversion"/>
  <pageMargins left="0.7" right="0.7" top="0.75" bottom="0.75" header="0.3" footer="0.3"/>
  <pageSetup orientation="portrait" blackAndWhite="1" r:id="rId1"/>
  <rowBreaks count="4" manualBreakCount="4">
    <brk id="32" min="1" max="22" man="1"/>
    <brk id="54" min="1" max="22" man="1"/>
    <brk id="88" min="1" max="22" man="1"/>
    <brk id="109" min="1" max="22" man="1"/>
  </rowBreaks>
  <colBreaks count="1" manualBreakCount="1">
    <brk id="11" max="1048575" man="1"/>
  </colBreaks>
</worksheet>
</file>

<file path=xl/worksheets/sheet48.xml><?xml version="1.0" encoding="utf-8"?>
<worksheet xmlns="http://schemas.openxmlformats.org/spreadsheetml/2006/main" xmlns:r="http://schemas.openxmlformats.org/officeDocument/2006/relationships">
  <dimension ref="A1:A40"/>
  <sheetViews>
    <sheetView workbookViewId="0">
      <selection activeCell="A56" sqref="A56"/>
    </sheetView>
  </sheetViews>
  <sheetFormatPr defaultRowHeight="15.75"/>
  <cols>
    <col min="1" max="1" width="71.21875" style="1" customWidth="1"/>
    <col min="2" max="16384" width="8.88671875" style="1"/>
  </cols>
  <sheetData>
    <row r="1" spans="1:1" ht="16.5">
      <c r="A1" s="491" t="s">
        <v>659</v>
      </c>
    </row>
    <row r="3" spans="1:1" ht="31.5">
      <c r="A3" s="492" t="s">
        <v>660</v>
      </c>
    </row>
    <row r="4" spans="1:1">
      <c r="A4" s="493" t="s">
        <v>661</v>
      </c>
    </row>
    <row r="7" spans="1:1" ht="31.5">
      <c r="A7" s="492" t="s">
        <v>662</v>
      </c>
    </row>
    <row r="8" spans="1:1">
      <c r="A8" s="493" t="s">
        <v>663</v>
      </c>
    </row>
    <row r="11" spans="1:1">
      <c r="A11" s="1" t="s">
        <v>664</v>
      </c>
    </row>
    <row r="12" spans="1:1">
      <c r="A12" s="493" t="s">
        <v>665</v>
      </c>
    </row>
    <row r="15" spans="1:1">
      <c r="A15" s="1" t="s">
        <v>666</v>
      </c>
    </row>
    <row r="16" spans="1:1">
      <c r="A16" s="493" t="s">
        <v>667</v>
      </c>
    </row>
    <row r="19" spans="1:1">
      <c r="A19" s="1" t="s">
        <v>668</v>
      </c>
    </row>
    <row r="20" spans="1:1">
      <c r="A20" s="493" t="s">
        <v>669</v>
      </c>
    </row>
    <row r="23" spans="1:1">
      <c r="A23" s="1" t="s">
        <v>670</v>
      </c>
    </row>
    <row r="24" spans="1:1">
      <c r="A24" s="493" t="s">
        <v>671</v>
      </c>
    </row>
    <row r="27" spans="1:1">
      <c r="A27" s="1" t="s">
        <v>672</v>
      </c>
    </row>
    <row r="28" spans="1:1">
      <c r="A28" s="493" t="s">
        <v>673</v>
      </c>
    </row>
    <row r="31" spans="1:1">
      <c r="A31" s="1" t="s">
        <v>674</v>
      </c>
    </row>
    <row r="32" spans="1:1">
      <c r="A32" s="493" t="s">
        <v>675</v>
      </c>
    </row>
    <row r="35" spans="1:1">
      <c r="A35" s="1" t="s">
        <v>676</v>
      </c>
    </row>
    <row r="36" spans="1:1">
      <c r="A36" s="493" t="s">
        <v>677</v>
      </c>
    </row>
    <row r="39" spans="1:1">
      <c r="A39" s="1" t="s">
        <v>678</v>
      </c>
    </row>
    <row r="40" spans="1:1">
      <c r="A40" s="493" t="s">
        <v>679</v>
      </c>
    </row>
  </sheetData>
  <sheetProtection sheet="1" objects="1" scenarios="1"/>
  <phoneticPr fontId="0"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49.xml><?xml version="1.0" encoding="utf-8"?>
<worksheet xmlns="http://schemas.openxmlformats.org/spreadsheetml/2006/main" xmlns:r="http://schemas.openxmlformats.org/officeDocument/2006/relationships">
  <dimension ref="A1:A204"/>
  <sheetViews>
    <sheetView workbookViewId="0"/>
  </sheetViews>
  <sheetFormatPr defaultRowHeight="15.75"/>
  <cols>
    <col min="1" max="1" width="84.21875" style="21" customWidth="1"/>
    <col min="2" max="16384" width="8.88671875" style="21"/>
  </cols>
  <sheetData>
    <row r="1" spans="1:1">
      <c r="A1" s="535" t="s">
        <v>955</v>
      </c>
    </row>
    <row r="2" spans="1:1">
      <c r="A2" s="21" t="s">
        <v>956</v>
      </c>
    </row>
    <row r="4" spans="1:1">
      <c r="A4" s="535" t="s">
        <v>953</v>
      </c>
    </row>
    <row r="5" spans="1:1">
      <c r="A5" s="888" t="s">
        <v>954</v>
      </c>
    </row>
    <row r="7" spans="1:1">
      <c r="A7" s="535" t="s">
        <v>950</v>
      </c>
    </row>
    <row r="8" spans="1:1">
      <c r="A8" s="21" t="s">
        <v>951</v>
      </c>
    </row>
    <row r="10" spans="1:1">
      <c r="A10" s="535" t="s">
        <v>875</v>
      </c>
    </row>
    <row r="11" spans="1:1">
      <c r="A11" s="872" t="s">
        <v>876</v>
      </c>
    </row>
    <row r="12" spans="1:1">
      <c r="A12" s="21" t="s">
        <v>877</v>
      </c>
    </row>
    <row r="13" spans="1:1">
      <c r="A13" s="21" t="s">
        <v>878</v>
      </c>
    </row>
    <row r="14" spans="1:1">
      <c r="A14" s="21" t="s">
        <v>879</v>
      </c>
    </row>
    <row r="15" spans="1:1">
      <c r="A15" s="21" t="s">
        <v>880</v>
      </c>
    </row>
    <row r="16" spans="1:1">
      <c r="A16" s="21" t="s">
        <v>881</v>
      </c>
    </row>
    <row r="17" spans="1:1">
      <c r="A17" s="21" t="s">
        <v>882</v>
      </c>
    </row>
    <row r="18" spans="1:1">
      <c r="A18" s="21" t="s">
        <v>883</v>
      </c>
    </row>
    <row r="19" spans="1:1">
      <c r="A19" s="21" t="s">
        <v>884</v>
      </c>
    </row>
    <row r="20" spans="1:1">
      <c r="A20" s="21" t="s">
        <v>885</v>
      </c>
    </row>
    <row r="21" spans="1:1">
      <c r="A21" s="21" t="s">
        <v>886</v>
      </c>
    </row>
    <row r="22" spans="1:1">
      <c r="A22" s="21" t="s">
        <v>887</v>
      </c>
    </row>
    <row r="23" spans="1:1">
      <c r="A23" s="21" t="s">
        <v>888</v>
      </c>
    </row>
    <row r="24" spans="1:1">
      <c r="A24" s="21" t="s">
        <v>889</v>
      </c>
    </row>
    <row r="25" spans="1:1">
      <c r="A25" s="21" t="s">
        <v>890</v>
      </c>
    </row>
    <row r="26" spans="1:1">
      <c r="A26" s="21" t="s">
        <v>891</v>
      </c>
    </row>
    <row r="27" spans="1:1" ht="47.25">
      <c r="A27" s="24" t="s">
        <v>892</v>
      </c>
    </row>
    <row r="28" spans="1:1">
      <c r="A28" s="23" t="s">
        <v>893</v>
      </c>
    </row>
    <row r="29" spans="1:1" ht="31.5">
      <c r="A29" s="24" t="s">
        <v>894</v>
      </c>
    </row>
    <row r="30" spans="1:1">
      <c r="A30" s="21" t="s">
        <v>895</v>
      </c>
    </row>
    <row r="31" spans="1:1">
      <c r="A31" s="21" t="s">
        <v>896</v>
      </c>
    </row>
    <row r="32" spans="1:1">
      <c r="A32" s="21" t="s">
        <v>897</v>
      </c>
    </row>
    <row r="33" spans="1:1">
      <c r="A33" s="21" t="s">
        <v>898</v>
      </c>
    </row>
    <row r="34" spans="1:1">
      <c r="A34" s="21" t="s">
        <v>899</v>
      </c>
    </row>
    <row r="35" spans="1:1">
      <c r="A35" s="21" t="s">
        <v>900</v>
      </c>
    </row>
    <row r="36" spans="1:1">
      <c r="A36" s="21" t="s">
        <v>901</v>
      </c>
    </row>
    <row r="37" spans="1:1">
      <c r="A37" s="21" t="s">
        <v>902</v>
      </c>
    </row>
    <row r="38" spans="1:1">
      <c r="A38" s="21" t="s">
        <v>903</v>
      </c>
    </row>
    <row r="39" spans="1:1">
      <c r="A39" s="21" t="s">
        <v>904</v>
      </c>
    </row>
    <row r="40" spans="1:1">
      <c r="A40" s="21" t="s">
        <v>905</v>
      </c>
    </row>
    <row r="41" spans="1:1">
      <c r="A41" s="21" t="s">
        <v>906</v>
      </c>
    </row>
    <row r="42" spans="1:1">
      <c r="A42" s="21" t="s">
        <v>907</v>
      </c>
    </row>
    <row r="43" spans="1:1">
      <c r="A43" s="21" t="s">
        <v>908</v>
      </c>
    </row>
    <row r="44" spans="1:1">
      <c r="A44" s="21" t="s">
        <v>909</v>
      </c>
    </row>
    <row r="45" spans="1:1">
      <c r="A45" s="21" t="s">
        <v>910</v>
      </c>
    </row>
    <row r="46" spans="1:1">
      <c r="A46" s="21" t="s">
        <v>911</v>
      </c>
    </row>
    <row r="47" spans="1:1">
      <c r="A47" s="21" t="s">
        <v>912</v>
      </c>
    </row>
    <row r="48" spans="1:1" ht="37.5" customHeight="1">
      <c r="A48" s="24" t="s">
        <v>946</v>
      </c>
    </row>
    <row r="49" spans="1:1" ht="15.75" customHeight="1">
      <c r="A49" s="24"/>
    </row>
    <row r="51" spans="1:1">
      <c r="A51" s="535" t="s">
        <v>751</v>
      </c>
    </row>
    <row r="52" spans="1:1">
      <c r="A52" s="515" t="s">
        <v>752</v>
      </c>
    </row>
    <row r="54" spans="1:1">
      <c r="A54" s="535" t="s">
        <v>749</v>
      </c>
    </row>
    <row r="55" spans="1:1">
      <c r="A55" s="21" t="s">
        <v>750</v>
      </c>
    </row>
    <row r="57" spans="1:1">
      <c r="A57" s="535" t="s">
        <v>724</v>
      </c>
    </row>
    <row r="58" spans="1:1">
      <c r="A58" s="515" t="s">
        <v>684</v>
      </c>
    </row>
    <row r="59" spans="1:1">
      <c r="A59" s="515" t="s">
        <v>685</v>
      </c>
    </row>
    <row r="60" spans="1:1" ht="31.5">
      <c r="A60" s="498" t="s">
        <v>709</v>
      </c>
    </row>
    <row r="61" spans="1:1">
      <c r="A61" s="515" t="s">
        <v>686</v>
      </c>
    </row>
    <row r="62" spans="1:1">
      <c r="A62" s="515" t="s">
        <v>687</v>
      </c>
    </row>
    <row r="63" spans="1:1">
      <c r="A63" s="515" t="s">
        <v>688</v>
      </c>
    </row>
    <row r="64" spans="1:1">
      <c r="A64" s="515" t="s">
        <v>689</v>
      </c>
    </row>
    <row r="65" spans="1:1">
      <c r="A65" s="515" t="s">
        <v>690</v>
      </c>
    </row>
    <row r="66" spans="1:1">
      <c r="A66" s="515" t="s">
        <v>691</v>
      </c>
    </row>
    <row r="67" spans="1:1">
      <c r="A67" s="515" t="s">
        <v>692</v>
      </c>
    </row>
    <row r="68" spans="1:1">
      <c r="A68" s="515" t="s">
        <v>693</v>
      </c>
    </row>
    <row r="69" spans="1:1">
      <c r="A69" s="515" t="s">
        <v>694</v>
      </c>
    </row>
    <row r="70" spans="1:1">
      <c r="A70" s="515" t="s">
        <v>695</v>
      </c>
    </row>
    <row r="71" spans="1:1">
      <c r="A71" s="515" t="s">
        <v>696</v>
      </c>
    </row>
    <row r="72" spans="1:1">
      <c r="A72" s="515" t="s">
        <v>697</v>
      </c>
    </row>
    <row r="73" spans="1:1">
      <c r="A73" s="515" t="s">
        <v>698</v>
      </c>
    </row>
    <row r="74" spans="1:1">
      <c r="A74" s="515" t="s">
        <v>699</v>
      </c>
    </row>
    <row r="75" spans="1:1">
      <c r="A75" s="515" t="s">
        <v>700</v>
      </c>
    </row>
    <row r="76" spans="1:1">
      <c r="A76" s="515" t="s">
        <v>701</v>
      </c>
    </row>
    <row r="77" spans="1:1">
      <c r="A77" s="515" t="s">
        <v>702</v>
      </c>
    </row>
    <row r="78" spans="1:1">
      <c r="A78" s="515" t="s">
        <v>703</v>
      </c>
    </row>
    <row r="79" spans="1:1">
      <c r="A79" s="515" t="s">
        <v>704</v>
      </c>
    </row>
    <row r="80" spans="1:1">
      <c r="A80" s="515" t="s">
        <v>705</v>
      </c>
    </row>
    <row r="81" spans="1:1">
      <c r="A81" s="515" t="s">
        <v>706</v>
      </c>
    </row>
    <row r="82" spans="1:1">
      <c r="A82" s="515" t="s">
        <v>707</v>
      </c>
    </row>
    <row r="83" spans="1:1">
      <c r="A83" s="515" t="s">
        <v>708</v>
      </c>
    </row>
    <row r="84" spans="1:1">
      <c r="A84" s="515" t="s">
        <v>717</v>
      </c>
    </row>
    <row r="85" spans="1:1">
      <c r="A85" s="515" t="s">
        <v>718</v>
      </c>
    </row>
    <row r="86" spans="1:1">
      <c r="A86" s="515" t="s">
        <v>719</v>
      </c>
    </row>
    <row r="87" spans="1:1">
      <c r="A87" s="515" t="s">
        <v>720</v>
      </c>
    </row>
    <row r="88" spans="1:1">
      <c r="A88" s="515" t="s">
        <v>721</v>
      </c>
    </row>
    <row r="89" spans="1:1">
      <c r="A89" s="515" t="s">
        <v>722</v>
      </c>
    </row>
    <row r="90" spans="1:1">
      <c r="A90" s="515" t="s">
        <v>723</v>
      </c>
    </row>
    <row r="91" spans="1:1">
      <c r="A91" s="515" t="s">
        <v>730</v>
      </c>
    </row>
    <row r="92" spans="1:1">
      <c r="A92" s="515" t="s">
        <v>736</v>
      </c>
    </row>
    <row r="94" spans="1:1">
      <c r="A94" s="361" t="s">
        <v>585</v>
      </c>
    </row>
    <row r="95" spans="1:1">
      <c r="A95" s="21" t="s">
        <v>586</v>
      </c>
    </row>
    <row r="96" spans="1:1">
      <c r="A96" s="21" t="s">
        <v>587</v>
      </c>
    </row>
    <row r="97" spans="1:1">
      <c r="A97" s="21" t="s">
        <v>588</v>
      </c>
    </row>
    <row r="99" spans="1:1">
      <c r="A99" s="361" t="s">
        <v>575</v>
      </c>
    </row>
    <row r="100" spans="1:1">
      <c r="A100" s="21" t="s">
        <v>584</v>
      </c>
    </row>
    <row r="102" spans="1:1">
      <c r="A102" s="361" t="s">
        <v>398</v>
      </c>
    </row>
    <row r="103" spans="1:1">
      <c r="A103" s="360" t="s">
        <v>399</v>
      </c>
    </row>
    <row r="104" spans="1:1">
      <c r="A104" s="360" t="s">
        <v>400</v>
      </c>
    </row>
    <row r="105" spans="1:1">
      <c r="A105" s="360" t="s">
        <v>401</v>
      </c>
    </row>
    <row r="106" spans="1:1">
      <c r="A106" s="21" t="s">
        <v>573</v>
      </c>
    </row>
    <row r="108" spans="1:1">
      <c r="A108" s="338" t="s">
        <v>328</v>
      </c>
    </row>
    <row r="109" spans="1:1">
      <c r="A109" s="340" t="s">
        <v>378</v>
      </c>
    </row>
    <row r="110" spans="1:1">
      <c r="A110" s="21" t="s">
        <v>379</v>
      </c>
    </row>
    <row r="111" spans="1:1">
      <c r="A111" s="21" t="s">
        <v>380</v>
      </c>
    </row>
    <row r="112" spans="1:1" ht="21.75" customHeight="1">
      <c r="A112" s="24" t="s">
        <v>381</v>
      </c>
    </row>
    <row r="113" spans="1:1">
      <c r="A113" s="21" t="s">
        <v>382</v>
      </c>
    </row>
    <row r="114" spans="1:1">
      <c r="A114" s="21" t="s">
        <v>383</v>
      </c>
    </row>
    <row r="115" spans="1:1">
      <c r="A115" s="21" t="s">
        <v>384</v>
      </c>
    </row>
    <row r="116" spans="1:1">
      <c r="A116" s="21" t="s">
        <v>385</v>
      </c>
    </row>
    <row r="117" spans="1:1">
      <c r="A117" s="21" t="s">
        <v>386</v>
      </c>
    </row>
    <row r="118" spans="1:1">
      <c r="A118" s="21" t="s">
        <v>387</v>
      </c>
    </row>
    <row r="119" spans="1:1">
      <c r="A119" s="21" t="s">
        <v>388</v>
      </c>
    </row>
    <row r="121" spans="1:1">
      <c r="A121" s="338" t="s">
        <v>323</v>
      </c>
    </row>
    <row r="122" spans="1:1">
      <c r="A122" s="21" t="s">
        <v>324</v>
      </c>
    </row>
    <row r="124" spans="1:1">
      <c r="A124" s="338" t="s">
        <v>321</v>
      </c>
    </row>
    <row r="125" spans="1:1">
      <c r="A125" s="21" t="s">
        <v>322</v>
      </c>
    </row>
    <row r="127" spans="1:1">
      <c r="A127" s="338" t="s">
        <v>318</v>
      </c>
    </row>
    <row r="128" spans="1:1">
      <c r="A128" s="21" t="s">
        <v>319</v>
      </c>
    </row>
    <row r="129" spans="1:1">
      <c r="A129" s="21" t="s">
        <v>320</v>
      </c>
    </row>
    <row r="131" spans="1:1">
      <c r="A131" s="338" t="s">
        <v>36</v>
      </c>
    </row>
    <row r="132" spans="1:1">
      <c r="A132" s="21" t="s">
        <v>21</v>
      </c>
    </row>
    <row r="133" spans="1:1">
      <c r="A133" s="21" t="s">
        <v>22</v>
      </c>
    </row>
    <row r="134" spans="1:1">
      <c r="A134" s="21" t="s">
        <v>23</v>
      </c>
    </row>
    <row r="135" spans="1:1">
      <c r="A135" s="21" t="s">
        <v>30</v>
      </c>
    </row>
    <row r="136" spans="1:1">
      <c r="A136" s="21" t="s">
        <v>24</v>
      </c>
    </row>
    <row r="137" spans="1:1">
      <c r="A137" s="21" t="s">
        <v>25</v>
      </c>
    </row>
    <row r="138" spans="1:1" ht="31.5">
      <c r="A138" s="24" t="s">
        <v>31</v>
      </c>
    </row>
    <row r="139" spans="1:1" ht="31.5">
      <c r="A139" s="24" t="s">
        <v>26</v>
      </c>
    </row>
    <row r="140" spans="1:1">
      <c r="A140" s="24" t="s">
        <v>27</v>
      </c>
    </row>
    <row r="141" spans="1:1">
      <c r="A141" s="24" t="s">
        <v>28</v>
      </c>
    </row>
    <row r="142" spans="1:1" ht="31.5">
      <c r="A142" s="24" t="s">
        <v>311</v>
      </c>
    </row>
    <row r="143" spans="1:1">
      <c r="A143" s="21" t="s">
        <v>312</v>
      </c>
    </row>
    <row r="144" spans="1:1">
      <c r="A144" s="24" t="s">
        <v>29</v>
      </c>
    </row>
    <row r="145" spans="1:1">
      <c r="A145" s="21" t="s">
        <v>33</v>
      </c>
    </row>
    <row r="146" spans="1:1">
      <c r="A146" s="21" t="s">
        <v>34</v>
      </c>
    </row>
    <row r="147" spans="1:1">
      <c r="A147" s="21" t="s">
        <v>35</v>
      </c>
    </row>
    <row r="148" spans="1:1" ht="31.5">
      <c r="A148" s="24" t="s">
        <v>310</v>
      </c>
    </row>
    <row r="149" spans="1:1">
      <c r="A149" s="21" t="s">
        <v>309</v>
      </c>
    </row>
    <row r="150" spans="1:1" ht="31.5">
      <c r="A150" s="24" t="s">
        <v>308</v>
      </c>
    </row>
    <row r="151" spans="1:1">
      <c r="A151" s="21" t="s">
        <v>313</v>
      </c>
    </row>
    <row r="153" spans="1:1">
      <c r="A153" s="338" t="s">
        <v>40</v>
      </c>
    </row>
    <row r="154" spans="1:1">
      <c r="A154" s="21" t="s">
        <v>41</v>
      </c>
    </row>
    <row r="155" spans="1:1">
      <c r="A155" s="21" t="s">
        <v>42</v>
      </c>
    </row>
    <row r="156" spans="1:1">
      <c r="A156" s="21" t="s">
        <v>43</v>
      </c>
    </row>
    <row r="157" spans="1:1">
      <c r="A157" s="21" t="s">
        <v>32</v>
      </c>
    </row>
    <row r="160" spans="1:1">
      <c r="A160" s="338" t="s">
        <v>17</v>
      </c>
    </row>
    <row r="161" spans="1:1">
      <c r="A161" s="21" t="s">
        <v>18</v>
      </c>
    </row>
    <row r="163" spans="1:1">
      <c r="A163" s="338" t="s">
        <v>10</v>
      </c>
    </row>
    <row r="164" spans="1:1">
      <c r="A164" s="21" t="s">
        <v>11</v>
      </c>
    </row>
    <row r="165" spans="1:1">
      <c r="A165" s="21" t="s">
        <v>12</v>
      </c>
    </row>
    <row r="166" spans="1:1" ht="31.5">
      <c r="A166" s="24" t="s">
        <v>13</v>
      </c>
    </row>
    <row r="167" spans="1:1">
      <c r="A167" s="21" t="s">
        <v>14</v>
      </c>
    </row>
    <row r="168" spans="1:1">
      <c r="A168" s="21" t="s">
        <v>15</v>
      </c>
    </row>
    <row r="169" spans="1:1">
      <c r="A169" s="21" t="s">
        <v>16</v>
      </c>
    </row>
    <row r="171" spans="1:1" ht="18" customHeight="1">
      <c r="A171" s="338" t="s">
        <v>278</v>
      </c>
    </row>
    <row r="172" spans="1:1" ht="48.75" customHeight="1">
      <c r="A172" s="24" t="s">
        <v>314</v>
      </c>
    </row>
    <row r="173" spans="1:1">
      <c r="A173" s="21" t="s">
        <v>279</v>
      </c>
    </row>
    <row r="174" spans="1:1">
      <c r="A174" s="21" t="s">
        <v>280</v>
      </c>
    </row>
    <row r="175" spans="1:1">
      <c r="A175" s="21" t="s">
        <v>315</v>
      </c>
    </row>
    <row r="176" spans="1:1">
      <c r="A176" s="21" t="s">
        <v>281</v>
      </c>
    </row>
    <row r="177" spans="1:1">
      <c r="A177" s="21" t="s">
        <v>282</v>
      </c>
    </row>
    <row r="178" spans="1:1">
      <c r="A178" s="21" t="s">
        <v>831</v>
      </c>
    </row>
    <row r="179" spans="1:1">
      <c r="A179" s="21" t="s">
        <v>283</v>
      </c>
    </row>
    <row r="180" spans="1:1">
      <c r="A180" s="21" t="s">
        <v>284</v>
      </c>
    </row>
    <row r="181" spans="1:1" ht="31.5">
      <c r="A181" s="24" t="s">
        <v>285</v>
      </c>
    </row>
    <row r="182" spans="1:1" ht="31.5">
      <c r="A182" s="24" t="s">
        <v>839</v>
      </c>
    </row>
    <row r="183" spans="1:1">
      <c r="A183" s="21" t="s">
        <v>286</v>
      </c>
    </row>
    <row r="184" spans="1:1">
      <c r="A184" s="21" t="s">
        <v>287</v>
      </c>
    </row>
    <row r="185" spans="1:1">
      <c r="A185" s="21" t="s">
        <v>316</v>
      </c>
    </row>
    <row r="186" spans="1:1">
      <c r="A186" s="21" t="s">
        <v>288</v>
      </c>
    </row>
    <row r="187" spans="1:1">
      <c r="A187" s="21" t="s">
        <v>825</v>
      </c>
    </row>
    <row r="188" spans="1:1" ht="31.5">
      <c r="A188" s="24" t="s">
        <v>826</v>
      </c>
    </row>
    <row r="189" spans="1:1">
      <c r="A189" s="21" t="s">
        <v>298</v>
      </c>
    </row>
    <row r="190" spans="1:1">
      <c r="A190" s="21" t="s">
        <v>299</v>
      </c>
    </row>
    <row r="191" spans="1:1" ht="31.5">
      <c r="A191" s="24" t="s">
        <v>300</v>
      </c>
    </row>
    <row r="192" spans="1:1">
      <c r="A192" s="21" t="s">
        <v>848</v>
      </c>
    </row>
    <row r="193" spans="1:1">
      <c r="A193" s="21" t="s">
        <v>849</v>
      </c>
    </row>
    <row r="194" spans="1:1">
      <c r="A194" s="21" t="s">
        <v>850</v>
      </c>
    </row>
    <row r="195" spans="1:1">
      <c r="A195" s="21" t="s">
        <v>0</v>
      </c>
    </row>
    <row r="196" spans="1:1">
      <c r="A196" s="21" t="s">
        <v>1</v>
      </c>
    </row>
    <row r="197" spans="1:1">
      <c r="A197" s="21" t="s">
        <v>2</v>
      </c>
    </row>
    <row r="198" spans="1:1">
      <c r="A198" s="21" t="s">
        <v>3</v>
      </c>
    </row>
    <row r="199" spans="1:1">
      <c r="A199" s="21" t="s">
        <v>4</v>
      </c>
    </row>
    <row r="200" spans="1:1">
      <c r="A200" s="21" t="s">
        <v>5</v>
      </c>
    </row>
    <row r="201" spans="1:1">
      <c r="A201" s="21" t="s">
        <v>7</v>
      </c>
    </row>
    <row r="202" spans="1:1">
      <c r="A202" s="21" t="s">
        <v>8</v>
      </c>
    </row>
    <row r="203" spans="1:1">
      <c r="A203" s="21" t="s">
        <v>9</v>
      </c>
    </row>
    <row r="204" spans="1:1">
      <c r="A204" s="21" t="s">
        <v>6</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I103"/>
  <sheetViews>
    <sheetView tabSelected="1" topLeftCell="B1" zoomScaleNormal="100" workbookViewId="0">
      <selection activeCell="F58" sqref="F58"/>
    </sheetView>
  </sheetViews>
  <sheetFormatPr defaultRowHeight="15.75"/>
  <cols>
    <col min="1" max="1" width="8.88671875" style="95"/>
    <col min="2" max="2" width="24.33203125" style="34" customWidth="1"/>
    <col min="3" max="3" width="10.77734375" style="34" customWidth="1"/>
    <col min="4" max="4" width="5.77734375" style="34" customWidth="1"/>
    <col min="5" max="5" width="14" style="34" customWidth="1"/>
    <col min="6" max="6" width="13.33203125" style="34" customWidth="1"/>
    <col min="7" max="7" width="12.33203125" style="34" customWidth="1"/>
    <col min="8" max="16384" width="8.88671875" style="95"/>
  </cols>
  <sheetData>
    <row r="1" spans="2:9">
      <c r="B1" s="36"/>
      <c r="C1" s="36"/>
      <c r="D1" s="35" t="s">
        <v>140</v>
      </c>
      <c r="E1" s="36"/>
      <c r="F1" s="36"/>
      <c r="G1" s="127"/>
      <c r="I1" s="21">
        <f>inputPrYr!C5</f>
        <v>2013</v>
      </c>
    </row>
    <row r="2" spans="2:9">
      <c r="B2" s="935" t="str">
        <f>CONCATENATE("To the Clerk of ",(inputPrYr!D3),", State of Kansas")</f>
        <v>To the Clerk of Miami County, State of Kansas</v>
      </c>
      <c r="C2" s="923"/>
      <c r="D2" s="923"/>
      <c r="E2" s="923"/>
      <c r="F2" s="923"/>
      <c r="G2" s="923"/>
    </row>
    <row r="3" spans="2:9">
      <c r="B3" s="129" t="s">
        <v>589</v>
      </c>
      <c r="C3" s="45"/>
      <c r="D3" s="45"/>
      <c r="E3" s="45"/>
      <c r="F3" s="45"/>
      <c r="G3" s="45"/>
    </row>
    <row r="4" spans="2:9">
      <c r="B4" s="933" t="str">
        <f>(inputPrYr!D2)</f>
        <v>City of Osawatomie</v>
      </c>
      <c r="C4" s="934"/>
      <c r="D4" s="934"/>
      <c r="E4" s="934"/>
      <c r="F4" s="934"/>
      <c r="G4" s="934"/>
    </row>
    <row r="5" spans="2:9">
      <c r="B5" s="129" t="s">
        <v>53</v>
      </c>
      <c r="C5" s="45"/>
      <c r="D5" s="45"/>
      <c r="E5" s="45"/>
      <c r="F5" s="45"/>
      <c r="G5" s="45"/>
    </row>
    <row r="6" spans="2:9">
      <c r="B6" s="129" t="s">
        <v>54</v>
      </c>
      <c r="C6" s="45"/>
      <c r="D6" s="45"/>
      <c r="E6" s="45"/>
      <c r="F6" s="45"/>
      <c r="G6" s="45"/>
    </row>
    <row r="7" spans="2:9">
      <c r="B7" s="129" t="str">
        <f>CONCATENATE("maximum expenditures for the various funds for the year ",I1,"; and")</f>
        <v>maximum expenditures for the various funds for the year 2013; and</v>
      </c>
      <c r="C7" s="45"/>
      <c r="D7" s="45"/>
      <c r="E7" s="45"/>
      <c r="F7" s="45"/>
      <c r="G7" s="45"/>
    </row>
    <row r="8" spans="2:9">
      <c r="B8" s="129" t="str">
        <f>CONCATENATE("(3) the Amounts(s) of ",I1-1," Ad Valorem Tax are within statutory limitations.")</f>
        <v>(3) the Amounts(s) of 2012 Ad Valorem Tax are within statutory limitations.</v>
      </c>
      <c r="C8" s="45"/>
      <c r="D8" s="45"/>
      <c r="E8" s="45"/>
      <c r="F8" s="45"/>
      <c r="G8" s="45"/>
    </row>
    <row r="9" spans="2:9">
      <c r="B9" s="36"/>
      <c r="C9" s="36"/>
      <c r="D9" s="36"/>
      <c r="E9" s="130" t="str">
        <f>CONCATENATE("",I1," Adopted Budget")</f>
        <v>2013 Adopted Budget</v>
      </c>
      <c r="F9" s="131"/>
      <c r="G9" s="132"/>
    </row>
    <row r="10" spans="2:9" ht="21" customHeight="1">
      <c r="B10" s="36"/>
      <c r="C10" s="36"/>
      <c r="D10" s="133"/>
      <c r="E10" s="134" t="s">
        <v>55</v>
      </c>
      <c r="F10" s="135" t="str">
        <f>CONCATENATE("Amount of ",I1-1,"")</f>
        <v>Amount of 2012</v>
      </c>
      <c r="G10" s="135" t="s">
        <v>56</v>
      </c>
    </row>
    <row r="11" spans="2:9">
      <c r="B11" s="41"/>
      <c r="C11" s="36"/>
      <c r="D11" s="135" t="s">
        <v>57</v>
      </c>
      <c r="E11" s="439" t="s">
        <v>834</v>
      </c>
      <c r="F11" s="137" t="s">
        <v>250</v>
      </c>
      <c r="G11" s="136" t="s">
        <v>58</v>
      </c>
    </row>
    <row r="12" spans="2:9">
      <c r="B12" s="138" t="s">
        <v>59</v>
      </c>
      <c r="C12" s="60"/>
      <c r="D12" s="139" t="s">
        <v>60</v>
      </c>
      <c r="E12" s="440" t="s">
        <v>604</v>
      </c>
      <c r="F12" s="140" t="s">
        <v>251</v>
      </c>
      <c r="G12" s="139" t="s">
        <v>61</v>
      </c>
    </row>
    <row r="13" spans="2:9">
      <c r="B13" s="141" t="str">
        <f>CONCATENATE("Computation to Determine Limit for ",I1,"")</f>
        <v>Computation to Determine Limit for 2013</v>
      </c>
      <c r="C13" s="82"/>
      <c r="D13" s="142">
        <v>2</v>
      </c>
      <c r="E13" s="143"/>
      <c r="F13" s="143"/>
      <c r="G13" s="143"/>
    </row>
    <row r="14" spans="2:9">
      <c r="B14" s="141" t="s">
        <v>866</v>
      </c>
      <c r="C14" s="60"/>
      <c r="D14" s="139">
        <v>3</v>
      </c>
      <c r="E14" s="136"/>
      <c r="F14" s="136"/>
      <c r="G14" s="136"/>
    </row>
    <row r="15" spans="2:9">
      <c r="B15" s="141" t="s">
        <v>204</v>
      </c>
      <c r="C15" s="60"/>
      <c r="D15" s="139">
        <v>4</v>
      </c>
      <c r="E15" s="136"/>
      <c r="F15" s="136"/>
      <c r="G15" s="136"/>
    </row>
    <row r="16" spans="2:9">
      <c r="B16" s="141" t="s">
        <v>62</v>
      </c>
      <c r="C16" s="82"/>
      <c r="D16" s="142">
        <v>5</v>
      </c>
      <c r="E16" s="144"/>
      <c r="F16" s="144"/>
      <c r="G16" s="144"/>
    </row>
    <row r="17" spans="2:7">
      <c r="B17" s="141" t="s">
        <v>63</v>
      </c>
      <c r="C17" s="82"/>
      <c r="D17" s="142">
        <v>6</v>
      </c>
      <c r="E17" s="144"/>
      <c r="F17" s="144"/>
      <c r="G17" s="144"/>
    </row>
    <row r="18" spans="2:7" hidden="1">
      <c r="B18" s="276" t="str">
        <f>IF(inputPrYr!D19&gt;0,"Computation to Determine State Library Grant","")</f>
        <v>Computation to Determine State Library Grant</v>
      </c>
      <c r="C18" s="82"/>
      <c r="D18" s="142">
        <f>IF(inputPrYr!D19&gt;0,'Library Grant'!F40,"")</f>
        <v>7</v>
      </c>
      <c r="E18" s="144"/>
      <c r="F18" s="144"/>
      <c r="G18" s="144"/>
    </row>
    <row r="19" spans="2:7">
      <c r="B19" s="145" t="s">
        <v>64</v>
      </c>
      <c r="C19" s="146" t="s">
        <v>65</v>
      </c>
      <c r="D19" s="147"/>
      <c r="E19" s="148"/>
      <c r="F19" s="148"/>
      <c r="G19" s="148"/>
    </row>
    <row r="20" spans="2:7">
      <c r="B20" s="53" t="s">
        <v>48</v>
      </c>
      <c r="C20" s="149" t="str">
        <f>IF(inputPrYr!C17&gt;0,(inputPrYr!C17),"  ")</f>
        <v>12-101a</v>
      </c>
      <c r="D20" s="142">
        <f>general!C44</f>
        <v>7</v>
      </c>
      <c r="E20" s="850">
        <f>IF(general!$E$96&lt;&gt;0,general!$E$96,"  ")</f>
        <v>2140660.53865</v>
      </c>
      <c r="F20" s="863">
        <f>IF(general!$E$103&lt;&gt;0,general!$E$103,0)</f>
        <v>576535.32764999964</v>
      </c>
      <c r="G20" s="852">
        <f>IF($G$61=0,"",ROUND(F20/$G$61*1000,3))</f>
        <v>25.375</v>
      </c>
    </row>
    <row r="21" spans="2:7">
      <c r="B21" s="53" t="s">
        <v>19</v>
      </c>
      <c r="C21" s="149" t="str">
        <f>IF(inputPrYr!C18&gt;0,(inputPrYr!C18),"  ")</f>
        <v>10-113</v>
      </c>
      <c r="D21" s="142">
        <f>IF(DebtService!C54&gt;0,DebtService!C54,"  ")</f>
        <v>8</v>
      </c>
      <c r="E21" s="850">
        <f>IF(DebtService!E45&lt;&gt;0,DebtService!E45,"  ")</f>
        <v>812787.5</v>
      </c>
      <c r="F21" s="863">
        <f>IF(DebtService!E52&lt;&gt;0,DebtService!E52,0)</f>
        <v>237409.65000000002</v>
      </c>
      <c r="G21" s="852">
        <f t="shared" ref="G21:G32" si="0">IF($G$61=0,"",ROUND(F21/$G$61*1000,3))</f>
        <v>10.449</v>
      </c>
    </row>
    <row r="22" spans="2:7">
      <c r="B22" s="76" t="str">
        <f>IF(inputPrYr!$B19&gt;"  ",(inputPrYr!$B19),"  ")</f>
        <v>Library</v>
      </c>
      <c r="C22" s="149" t="str">
        <f>IF(inputPrYr!C19&gt;0,(inputPrYr!C19),"  ")</f>
        <v>12-1220</v>
      </c>
      <c r="D22" s="142">
        <f>IF('Library-Rec'!C73&gt;0,'Library-Rec'!C73,"  ")</f>
        <v>9</v>
      </c>
      <c r="E22" s="850">
        <f>IF('Library-Rec'!E29&lt;&gt;0,'Library-Rec'!E29,"  ")</f>
        <v>126000</v>
      </c>
      <c r="F22" s="850"/>
      <c r="G22" s="852">
        <f t="shared" si="0"/>
        <v>0</v>
      </c>
    </row>
    <row r="23" spans="2:7">
      <c r="B23" s="76" t="str">
        <f>IF(inputPrYr!$B21&gt;"  ",(inputPrYr!$B21),"  ")</f>
        <v>Industrial</v>
      </c>
      <c r="C23" s="149" t="str">
        <f>IF(inputPrYr!C21&gt;0,(inputPrYr!C21),"  ")</f>
        <v>12-1617h</v>
      </c>
      <c r="D23" s="142">
        <f>IF('Ind-EBF'!C80&gt;0,'Ind-EBF'!C80,"  ")</f>
        <v>10</v>
      </c>
      <c r="E23" s="850">
        <f>IF('Ind-EBF'!$E$31&gt;0,'Ind-EBF'!$E$31,"  ")</f>
        <v>41500</v>
      </c>
      <c r="F23" s="863">
        <f>IF('Ind-EBF'!$E$38&lt;&gt;0,'Ind-EBF'!$E$38,0)</f>
        <v>0</v>
      </c>
      <c r="G23" s="852">
        <f t="shared" si="0"/>
        <v>0</v>
      </c>
    </row>
    <row r="24" spans="2:7">
      <c r="B24" s="76" t="str">
        <f>IF(inputPrYr!$B22&gt;"  ",(inputPrYr!$B22),"  ")</f>
        <v>Employee Benefits</v>
      </c>
      <c r="C24" s="149" t="str">
        <f>IF(inputPrYr!C22&gt;0,(inputPrYr!C22),"  ")</f>
        <v>12-16,102</v>
      </c>
      <c r="D24" s="142">
        <f>IF('Ind-EBF'!C80&gt;0,'Ind-EBF'!C80,"  ")</f>
        <v>10</v>
      </c>
      <c r="E24" s="850">
        <f>IF('Ind-EBF'!$E$71&gt;0,'Ind-EBF'!$E$71,"  ")</f>
        <v>665751.90217539994</v>
      </c>
      <c r="F24" s="863">
        <f>IF('Ind-EBF'!$E$78&lt;&gt;0,'Ind-EBF'!$E$78,0)</f>
        <v>509687.6248220228</v>
      </c>
      <c r="G24" s="852">
        <f t="shared" si="0"/>
        <v>22.433</v>
      </c>
    </row>
    <row r="25" spans="2:7">
      <c r="B25" s="76" t="str">
        <f>IF(inputPrYr!$B23&gt;"  ",(inputPrYr!$B23),"  ")</f>
        <v>Public Safety Equipment</v>
      </c>
      <c r="C25" s="149" t="str">
        <f>IF(inputPrYr!C23&gt;0,(inputPrYr!C23),"  ")</f>
        <v>12-110b</v>
      </c>
      <c r="D25" s="142">
        <f>IF('PS Equip-REBF'!C75&gt;0,'PS Equip-REBF'!C75,"  ")</f>
        <v>11</v>
      </c>
      <c r="E25" s="850" t="str">
        <f>IF('PS Equip-REBF'!$E$30&gt;0,'PS Equip-REBF'!$E$30,"  ")</f>
        <v xml:space="preserve">  </v>
      </c>
      <c r="F25" s="863">
        <f>IF('PS Equip-REBF'!$E$37&lt;&gt;0,'PS Equip-REBF'!$E$37,0)</f>
        <v>0</v>
      </c>
      <c r="G25" s="852">
        <f t="shared" si="0"/>
        <v>0</v>
      </c>
    </row>
    <row r="26" spans="2:7">
      <c r="B26" s="76" t="str">
        <f>IF(inputPrYr!$B24&gt;"  ",(inputPrYr!$B24),"  ")</f>
        <v>Recreation Employee Benefits</v>
      </c>
      <c r="C26" s="149" t="str">
        <f>IF(inputPrYr!C24&gt;0,(inputPrYr!C24),"  ")</f>
        <v>12-16,102</v>
      </c>
      <c r="D26" s="142">
        <f>IF('PS Equip-REBF'!C75&gt;0,'PS Equip-REBF'!C75,"  ")</f>
        <v>11</v>
      </c>
      <c r="E26" s="850">
        <f>IF('PS Equip-REBF'!$E$66&gt;0,'PS Equip-REBF'!$E$66,"  ")</f>
        <v>2419</v>
      </c>
      <c r="F26" s="863">
        <f>IF('PS Equip-REBF'!$E$73&lt;&gt;0,'PS Equip-REBF'!$E$73,0)</f>
        <v>0</v>
      </c>
      <c r="G26" s="852">
        <f t="shared" si="0"/>
        <v>0</v>
      </c>
    </row>
    <row r="27" spans="2:7" hidden="1">
      <c r="B27" s="76" t="str">
        <f>IF(inputPrYr!$B25&gt;"  ",(inputPrYr!$B25),"  ")</f>
        <v xml:space="preserve">  </v>
      </c>
      <c r="C27" s="149" t="str">
        <f>IF(inputPrYr!C25&gt;0,(inputPrYr!C25),"  ")</f>
        <v xml:space="preserve">  </v>
      </c>
      <c r="D27" s="142" t="str">
        <f>IF('levy page11'!C82&gt;0,'levy page11'!C82,"  ")</f>
        <v xml:space="preserve">  </v>
      </c>
      <c r="E27" s="850" t="str">
        <f>IF('levy page11'!$E$33&gt;0,'levy page11'!$E$33,"  ")</f>
        <v xml:space="preserve">  </v>
      </c>
      <c r="F27" s="863">
        <f>IF('levy page11'!$E$40&lt;&gt;0,'levy page11'!$E$40,0)</f>
        <v>0</v>
      </c>
      <c r="G27" s="852">
        <f t="shared" si="0"/>
        <v>0</v>
      </c>
    </row>
    <row r="28" spans="2:7" hidden="1">
      <c r="B28" s="76" t="str">
        <f>IF(inputPrYr!$B26&gt;"  ",(inputPrYr!$B26),"  ")</f>
        <v xml:space="preserve">  </v>
      </c>
      <c r="C28" s="149" t="str">
        <f>IF(inputPrYr!C26&gt;0,(inputPrYr!C26),"  ")</f>
        <v xml:space="preserve">  </v>
      </c>
      <c r="D28" s="142" t="str">
        <f>IF('levy page11'!C82&gt;0,'levy page11'!C82,"  ")</f>
        <v xml:space="preserve">  </v>
      </c>
      <c r="E28" s="850" t="str">
        <f>IF('levy page11'!$E$73&gt;0,'levy page11'!$E$73,"  ")</f>
        <v xml:space="preserve">  </v>
      </c>
      <c r="F28" s="863">
        <f>IF('levy page11'!$E$80&lt;&gt;0,'levy page11'!$E$80,0)</f>
        <v>0</v>
      </c>
      <c r="G28" s="852">
        <f t="shared" si="0"/>
        <v>0</v>
      </c>
    </row>
    <row r="29" spans="2:7" hidden="1">
      <c r="B29" s="76" t="str">
        <f>IF(inputPrYr!$B27&gt;"  ",(inputPrYr!$B27),"  ")</f>
        <v xml:space="preserve">  </v>
      </c>
      <c r="C29" s="149" t="str">
        <f>IF(inputPrYr!C27&gt;0,(inputPrYr!C27),"  ")</f>
        <v xml:space="preserve">  </v>
      </c>
      <c r="D29" s="142" t="str">
        <f>IF('levy page12'!C82&gt;0,'levy page12'!C82,"  ")</f>
        <v xml:space="preserve">  </v>
      </c>
      <c r="E29" s="850" t="str">
        <f>IF('levy page12'!$E$33&gt;0,'levy page12'!$E$33,"  ")</f>
        <v xml:space="preserve">  </v>
      </c>
      <c r="F29" s="863">
        <f>IF('levy page12'!$E$40&lt;&gt;0,'levy page12'!$E$40,0)</f>
        <v>0</v>
      </c>
      <c r="G29" s="852">
        <f t="shared" si="0"/>
        <v>0</v>
      </c>
    </row>
    <row r="30" spans="2:7" hidden="1">
      <c r="B30" s="76" t="str">
        <f>IF(inputPrYr!$B28&gt;"  ",(inputPrYr!$B28),"  ")</f>
        <v xml:space="preserve">  </v>
      </c>
      <c r="C30" s="149" t="str">
        <f>IF(inputPrYr!C28&gt;0,(inputPrYr!C28),"  ")</f>
        <v xml:space="preserve">  </v>
      </c>
      <c r="D30" s="142" t="str">
        <f>IF('levy page12'!C82&gt;0,'levy page12'!C82,"  ")</f>
        <v xml:space="preserve">  </v>
      </c>
      <c r="E30" s="850" t="str">
        <f>IF('levy page12'!$E$73&gt;0,'levy page12'!$E$73,"  ")</f>
        <v xml:space="preserve">  </v>
      </c>
      <c r="F30" s="863">
        <f>IF('levy page12'!$E$80&lt;&gt;0,'levy page12'!$E$80,0)</f>
        <v>0</v>
      </c>
      <c r="G30" s="852">
        <f t="shared" si="0"/>
        <v>0</v>
      </c>
    </row>
    <row r="31" spans="2:7" hidden="1">
      <c r="B31" s="76" t="str">
        <f>IF(inputPrYr!$B29&gt;"  ",(inputPrYr!$B29),"  ")</f>
        <v xml:space="preserve">  </v>
      </c>
      <c r="C31" s="149" t="str">
        <f>IF(inputPrYr!C29&gt;0,(inputPrYr!C29),"  ")</f>
        <v xml:space="preserve">  </v>
      </c>
      <c r="D31" s="142" t="str">
        <f>IF('levy page13'!C82&gt;0,'levy page13'!C82,"  ")</f>
        <v xml:space="preserve">  </v>
      </c>
      <c r="E31" s="850" t="str">
        <f>IF('levy page13'!$E$33&gt;0,'levy page13'!$E$33,"  ")</f>
        <v xml:space="preserve">  </v>
      </c>
      <c r="F31" s="863">
        <f>IF('levy page13'!$E$40&lt;&gt;0,'levy page13'!$E$40,0)</f>
        <v>0</v>
      </c>
      <c r="G31" s="852">
        <f t="shared" si="0"/>
        <v>0</v>
      </c>
    </row>
    <row r="32" spans="2:7" hidden="1">
      <c r="B32" s="76" t="str">
        <f>IF(inputPrYr!$B30&gt;"  ",(inputPrYr!$B30),"  ")</f>
        <v xml:space="preserve">  </v>
      </c>
      <c r="C32" s="149" t="str">
        <f>IF(inputPrYr!C30&gt;0,(inputPrYr!C30),"  ")</f>
        <v xml:space="preserve">  </v>
      </c>
      <c r="D32" s="142" t="str">
        <f>IF('levy page13'!C82&gt;0,'levy page13'!C82,"  ")</f>
        <v xml:space="preserve">  </v>
      </c>
      <c r="E32" s="850" t="str">
        <f>IF('levy page13'!$E$73&gt;0,'levy page13'!$E$73,"  ")</f>
        <v xml:space="preserve">  </v>
      </c>
      <c r="F32" s="863">
        <f>IF('levy page13'!$E$80&lt;&gt;0,'levy page13'!$E$80,0)</f>
        <v>0</v>
      </c>
      <c r="G32" s="852">
        <f t="shared" si="0"/>
        <v>0</v>
      </c>
    </row>
    <row r="33" spans="2:7">
      <c r="B33" s="150" t="str">
        <f>IF(inputPrYr!$B36&gt;"  ",(inputPrYr!$B36),"  ")</f>
        <v>Street Improvements</v>
      </c>
      <c r="C33" s="151"/>
      <c r="D33" s="152">
        <f>IF('St Imp-Refuse'!C60&gt;0,'St Imp-Refuse'!C60,"  ")</f>
        <v>12</v>
      </c>
      <c r="E33" s="850">
        <f>IF('St Imp-Refuse'!$E$30&gt;0,'St Imp-Refuse'!$E$30,"  ")</f>
        <v>129000</v>
      </c>
      <c r="F33" s="850"/>
      <c r="G33" s="864"/>
    </row>
    <row r="34" spans="2:7">
      <c r="B34" s="150" t="str">
        <f>IF(inputPrYr!$B37&gt;"  ",(inputPrYr!$B37),"  ")</f>
        <v>Refuse</v>
      </c>
      <c r="C34" s="151"/>
      <c r="D34" s="152">
        <f>IF('St Imp-Refuse'!C60&gt;0,'St Imp-Refuse'!C60,"  ")</f>
        <v>12</v>
      </c>
      <c r="E34" s="850">
        <f>IF('St Imp-Refuse'!$E$54&gt;0,'St Imp-Refuse'!$E$54,"  ")</f>
        <v>376700</v>
      </c>
      <c r="F34" s="850"/>
      <c r="G34" s="864"/>
    </row>
    <row r="35" spans="2:7">
      <c r="B35" s="150" t="str">
        <f>IF(inputPrYr!$B38&gt;"  ",(inputPrYr!$B38),"  ")</f>
        <v>Golf Course</v>
      </c>
      <c r="C35" s="153"/>
      <c r="D35" s="152">
        <f>IF('Golf-911'!C60&gt;0,'Golf-911'!C60,"  ")</f>
        <v>13</v>
      </c>
      <c r="E35" s="850">
        <f>IF('Golf-911'!$E$31&gt;0,'Golf-911'!$E$31,"  ")</f>
        <v>249089.76427500002</v>
      </c>
      <c r="F35" s="850"/>
      <c r="G35" s="864"/>
    </row>
    <row r="36" spans="2:7">
      <c r="B36" s="150" t="str">
        <f>IF(inputPrYr!$B39&gt;"  ",(inputPrYr!$B39),"  ")</f>
        <v>Special Revenue (911)</v>
      </c>
      <c r="C36" s="151"/>
      <c r="D36" s="152">
        <f>IF('Golf-911'!C60&gt;0,'Golf-911'!C60,"  ")</f>
        <v>13</v>
      </c>
      <c r="E36" s="850">
        <f>IF('Golf-911'!$E$54&gt;0,'Golf-911'!$E$54,"  ")</f>
        <v>9897</v>
      </c>
      <c r="F36" s="850"/>
      <c r="G36" s="864"/>
    </row>
    <row r="37" spans="2:7">
      <c r="B37" s="150" t="str">
        <f>IF(inputPrYr!$B40&gt;"  ",(inputPrYr!$B40),"  ")</f>
        <v>Tourism</v>
      </c>
      <c r="C37" s="153"/>
      <c r="D37" s="152">
        <f>IF(Tourism!C65&gt;0,Tourism!C65,"  ")</f>
        <v>14</v>
      </c>
      <c r="E37" s="850">
        <f>IF(Tourism!$E$35&gt;0,Tourism!$E$35,"  ")</f>
        <v>46250</v>
      </c>
      <c r="F37" s="850"/>
      <c r="G37" s="864"/>
    </row>
    <row r="38" spans="2:7" hidden="1">
      <c r="B38" s="150" t="str">
        <f>IF(inputPrYr!$B41&gt;"  ",(inputPrYr!$B41),"  ")</f>
        <v xml:space="preserve">  </v>
      </c>
      <c r="C38" s="154"/>
      <c r="D38" s="152">
        <f>IF(Tourism!C65&gt;0,Tourism!C65,"  ")</f>
        <v>14</v>
      </c>
      <c r="E38" s="850" t="str">
        <f>IF(Tourism!$E$59&gt;0,Tourism!$E$59,"  ")</f>
        <v xml:space="preserve">  </v>
      </c>
      <c r="F38" s="850"/>
      <c r="G38" s="864"/>
    </row>
    <row r="39" spans="2:7" hidden="1">
      <c r="B39" s="150" t="str">
        <f>IF(inputPrYr!$B42&gt;"  ",(inputPrYr!$B42),"  ")</f>
        <v xml:space="preserve">  </v>
      </c>
      <c r="C39" s="154"/>
      <c r="D39" s="152" t="str">
        <f>IF('levy 7'!C60&gt;0,'levy 7'!C60,"  ")</f>
        <v xml:space="preserve">  </v>
      </c>
      <c r="E39" s="850" t="str">
        <f>IF('levy 7'!$E$23&gt;0,'levy 7'!$E$23,"  ")</f>
        <v xml:space="preserve">  </v>
      </c>
      <c r="F39" s="850"/>
      <c r="G39" s="864"/>
    </row>
    <row r="40" spans="2:7" hidden="1">
      <c r="B40" s="150" t="str">
        <f>IF(inputPrYr!$B43&gt;"  ",(inputPrYr!$B43),"  ")</f>
        <v xml:space="preserve">  </v>
      </c>
      <c r="C40" s="154"/>
      <c r="D40" s="152" t="str">
        <f>IF('levy 7'!C60&gt;0,'levy 7'!C60,"  ")</f>
        <v xml:space="preserve">  </v>
      </c>
      <c r="E40" s="850" t="str">
        <f>IF('levy 7'!$E$54&gt;0,'levy 7'!$E$54,"  ")</f>
        <v xml:space="preserve">  </v>
      </c>
      <c r="F40" s="850"/>
      <c r="G40" s="864"/>
    </row>
    <row r="41" spans="2:7" hidden="1">
      <c r="B41" s="150" t="str">
        <f>IF(inputPrYr!$B44&gt;"  ",(inputPrYr!$B44),"  ")</f>
        <v xml:space="preserve">  </v>
      </c>
      <c r="C41" s="151"/>
      <c r="D41" s="152" t="str">
        <f>IF('Levy 8'!C53&gt;0,'Levy 8'!C53,"  ")</f>
        <v xml:space="preserve">  </v>
      </c>
      <c r="E41" s="850" t="str">
        <f>IF('Levy 8'!$E$23&gt;0,'Levy 8'!$E$23,"  ")</f>
        <v xml:space="preserve">  </v>
      </c>
      <c r="F41" s="850"/>
      <c r="G41" s="864"/>
    </row>
    <row r="42" spans="2:7" hidden="1">
      <c r="B42" s="150" t="str">
        <f>IF(inputPrYr!$B45&gt;"  ",(inputPrYr!$B45),"  ")</f>
        <v xml:space="preserve">  </v>
      </c>
      <c r="C42" s="151"/>
      <c r="D42" s="152" t="str">
        <f>IF('Levy 8'!C53&gt;0,'Levy 8'!C53,"  ")</f>
        <v xml:space="preserve">  </v>
      </c>
      <c r="E42" s="850" t="str">
        <f>IF('Levy 8'!$E$47&gt;0,'Levy 8'!$E$47,"  ")</f>
        <v xml:space="preserve">  </v>
      </c>
      <c r="F42" s="850"/>
      <c r="G42" s="864"/>
    </row>
    <row r="43" spans="2:7" hidden="1">
      <c r="B43" s="150" t="str">
        <f>IF(inputPrYr!$B46&gt;"  ",(inputPrYr!$B46),"  ")</f>
        <v xml:space="preserve">  </v>
      </c>
      <c r="C43" s="151"/>
      <c r="D43" s="152" t="str">
        <f>IF(levy9!C58&gt;0,levy9!C58,"  ")</f>
        <v xml:space="preserve">  </v>
      </c>
      <c r="E43" s="850" t="str">
        <f>IF(levy9!$E$21&gt;0,levy9!$E$21,"  ")</f>
        <v xml:space="preserve">  </v>
      </c>
      <c r="F43" s="850"/>
      <c r="G43" s="864"/>
    </row>
    <row r="44" spans="2:7" hidden="1">
      <c r="B44" s="150" t="str">
        <f>IF(inputPrYr!$B47&gt;"  ",(inputPrYr!$B47),"  ")</f>
        <v xml:space="preserve">  </v>
      </c>
      <c r="C44" s="151"/>
      <c r="D44" s="152" t="str">
        <f>IF(levy9!C58&gt;0,levy9!C58,"  ")</f>
        <v xml:space="preserve">  </v>
      </c>
      <c r="E44" s="850" t="str">
        <f>IF(levy9!$E$52&gt;0,levy9!$E$52,"  ")</f>
        <v xml:space="preserve">  </v>
      </c>
      <c r="F44" s="850"/>
      <c r="G44" s="864"/>
    </row>
    <row r="45" spans="2:7" hidden="1">
      <c r="B45" s="150" t="str">
        <f>IF(inputPrYr!$B48&gt;"  ",(inputPrYr!$B48),"  ")</f>
        <v xml:space="preserve">  </v>
      </c>
      <c r="C45" s="151"/>
      <c r="D45" s="152" t="str">
        <f>IF(levy10!C67&gt;0,levy10!C67,"  ")</f>
        <v xml:space="preserve">  </v>
      </c>
      <c r="E45" s="850" t="str">
        <f>IF(levy10!$E$30&gt;0,levy10!$E$30,"  ")</f>
        <v xml:space="preserve">  </v>
      </c>
      <c r="F45" s="850"/>
      <c r="G45" s="864"/>
    </row>
    <row r="46" spans="2:7" hidden="1">
      <c r="B46" s="150" t="str">
        <f>IF(inputPrYr!$B49&gt;"  ",(inputPrYr!$B49),"  ")</f>
        <v xml:space="preserve">  </v>
      </c>
      <c r="C46" s="151"/>
      <c r="D46" s="152" t="str">
        <f>IF(levy10!C67&gt;0,levy10!C67,"  ")</f>
        <v xml:space="preserve">  </v>
      </c>
      <c r="E46" s="850" t="str">
        <f>IF(levy10!$E$61&gt;0,levy10!$E$61,"  ")</f>
        <v xml:space="preserve">  </v>
      </c>
      <c r="F46" s="850"/>
      <c r="G46" s="864"/>
    </row>
    <row r="47" spans="2:7" hidden="1">
      <c r="B47" s="150" t="str">
        <f>IF(inputPrYr!$B50&gt;"  ",(inputPrYr!$B50),"  ")</f>
        <v xml:space="preserve">  </v>
      </c>
      <c r="C47" s="153"/>
      <c r="D47" s="152" t="str">
        <f>IF('no levy page21'!C67&gt;0,'no levy page21'!C67,"  ")</f>
        <v xml:space="preserve">  </v>
      </c>
      <c r="E47" s="850" t="str">
        <f>IF('no levy page21'!$E$30&gt;0,'no levy page21'!$E$30,"  ")</f>
        <v xml:space="preserve">  </v>
      </c>
      <c r="F47" s="850"/>
      <c r="G47" s="864"/>
    </row>
    <row r="48" spans="2:7" hidden="1">
      <c r="B48" s="150" t="str">
        <f>IF(inputPrYr!$B51&gt;"  ",(inputPrYr!$B51),"  ")</f>
        <v xml:space="preserve">  </v>
      </c>
      <c r="C48" s="154"/>
      <c r="D48" s="152" t="str">
        <f>IF('no levy page21'!C67&gt;0,'no levy page21'!C67,"  ")</f>
        <v xml:space="preserve">  </v>
      </c>
      <c r="E48" s="850" t="str">
        <f>IF('no levy page21'!$E$61&gt;0,'no levy page21'!$E$61,"  ")</f>
        <v xml:space="preserve">  </v>
      </c>
      <c r="F48" s="850"/>
      <c r="G48" s="864"/>
    </row>
    <row r="49" spans="2:8">
      <c r="B49" s="150" t="str">
        <f>IF(inputPrYr!$B53&gt;"  ",(inputPrYr!$B53),"  ")</f>
        <v>Water</v>
      </c>
      <c r="C49" s="151"/>
      <c r="D49" s="152">
        <f>IF(Water!C51&gt;0,Water!C51,"  ")</f>
        <v>15</v>
      </c>
      <c r="E49" s="850">
        <f>IF(Water!$E$45&gt;0,Water!$E$45,"  ")</f>
        <v>814796.38343325001</v>
      </c>
      <c r="F49" s="850"/>
      <c r="G49" s="864"/>
    </row>
    <row r="50" spans="2:8">
      <c r="B50" s="150" t="str">
        <f>IF(inputPrYr!$B54&gt;"  ",(inputPrYr!$B54),"  ")</f>
        <v>Electric</v>
      </c>
      <c r="C50" s="151"/>
      <c r="D50" s="152">
        <f>IF(Elec!C58&gt;0,Elec!C58,"  ")</f>
        <v>16</v>
      </c>
      <c r="E50" s="850">
        <f>IF(Elec!$E$52&gt;0,Elec!$E$52,"  ")</f>
        <v>4017520.1732245055</v>
      </c>
      <c r="F50" s="850"/>
      <c r="G50" s="864"/>
    </row>
    <row r="51" spans="2:8">
      <c r="B51" s="150" t="str">
        <f>IF(inputPrYr!$B55&gt;"  ",(inputPrYr!$B55),"  ")</f>
        <v>Sewer</v>
      </c>
      <c r="C51" s="153"/>
      <c r="D51" s="152">
        <f>IF(Sewer!C33&gt;0,Sewer!C33,"  ")</f>
        <v>17</v>
      </c>
      <c r="E51" s="850">
        <f>IF(Sewer!$E$27&gt;0,Sewer!$E$27,"  ")</f>
        <v>836249.47172809998</v>
      </c>
      <c r="F51" s="850"/>
      <c r="G51" s="864"/>
    </row>
    <row r="52" spans="2:8">
      <c r="B52" s="150" t="str">
        <f>IF(inputPrYr!$B56&gt;"  ",(inputPrYr!$B56),"  ")</f>
        <v>Special Parks &amp; Recreation</v>
      </c>
      <c r="C52" s="151"/>
      <c r="D52" s="152">
        <f>IF('SP&amp;R'!C43&gt;0,'SP&amp;R'!C43,"  ")</f>
        <v>18</v>
      </c>
      <c r="E52" s="850">
        <f>IF('SP&amp;R'!$E$37&gt;0,'SP&amp;R'!$E$37,"  ")</f>
        <v>240278.39999999999</v>
      </c>
      <c r="F52" s="850"/>
      <c r="G52" s="864"/>
    </row>
    <row r="53" spans="2:8">
      <c r="B53" s="150" t="str">
        <f>IF(inputPrYr!$B59&gt;"  ",('CIP Funds'!$A3),"  ")</f>
        <v>Non-Budgeted CIP Funds</v>
      </c>
      <c r="C53" s="154"/>
      <c r="D53" s="152">
        <f>IF('CIP Funds'!F27&gt;0,'CIP Funds'!F27,"  ")</f>
        <v>19</v>
      </c>
      <c r="E53" s="850"/>
      <c r="F53" s="850"/>
      <c r="G53" s="864"/>
    </row>
    <row r="54" spans="2:8">
      <c r="B54" s="150" t="str">
        <f>IF(inputPrYr!$B65&gt;"  ",('Agency Funds1'!$A3),"  ")</f>
        <v>Non-Budgeted Agency Funds 1</v>
      </c>
      <c r="C54" s="154"/>
      <c r="D54" s="152">
        <f>IF('Agency Funds1'!F27&gt;0,'Agency Funds1'!F27,"  ")</f>
        <v>20</v>
      </c>
      <c r="E54" s="850"/>
      <c r="F54" s="850"/>
      <c r="G54" s="864"/>
    </row>
    <row r="55" spans="2:8">
      <c r="B55" s="150" t="str">
        <f>IF(inputPrYr!$B71&gt;"  ",('Agency Funds2'!$A3),"  ")</f>
        <v>Non-Budgeted Agency Funds 2</v>
      </c>
      <c r="C55" s="151"/>
      <c r="D55" s="152">
        <f>IF('Agency Funds2'!F27&gt;0,'Agency Funds2'!F27,"  ")</f>
        <v>21</v>
      </c>
      <c r="E55" s="850"/>
      <c r="F55" s="850"/>
      <c r="G55" s="864"/>
    </row>
    <row r="56" spans="2:8" ht="16.5" thickBot="1">
      <c r="B56" s="150" t="str">
        <f>IF(inputPrYr!$B77&gt;"  ",(NonBudD!$A3),"  ")</f>
        <v xml:space="preserve">  </v>
      </c>
      <c r="C56" s="153"/>
      <c r="D56" s="152" t="str">
        <f>IF(NonBudD!F33&gt;0,NonBudD!F33,"  ")</f>
        <v xml:space="preserve">  </v>
      </c>
      <c r="E56" s="865"/>
      <c r="F56" s="865"/>
      <c r="G56" s="866"/>
    </row>
    <row r="57" spans="2:8">
      <c r="B57" s="404" t="s">
        <v>598</v>
      </c>
      <c r="C57" s="82"/>
      <c r="D57" s="251" t="s">
        <v>67</v>
      </c>
      <c r="E57" s="867">
        <f>SUM(E20:E56)</f>
        <v>10508900.133486256</v>
      </c>
      <c r="F57" s="867">
        <f>SUM(F20:F56)</f>
        <v>1323632.6024720224</v>
      </c>
      <c r="G57" s="868">
        <f>IF(SUM(G20:G56)=0,"",SUM(G20:G56))</f>
        <v>58.256999999999998</v>
      </c>
    </row>
    <row r="58" spans="2:8">
      <c r="B58" s="141" t="str">
        <f>inputPrYr!B33</f>
        <v>Recreation</v>
      </c>
      <c r="C58" s="375" t="s">
        <v>597</v>
      </c>
      <c r="D58" s="142">
        <f>IF('Library-Rec'!C73&gt;0,'Library-Rec'!C73,"  ")</f>
        <v>9</v>
      </c>
      <c r="E58" s="850">
        <f>IF('Library-Rec'!E64&lt;&gt;0,'Library-Rec'!E64,"  ")</f>
        <v>13456</v>
      </c>
      <c r="F58" s="850"/>
      <c r="G58" s="852">
        <f>IF($G$61=0,0,ROUND(F58/$G$61*1000,3))</f>
        <v>0</v>
      </c>
      <c r="H58" s="21" t="str">
        <f>IF(G58&gt;inputOth!E6,"Exceed Limit","")</f>
        <v/>
      </c>
    </row>
    <row r="59" spans="2:8" ht="16.5" thickBot="1">
      <c r="B59" s="432" t="s">
        <v>599</v>
      </c>
      <c r="C59" s="433"/>
      <c r="D59" s="251" t="s">
        <v>67</v>
      </c>
      <c r="E59" s="869">
        <f>SUM(E57:E58)</f>
        <v>10522356.133486256</v>
      </c>
      <c r="F59" s="869">
        <f>SUM(F57:F58)</f>
        <v>1323632.6024720224</v>
      </c>
      <c r="G59" s="870" t="s">
        <v>594</v>
      </c>
    </row>
    <row r="60" spans="2:8" ht="16.5" thickTop="1">
      <c r="B60" s="155" t="s">
        <v>304</v>
      </c>
      <c r="C60" s="156"/>
      <c r="D60" s="157"/>
      <c r="E60" s="158"/>
      <c r="F60" s="159" t="str">
        <f>IF(F57&gt;computation!J40,"Yes","No")</f>
        <v>Yes</v>
      </c>
      <c r="G60" s="431" t="s">
        <v>208</v>
      </c>
    </row>
    <row r="61" spans="2:8">
      <c r="B61" s="141" t="s">
        <v>303</v>
      </c>
      <c r="C61" s="82"/>
      <c r="D61" s="142">
        <f>summ!D73</f>
        <v>22</v>
      </c>
      <c r="E61" s="36"/>
      <c r="F61" s="36"/>
      <c r="G61" s="541">
        <v>22720472</v>
      </c>
    </row>
    <row r="62" spans="2:8">
      <c r="B62" s="141" t="s">
        <v>837</v>
      </c>
      <c r="C62" s="82"/>
      <c r="D62" s="142" t="str">
        <f>IF(nhood!C40&gt;0,nhood!C40,"")</f>
        <v/>
      </c>
      <c r="E62" s="36"/>
      <c r="F62" s="36"/>
      <c r="G62" s="938" t="str">
        <f>CONCATENATE("Nov 1, ",I1-1," Total Assessed Valuation")</f>
        <v>Nov 1, 2012 Total Assessed Valuation</v>
      </c>
    </row>
    <row r="63" spans="2:8">
      <c r="B63" s="64" t="s">
        <v>68</v>
      </c>
      <c r="C63" s="65"/>
      <c r="D63" s="65"/>
      <c r="E63" s="65"/>
      <c r="F63" s="65"/>
      <c r="G63" s="939"/>
    </row>
    <row r="64" spans="2:8">
      <c r="B64" s="342"/>
      <c r="C64" s="65"/>
      <c r="D64" s="36"/>
      <c r="E64" s="280"/>
      <c r="F64" s="65"/>
      <c r="G64" s="65"/>
    </row>
    <row r="65" spans="2:7">
      <c r="B65" s="343"/>
      <c r="C65" s="65"/>
      <c r="D65" s="65" t="s">
        <v>865</v>
      </c>
      <c r="E65" s="280"/>
      <c r="F65" s="65"/>
      <c r="G65" s="65"/>
    </row>
    <row r="66" spans="2:7">
      <c r="B66" s="64" t="s">
        <v>220</v>
      </c>
      <c r="C66" s="36"/>
      <c r="D66" s="64"/>
      <c r="E66" s="280"/>
      <c r="F66" s="65"/>
      <c r="G66" s="65"/>
    </row>
    <row r="67" spans="2:7">
      <c r="B67" s="342"/>
      <c r="C67" s="65"/>
      <c r="D67" s="65" t="s">
        <v>865</v>
      </c>
      <c r="E67" s="280"/>
      <c r="F67" s="280"/>
      <c r="G67" s="280"/>
    </row>
    <row r="68" spans="2:7">
      <c r="B68" s="343"/>
      <c r="C68" s="160"/>
      <c r="D68" s="65"/>
      <c r="E68" s="65"/>
      <c r="F68" s="752"/>
      <c r="G68" s="752"/>
    </row>
    <row r="69" spans="2:7">
      <c r="B69" s="66" t="s">
        <v>864</v>
      </c>
      <c r="C69" s="160"/>
      <c r="D69" s="65" t="s">
        <v>865</v>
      </c>
      <c r="E69" s="65"/>
      <c r="F69" s="753"/>
      <c r="G69" s="753"/>
    </row>
    <row r="70" spans="2:7">
      <c r="B70" s="342"/>
      <c r="C70" s="161"/>
      <c r="D70" s="65"/>
      <c r="E70" s="65"/>
      <c r="F70" s="752"/>
      <c r="G70" s="752"/>
    </row>
    <row r="71" spans="2:7">
      <c r="B71" s="280"/>
      <c r="C71" s="161"/>
      <c r="D71" s="65" t="s">
        <v>865</v>
      </c>
      <c r="E71" s="65"/>
      <c r="F71" s="753"/>
      <c r="G71" s="753"/>
    </row>
    <row r="72" spans="2:7">
      <c r="B72" s="41" t="s">
        <v>830</v>
      </c>
      <c r="C72" s="162">
        <f>I1-1</f>
        <v>2012</v>
      </c>
      <c r="D72" s="65"/>
      <c r="E72" s="65"/>
      <c r="F72" s="754"/>
      <c r="G72" s="65"/>
    </row>
    <row r="73" spans="2:7">
      <c r="B73" s="133"/>
      <c r="C73" s="36"/>
      <c r="D73" s="65" t="s">
        <v>865</v>
      </c>
      <c r="E73" s="65"/>
      <c r="F73" s="65"/>
      <c r="G73" s="65"/>
    </row>
    <row r="74" spans="2:7">
      <c r="B74" s="128" t="s">
        <v>70</v>
      </c>
      <c r="C74" s="36"/>
      <c r="D74" s="936" t="s">
        <v>69</v>
      </c>
      <c r="E74" s="937"/>
      <c r="F74" s="937"/>
      <c r="G74" s="937"/>
    </row>
    <row r="75" spans="2:7">
      <c r="B75" s="21"/>
    </row>
    <row r="85" spans="2:7" ht="15">
      <c r="B85" s="95"/>
      <c r="C85" s="95"/>
      <c r="D85" s="95"/>
      <c r="E85" s="95"/>
      <c r="F85" s="95"/>
      <c r="G85" s="95"/>
    </row>
    <row r="86" spans="2:7" ht="15">
      <c r="B86" s="95"/>
      <c r="C86" s="95"/>
      <c r="D86" s="95"/>
      <c r="E86" s="95"/>
      <c r="F86" s="95"/>
      <c r="G86" s="95"/>
    </row>
    <row r="87" spans="2:7" ht="15">
      <c r="B87" s="95"/>
      <c r="C87" s="95"/>
      <c r="D87" s="95"/>
      <c r="E87" s="95"/>
      <c r="F87" s="95"/>
      <c r="G87" s="95"/>
    </row>
    <row r="88" spans="2:7" ht="15">
      <c r="B88" s="95"/>
      <c r="C88" s="95"/>
      <c r="D88" s="95"/>
      <c r="E88" s="95"/>
      <c r="F88" s="95"/>
      <c r="G88" s="95"/>
    </row>
    <row r="89" spans="2:7" ht="15">
      <c r="B89" s="95"/>
      <c r="C89" s="95"/>
      <c r="D89" s="95"/>
      <c r="E89" s="95"/>
      <c r="F89" s="95"/>
      <c r="G89" s="95"/>
    </row>
    <row r="90" spans="2:7" ht="15">
      <c r="B90" s="95"/>
      <c r="C90" s="95"/>
      <c r="D90" s="95"/>
      <c r="E90" s="95"/>
      <c r="F90" s="95"/>
      <c r="G90" s="95"/>
    </row>
    <row r="91" spans="2:7" ht="15">
      <c r="B91" s="95"/>
      <c r="C91" s="95"/>
      <c r="D91" s="95"/>
      <c r="E91" s="95"/>
      <c r="F91" s="95"/>
      <c r="G91" s="95"/>
    </row>
    <row r="92" spans="2:7" ht="15">
      <c r="B92" s="95"/>
      <c r="C92" s="95"/>
      <c r="D92" s="95"/>
      <c r="E92" s="95"/>
      <c r="F92" s="95"/>
      <c r="G92" s="95"/>
    </row>
    <row r="93" spans="2:7" ht="15">
      <c r="B93" s="95"/>
      <c r="C93" s="95"/>
      <c r="D93" s="95"/>
      <c r="E93" s="95"/>
      <c r="F93" s="95"/>
      <c r="G93" s="95"/>
    </row>
    <row r="94" spans="2:7" ht="15">
      <c r="B94" s="95"/>
      <c r="C94" s="95"/>
      <c r="D94" s="95"/>
      <c r="E94" s="95"/>
      <c r="F94" s="95"/>
      <c r="G94" s="95"/>
    </row>
    <row r="95" spans="2:7" ht="15">
      <c r="B95" s="95"/>
      <c r="C95" s="95"/>
      <c r="D95" s="95"/>
      <c r="E95" s="95"/>
      <c r="F95" s="95"/>
      <c r="G95" s="95"/>
    </row>
    <row r="96" spans="2:7" ht="15">
      <c r="B96" s="95"/>
      <c r="C96" s="95"/>
      <c r="D96" s="95"/>
      <c r="E96" s="95"/>
      <c r="F96" s="95"/>
      <c r="G96" s="95"/>
    </row>
    <row r="97" spans="2:7" ht="15">
      <c r="B97" s="95"/>
      <c r="C97" s="95"/>
      <c r="D97" s="95"/>
      <c r="E97" s="95"/>
      <c r="F97" s="95"/>
      <c r="G97" s="95"/>
    </row>
    <row r="98" spans="2:7" ht="15">
      <c r="B98" s="95"/>
      <c r="C98" s="95"/>
      <c r="D98" s="95"/>
      <c r="E98" s="95"/>
      <c r="F98" s="95"/>
      <c r="G98" s="95"/>
    </row>
    <row r="99" spans="2:7" ht="15">
      <c r="B99" s="95"/>
      <c r="C99" s="95"/>
      <c r="D99" s="95"/>
      <c r="E99" s="95"/>
      <c r="F99" s="95"/>
      <c r="G99" s="95"/>
    </row>
    <row r="100" spans="2:7" ht="15">
      <c r="B100" s="95"/>
      <c r="C100" s="95"/>
      <c r="D100" s="95"/>
      <c r="E100" s="95"/>
      <c r="F100" s="95"/>
      <c r="G100" s="95"/>
    </row>
    <row r="103" spans="2:7">
      <c r="B103" s="21"/>
      <c r="C103" s="21"/>
      <c r="D103" s="21"/>
      <c r="E103" s="21"/>
      <c r="F103" s="21"/>
      <c r="G103" s="21"/>
    </row>
  </sheetData>
  <mergeCells count="4">
    <mergeCell ref="B4:G4"/>
    <mergeCell ref="B2:G2"/>
    <mergeCell ref="D74:G74"/>
    <mergeCell ref="G62:G63"/>
  </mergeCells>
  <phoneticPr fontId="0" type="noConversion"/>
  <printOptions horizontalCentered="1"/>
  <pageMargins left="0.5" right="0.5" top="0.5" bottom="0.5" header="0.3" footer="0.3"/>
  <pageSetup scale="83" orientation="portrait" blackAndWhite="1" horizontalDpi="120" verticalDpi="144"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workbookViewId="0">
      <selection activeCell="O11" sqref="O11"/>
    </sheetView>
  </sheetViews>
  <sheetFormatPr defaultRowHeight="15.95" customHeight="1"/>
  <cols>
    <col min="1" max="2" width="3.33203125" style="21" customWidth="1"/>
    <col min="3" max="3" width="31.33203125" style="21" customWidth="1"/>
    <col min="4" max="4" width="2.33203125" style="21" customWidth="1"/>
    <col min="5" max="5" width="15.77734375" style="21" customWidth="1"/>
    <col min="6" max="6" width="2" style="21" customWidth="1"/>
    <col min="7" max="7" width="15.77734375" style="21" customWidth="1"/>
    <col min="8" max="8" width="1.88671875" style="21" customWidth="1"/>
    <col min="9" max="9" width="1.77734375" style="21" customWidth="1"/>
    <col min="10" max="10" width="15.77734375" style="21" customWidth="1"/>
    <col min="11" max="16384" width="8.88671875" style="21"/>
  </cols>
  <sheetData>
    <row r="1" spans="1:10" ht="15.95" customHeight="1">
      <c r="A1" s="164"/>
      <c r="B1" s="164"/>
      <c r="C1" s="165" t="str">
        <f>inputPrYr!D2</f>
        <v>City of Osawatomie</v>
      </c>
      <c r="D1" s="164"/>
      <c r="E1" s="164"/>
      <c r="F1" s="164"/>
      <c r="G1" s="164"/>
      <c r="H1" s="164"/>
      <c r="I1" s="164"/>
      <c r="J1" s="164">
        <f>inputPrYr!C5</f>
        <v>2013</v>
      </c>
    </row>
    <row r="2" spans="1:10" ht="15.95" customHeight="1">
      <c r="A2" s="164"/>
      <c r="B2" s="164"/>
      <c r="C2" s="164"/>
      <c r="D2" s="164"/>
      <c r="E2" s="164"/>
      <c r="F2" s="164"/>
      <c r="G2" s="164"/>
      <c r="H2" s="164"/>
      <c r="I2" s="164"/>
      <c r="J2" s="164"/>
    </row>
    <row r="3" spans="1:10" ht="15.75">
      <c r="A3" s="941" t="str">
        <f>CONCATENATE("Computation to Determine Limit for ",J1,"")</f>
        <v>Computation to Determine Limit for 2013</v>
      </c>
      <c r="B3" s="942"/>
      <c r="C3" s="942"/>
      <c r="D3" s="942"/>
      <c r="E3" s="942"/>
      <c r="F3" s="942"/>
      <c r="G3" s="942"/>
      <c r="H3" s="942"/>
      <c r="I3" s="942"/>
      <c r="J3" s="942"/>
    </row>
    <row r="4" spans="1:10" ht="15.75">
      <c r="A4" s="164"/>
      <c r="B4" s="164"/>
      <c r="C4" s="164"/>
      <c r="D4" s="164"/>
      <c r="E4" s="942"/>
      <c r="F4" s="942"/>
      <c r="G4" s="942"/>
      <c r="H4" s="166"/>
      <c r="I4" s="164"/>
      <c r="J4" s="167" t="s">
        <v>153</v>
      </c>
    </row>
    <row r="5" spans="1:10" ht="15.75">
      <c r="A5" s="168" t="s">
        <v>154</v>
      </c>
      <c r="B5" s="164" t="str">
        <f>CONCATENATE("Total Tax Levy Amount in ",J1-1," Budget")</f>
        <v>Total Tax Levy Amount in 2012 Budget</v>
      </c>
      <c r="C5" s="164"/>
      <c r="D5" s="164"/>
      <c r="E5" s="169"/>
      <c r="F5" s="169"/>
      <c r="G5" s="169"/>
      <c r="H5" s="170" t="s">
        <v>155</v>
      </c>
      <c r="I5" s="169" t="s">
        <v>156</v>
      </c>
      <c r="J5" s="171">
        <f>inputPrYr!E31</f>
        <v>1236166</v>
      </c>
    </row>
    <row r="6" spans="1:10" ht="15.75">
      <c r="A6" s="168" t="s">
        <v>157</v>
      </c>
      <c r="B6" s="164" t="str">
        <f>CONCATENATE("Debt Service Levy in ",J1-1," Budget")</f>
        <v>Debt Service Levy in 2012 Budget</v>
      </c>
      <c r="C6" s="164"/>
      <c r="D6" s="164"/>
      <c r="E6" s="169"/>
      <c r="F6" s="169"/>
      <c r="G6" s="169"/>
      <c r="H6" s="170" t="s">
        <v>158</v>
      </c>
      <c r="I6" s="169" t="s">
        <v>156</v>
      </c>
      <c r="J6" s="172">
        <f>inputPrYr!E18</f>
        <v>251791</v>
      </c>
    </row>
    <row r="7" spans="1:10" ht="15.75">
      <c r="A7" s="168" t="s">
        <v>184</v>
      </c>
      <c r="B7" s="173" t="s">
        <v>181</v>
      </c>
      <c r="C7" s="164"/>
      <c r="D7" s="164"/>
      <c r="E7" s="169"/>
      <c r="F7" s="169"/>
      <c r="G7" s="169"/>
      <c r="H7" s="169"/>
      <c r="I7" s="169" t="s">
        <v>156</v>
      </c>
      <c r="J7" s="174">
        <f>J5-J6</f>
        <v>984375</v>
      </c>
    </row>
    <row r="8" spans="1:10" ht="15.75">
      <c r="A8" s="164"/>
      <c r="B8" s="164"/>
      <c r="C8" s="164"/>
      <c r="D8" s="164"/>
      <c r="E8" s="169"/>
      <c r="F8" s="169"/>
      <c r="G8" s="169"/>
      <c r="H8" s="169"/>
      <c r="I8" s="169"/>
      <c r="J8" s="169"/>
    </row>
    <row r="9" spans="1:10" ht="15.75">
      <c r="A9" s="164"/>
      <c r="B9" s="173" t="str">
        <f>CONCATENATE("",J1-1," Valuation Information for Valuation Adjustments:")</f>
        <v>2012 Valuation Information for Valuation Adjustments:</v>
      </c>
      <c r="C9" s="164"/>
      <c r="D9" s="164"/>
      <c r="E9" s="169"/>
      <c r="F9" s="169"/>
      <c r="G9" s="169"/>
      <c r="H9" s="169"/>
      <c r="I9" s="169"/>
      <c r="J9" s="169"/>
    </row>
    <row r="10" spans="1:10" ht="15.75">
      <c r="A10" s="164"/>
      <c r="B10" s="164"/>
      <c r="C10" s="173"/>
      <c r="D10" s="164"/>
      <c r="E10" s="169"/>
      <c r="F10" s="169"/>
      <c r="G10" s="169"/>
      <c r="H10" s="169"/>
      <c r="I10" s="169"/>
      <c r="J10" s="169"/>
    </row>
    <row r="11" spans="1:10" ht="15.75">
      <c r="A11" s="168" t="s">
        <v>159</v>
      </c>
      <c r="B11" s="173" t="str">
        <f>CONCATENATE("New Improvements for ",J1-1,":")</f>
        <v>New Improvements for 2012:</v>
      </c>
      <c r="C11" s="164"/>
      <c r="D11" s="164"/>
      <c r="E11" s="170"/>
      <c r="F11" s="170" t="s">
        <v>155</v>
      </c>
      <c r="G11" s="175">
        <f>inputOth!E10</f>
        <v>4723</v>
      </c>
      <c r="H11" s="176"/>
      <c r="I11" s="169"/>
      <c r="J11" s="169"/>
    </row>
    <row r="12" spans="1:10" ht="15.75">
      <c r="A12" s="168"/>
      <c r="B12" s="177"/>
      <c r="C12" s="164"/>
      <c r="D12" s="164"/>
      <c r="E12" s="170"/>
      <c r="F12" s="170"/>
      <c r="G12" s="176"/>
      <c r="H12" s="176"/>
      <c r="I12" s="169"/>
      <c r="J12" s="169"/>
    </row>
    <row r="13" spans="1:10" ht="15.75">
      <c r="A13" s="168" t="s">
        <v>160</v>
      </c>
      <c r="B13" s="173" t="str">
        <f>CONCATENATE("Increase in Personal Property for ",J1-1,":")</f>
        <v>Increase in Personal Property for 2012:</v>
      </c>
      <c r="C13" s="164"/>
      <c r="D13" s="164"/>
      <c r="E13" s="170"/>
      <c r="F13" s="170"/>
      <c r="G13" s="176"/>
      <c r="H13" s="176"/>
      <c r="I13" s="169"/>
      <c r="J13" s="169"/>
    </row>
    <row r="14" spans="1:10" ht="15.75">
      <c r="A14" s="178"/>
      <c r="B14" s="164" t="s">
        <v>161</v>
      </c>
      <c r="C14" s="164" t="str">
        <f>CONCATENATE("Personal Property ",J1-1,"")</f>
        <v>Personal Property 2012</v>
      </c>
      <c r="D14" s="177" t="s">
        <v>155</v>
      </c>
      <c r="E14" s="175">
        <f>inputOth!E11</f>
        <v>313394</v>
      </c>
      <c r="F14" s="170"/>
      <c r="G14" s="169"/>
      <c r="H14" s="169"/>
      <c r="I14" s="176"/>
      <c r="J14" s="169"/>
    </row>
    <row r="15" spans="1:10" ht="15.75">
      <c r="A15" s="177"/>
      <c r="B15" s="164" t="s">
        <v>162</v>
      </c>
      <c r="C15" s="164" t="str">
        <f>CONCATENATE("Personal Property ",J1-2,"")</f>
        <v>Personal Property 2011</v>
      </c>
      <c r="D15" s="177" t="s">
        <v>158</v>
      </c>
      <c r="E15" s="179">
        <f>inputOth!E17</f>
        <v>342524</v>
      </c>
      <c r="F15" s="170"/>
      <c r="G15" s="176"/>
      <c r="H15" s="176"/>
      <c r="I15" s="169"/>
      <c r="J15" s="169"/>
    </row>
    <row r="16" spans="1:10" ht="15.75">
      <c r="A16" s="177"/>
      <c r="B16" s="164" t="s">
        <v>163</v>
      </c>
      <c r="C16" s="164" t="s">
        <v>183</v>
      </c>
      <c r="D16" s="164"/>
      <c r="E16" s="169"/>
      <c r="F16" s="169" t="s">
        <v>155</v>
      </c>
      <c r="G16" s="171">
        <f>IF(E14&gt;E15,E14-E15,0)</f>
        <v>0</v>
      </c>
      <c r="H16" s="176"/>
      <c r="I16" s="169"/>
      <c r="J16" s="169"/>
    </row>
    <row r="17" spans="1:10" ht="15.75">
      <c r="A17" s="177"/>
      <c r="B17" s="177"/>
      <c r="C17" s="164"/>
      <c r="D17" s="164"/>
      <c r="E17" s="169"/>
      <c r="F17" s="169"/>
      <c r="G17" s="176" t="s">
        <v>176</v>
      </c>
      <c r="H17" s="176"/>
      <c r="I17" s="169"/>
      <c r="J17" s="169"/>
    </row>
    <row r="18" spans="1:10" ht="15.75">
      <c r="A18" s="177" t="s">
        <v>164</v>
      </c>
      <c r="B18" s="173" t="str">
        <f>CONCATENATE("Valuation of annexed territory for ",J1-1,"")</f>
        <v>Valuation of annexed territory for 2012</v>
      </c>
      <c r="C18" s="164"/>
      <c r="D18" s="164"/>
      <c r="E18" s="176"/>
      <c r="F18" s="169"/>
      <c r="G18" s="169"/>
      <c r="H18" s="169"/>
      <c r="I18" s="169"/>
      <c r="J18" s="169"/>
    </row>
    <row r="19" spans="1:10" ht="15.75">
      <c r="A19" s="177"/>
      <c r="B19" s="164" t="s">
        <v>165</v>
      </c>
      <c r="C19" s="164" t="s">
        <v>185</v>
      </c>
      <c r="D19" s="177" t="s">
        <v>155</v>
      </c>
      <c r="E19" s="175">
        <f>inputOth!E13</f>
        <v>0</v>
      </c>
      <c r="F19" s="169"/>
      <c r="G19" s="169"/>
      <c r="H19" s="169"/>
      <c r="I19" s="169"/>
      <c r="J19" s="169"/>
    </row>
    <row r="20" spans="1:10" ht="15.75">
      <c r="A20" s="177"/>
      <c r="B20" s="164" t="s">
        <v>166</v>
      </c>
      <c r="C20" s="164" t="s">
        <v>186</v>
      </c>
      <c r="D20" s="177" t="s">
        <v>155</v>
      </c>
      <c r="E20" s="175">
        <f>inputOth!E14</f>
        <v>0</v>
      </c>
      <c r="F20" s="169"/>
      <c r="G20" s="176"/>
      <c r="H20" s="176"/>
      <c r="I20" s="169"/>
      <c r="J20" s="169"/>
    </row>
    <row r="21" spans="1:10" ht="15.75">
      <c r="A21" s="177"/>
      <c r="B21" s="164" t="s">
        <v>167</v>
      </c>
      <c r="C21" s="164" t="s">
        <v>182</v>
      </c>
      <c r="D21" s="177" t="s">
        <v>158</v>
      </c>
      <c r="E21" s="175">
        <f>inputOth!E15</f>
        <v>0</v>
      </c>
      <c r="F21" s="169"/>
      <c r="G21" s="176"/>
      <c r="H21" s="176"/>
      <c r="I21" s="169"/>
      <c r="J21" s="169"/>
    </row>
    <row r="22" spans="1:10" ht="15.75">
      <c r="A22" s="177"/>
      <c r="B22" s="164" t="s">
        <v>168</v>
      </c>
      <c r="C22" s="164" t="s">
        <v>187</v>
      </c>
      <c r="D22" s="177"/>
      <c r="E22" s="176"/>
      <c r="F22" s="169" t="s">
        <v>155</v>
      </c>
      <c r="G22" s="171">
        <f>E19+E20-E21</f>
        <v>0</v>
      </c>
      <c r="H22" s="176"/>
      <c r="I22" s="169"/>
      <c r="J22" s="169"/>
    </row>
    <row r="23" spans="1:10" ht="15.75">
      <c r="A23" s="177"/>
      <c r="B23" s="177"/>
      <c r="C23" s="164"/>
      <c r="D23" s="177"/>
      <c r="E23" s="176"/>
      <c r="F23" s="169"/>
      <c r="G23" s="176"/>
      <c r="H23" s="176"/>
      <c r="I23" s="169"/>
      <c r="J23" s="169"/>
    </row>
    <row r="24" spans="1:10" ht="15.75">
      <c r="A24" s="177" t="s">
        <v>169</v>
      </c>
      <c r="B24" s="173" t="str">
        <f>CONCATENATE("Valuation of Property that has Changed in Use during ",J1-1,"")</f>
        <v>Valuation of Property that has Changed in Use during 2012</v>
      </c>
      <c r="C24" s="164"/>
      <c r="D24" s="164"/>
      <c r="E24" s="169"/>
      <c r="F24" s="169"/>
      <c r="G24" s="86">
        <f>inputOth!E16</f>
        <v>1297</v>
      </c>
      <c r="H24" s="169"/>
      <c r="I24" s="169"/>
      <c r="J24" s="169"/>
    </row>
    <row r="25" spans="1:10" ht="15.75">
      <c r="A25" s="164" t="s">
        <v>55</v>
      </c>
      <c r="B25" s="164"/>
      <c r="C25" s="164"/>
      <c r="D25" s="177"/>
      <c r="E25" s="176"/>
      <c r="F25" s="169"/>
      <c r="G25" s="180"/>
      <c r="H25" s="176"/>
      <c r="I25" s="169"/>
      <c r="J25" s="169"/>
    </row>
    <row r="26" spans="1:10" ht="15.75">
      <c r="A26" s="177" t="s">
        <v>170</v>
      </c>
      <c r="B26" s="173" t="s">
        <v>188</v>
      </c>
      <c r="C26" s="164"/>
      <c r="D26" s="164"/>
      <c r="E26" s="169"/>
      <c r="F26" s="169"/>
      <c r="G26" s="171">
        <f>G11+G16+G22+G24</f>
        <v>6020</v>
      </c>
      <c r="H26" s="176"/>
      <c r="I26" s="169"/>
      <c r="J26" s="169"/>
    </row>
    <row r="27" spans="1:10" ht="15.75">
      <c r="A27" s="177"/>
      <c r="B27" s="177"/>
      <c r="C27" s="173"/>
      <c r="D27" s="164"/>
      <c r="E27" s="169"/>
      <c r="F27" s="169"/>
      <c r="G27" s="176"/>
      <c r="H27" s="176"/>
      <c r="I27" s="169"/>
      <c r="J27" s="169"/>
    </row>
    <row r="28" spans="1:10" ht="15.75">
      <c r="A28" s="177" t="s">
        <v>171</v>
      </c>
      <c r="B28" s="164" t="str">
        <f>CONCATENATE("Total Estimated Valuation July 1,",J1-1,"")</f>
        <v>Total Estimated Valuation July 1,2012</v>
      </c>
      <c r="C28" s="164"/>
      <c r="D28" s="164"/>
      <c r="E28" s="171">
        <f>inputOth!E9</f>
        <v>22729900</v>
      </c>
      <c r="F28" s="169"/>
      <c r="G28" s="169"/>
      <c r="H28" s="169"/>
      <c r="I28" s="170"/>
      <c r="J28" s="169"/>
    </row>
    <row r="29" spans="1:10" ht="15.75">
      <c r="A29" s="177"/>
      <c r="B29" s="177"/>
      <c r="C29" s="164"/>
      <c r="D29" s="164"/>
      <c r="E29" s="176"/>
      <c r="F29" s="169"/>
      <c r="G29" s="169"/>
      <c r="H29" s="169"/>
      <c r="I29" s="170"/>
      <c r="J29" s="169"/>
    </row>
    <row r="30" spans="1:10" ht="15.75">
      <c r="A30" s="177" t="s">
        <v>172</v>
      </c>
      <c r="B30" s="173" t="s">
        <v>189</v>
      </c>
      <c r="C30" s="164"/>
      <c r="D30" s="164"/>
      <c r="E30" s="169"/>
      <c r="F30" s="169"/>
      <c r="G30" s="171">
        <f>E28-G26</f>
        <v>22723880</v>
      </c>
      <c r="H30" s="176"/>
      <c r="I30" s="170"/>
      <c r="J30" s="169"/>
    </row>
    <row r="31" spans="1:10" ht="15.75">
      <c r="A31" s="177"/>
      <c r="B31" s="177"/>
      <c r="C31" s="173"/>
      <c r="D31" s="164"/>
      <c r="E31" s="164"/>
      <c r="F31" s="164"/>
      <c r="G31" s="181"/>
      <c r="H31" s="182"/>
      <c r="I31" s="177"/>
      <c r="J31" s="164"/>
    </row>
    <row r="32" spans="1:10" ht="15.75">
      <c r="A32" s="177" t="s">
        <v>173</v>
      </c>
      <c r="B32" s="164" t="s">
        <v>190</v>
      </c>
      <c r="C32" s="164"/>
      <c r="D32" s="164"/>
      <c r="E32" s="164"/>
      <c r="F32" s="164"/>
      <c r="G32" s="183">
        <f>IF(G30&gt;0,G26/G30,0)</f>
        <v>2.6491954719000453E-4</v>
      </c>
      <c r="H32" s="182"/>
      <c r="I32" s="164"/>
      <c r="J32" s="164"/>
    </row>
    <row r="33" spans="1:10" ht="15.75">
      <c r="A33" s="177"/>
      <c r="B33" s="177"/>
      <c r="C33" s="164"/>
      <c r="D33" s="164"/>
      <c r="E33" s="164"/>
      <c r="F33" s="164"/>
      <c r="G33" s="182"/>
      <c r="H33" s="182"/>
      <c r="I33" s="164"/>
      <c r="J33" s="164"/>
    </row>
    <row r="34" spans="1:10" ht="15.75">
      <c r="A34" s="177" t="s">
        <v>174</v>
      </c>
      <c r="B34" s="164" t="s">
        <v>191</v>
      </c>
      <c r="C34" s="164"/>
      <c r="D34" s="164"/>
      <c r="E34" s="164"/>
      <c r="F34" s="164"/>
      <c r="G34" s="182"/>
      <c r="H34" s="184" t="s">
        <v>155</v>
      </c>
      <c r="I34" s="164" t="s">
        <v>156</v>
      </c>
      <c r="J34" s="171">
        <f>ROUND(G32*J7,0)</f>
        <v>261</v>
      </c>
    </row>
    <row r="35" spans="1:10" ht="15.75">
      <c r="A35" s="177"/>
      <c r="B35" s="177"/>
      <c r="C35" s="164"/>
      <c r="D35" s="164"/>
      <c r="E35" s="164"/>
      <c r="F35" s="164"/>
      <c r="G35" s="182"/>
      <c r="H35" s="184"/>
      <c r="I35" s="164"/>
      <c r="J35" s="176"/>
    </row>
    <row r="36" spans="1:10" ht="16.5" thickBot="1">
      <c r="A36" s="177" t="s">
        <v>175</v>
      </c>
      <c r="B36" s="173" t="s">
        <v>197</v>
      </c>
      <c r="C36" s="164"/>
      <c r="D36" s="164"/>
      <c r="E36" s="164"/>
      <c r="F36" s="164"/>
      <c r="G36" s="164"/>
      <c r="H36" s="164"/>
      <c r="I36" s="164" t="s">
        <v>156</v>
      </c>
      <c r="J36" s="185">
        <f>J7+J34</f>
        <v>984636</v>
      </c>
    </row>
    <row r="37" spans="1:10" ht="16.5" thickTop="1">
      <c r="A37" s="164"/>
      <c r="B37" s="164"/>
      <c r="C37" s="164"/>
      <c r="D37" s="164"/>
      <c r="E37" s="164"/>
      <c r="F37" s="164"/>
      <c r="G37" s="164"/>
      <c r="H37" s="164"/>
      <c r="I37" s="164"/>
      <c r="J37" s="164"/>
    </row>
    <row r="38" spans="1:10" ht="15.75">
      <c r="A38" s="177" t="s">
        <v>195</v>
      </c>
      <c r="B38" s="173" t="str">
        <f>CONCATENATE("Debt Service in this ",J1," Budget")</f>
        <v>Debt Service in this 2013 Budget</v>
      </c>
      <c r="C38" s="164"/>
      <c r="D38" s="164"/>
      <c r="E38" s="164"/>
      <c r="F38" s="164"/>
      <c r="G38" s="164"/>
      <c r="H38" s="164"/>
      <c r="I38" s="164"/>
      <c r="J38" s="186">
        <f>DebtService!E52</f>
        <v>237409.65000000002</v>
      </c>
    </row>
    <row r="39" spans="1:10" ht="15.75">
      <c r="A39" s="177"/>
      <c r="B39" s="173"/>
      <c r="C39" s="164"/>
      <c r="D39" s="164"/>
      <c r="E39" s="164"/>
      <c r="F39" s="164"/>
      <c r="G39" s="164"/>
      <c r="H39" s="164"/>
      <c r="I39" s="164"/>
      <c r="J39" s="182"/>
    </row>
    <row r="40" spans="1:10" ht="16.5" thickBot="1">
      <c r="A40" s="177" t="s">
        <v>196</v>
      </c>
      <c r="B40" s="173" t="s">
        <v>198</v>
      </c>
      <c r="C40" s="164"/>
      <c r="D40" s="164"/>
      <c r="E40" s="164"/>
      <c r="F40" s="164"/>
      <c r="G40" s="164"/>
      <c r="H40" s="164"/>
      <c r="I40" s="164"/>
      <c r="J40" s="185">
        <f>J36+J38</f>
        <v>1222045.6499999999</v>
      </c>
    </row>
    <row r="41" spans="1:10" ht="16.5" thickTop="1">
      <c r="A41" s="164"/>
      <c r="B41" s="164"/>
      <c r="C41" s="164"/>
      <c r="D41" s="164"/>
      <c r="E41" s="164"/>
      <c r="F41" s="164"/>
      <c r="G41" s="164"/>
      <c r="H41" s="164"/>
      <c r="I41" s="164"/>
      <c r="J41" s="164"/>
    </row>
    <row r="42" spans="1:10" s="187" customFormat="1" ht="18.75">
      <c r="A42" s="940" t="str">
        <f>CONCATENATE("If the ",J1," budget includes tax levies exceeding the total on line 15, you must")</f>
        <v>If the 2013 budget includes tax levies exceeding the total on line 15, you must</v>
      </c>
      <c r="B42" s="940"/>
      <c r="C42" s="940"/>
      <c r="D42" s="940"/>
      <c r="E42" s="940"/>
      <c r="F42" s="940"/>
      <c r="G42" s="940"/>
      <c r="H42" s="940"/>
      <c r="I42" s="940"/>
      <c r="J42" s="940"/>
    </row>
    <row r="43" spans="1:10" s="187" customFormat="1" ht="18.75">
      <c r="A43" s="940" t="s">
        <v>266</v>
      </c>
      <c r="B43" s="940"/>
      <c r="C43" s="940"/>
      <c r="D43" s="940"/>
      <c r="E43" s="940"/>
      <c r="F43" s="940"/>
      <c r="G43" s="940"/>
      <c r="H43" s="940"/>
      <c r="I43" s="940"/>
      <c r="J43" s="940"/>
    </row>
    <row r="44" spans="1:10" s="187" customFormat="1" ht="18.75">
      <c r="A44" s="940" t="s">
        <v>267</v>
      </c>
      <c r="B44" s="940"/>
      <c r="C44" s="940"/>
      <c r="D44" s="940"/>
      <c r="E44" s="940"/>
      <c r="F44" s="940"/>
      <c r="G44" s="940"/>
      <c r="H44" s="940"/>
      <c r="I44" s="940"/>
      <c r="J44" s="940"/>
    </row>
  </sheetData>
  <sheetProtection sheet="1"/>
  <mergeCells count="5">
    <mergeCell ref="A42:J42"/>
    <mergeCell ref="A44:J44"/>
    <mergeCell ref="A3:J3"/>
    <mergeCell ref="E4:G4"/>
    <mergeCell ref="A43:J43"/>
  </mergeCells>
  <phoneticPr fontId="0" type="noConversion"/>
  <printOptions horizontalCentered="1"/>
  <pageMargins left="0.5" right="0.5" top="0.5" bottom="0.5" header="0.3" footer="0.3"/>
  <pageSetup scale="85" orientation="portrait" blackAndWhite="1"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H31"/>
  <sheetViews>
    <sheetView topLeftCell="B1" zoomScaleNormal="100" workbookViewId="0">
      <selection activeCell="O11" sqref="O11"/>
    </sheetView>
  </sheetViews>
  <sheetFormatPr defaultRowHeight="15.75"/>
  <cols>
    <col min="1" max="1" width="8.88671875" style="34"/>
    <col min="2" max="2" width="17.88671875" style="34" customWidth="1"/>
    <col min="3" max="3" width="16.109375" style="34" customWidth="1"/>
    <col min="4" max="6" width="12.77734375" style="34" customWidth="1"/>
    <col min="7" max="7" width="10.21875" style="34" customWidth="1"/>
    <col min="8" max="16384" width="8.88671875" style="34"/>
  </cols>
  <sheetData>
    <row r="1" spans="1:8">
      <c r="A1" s="36"/>
      <c r="B1" s="188" t="str">
        <f>inputPrYr!D2</f>
        <v>City of Osawatomie</v>
      </c>
      <c r="C1" s="188"/>
      <c r="D1" s="36"/>
      <c r="E1" s="36"/>
      <c r="F1" s="36"/>
      <c r="G1" s="36">
        <f>inputPrYr!C5</f>
        <v>2013</v>
      </c>
      <c r="H1" s="36"/>
    </row>
    <row r="2" spans="1:8">
      <c r="A2" s="36"/>
      <c r="B2" s="36"/>
      <c r="C2" s="36"/>
      <c r="D2" s="36"/>
      <c r="E2" s="36"/>
      <c r="F2" s="36"/>
      <c r="G2" s="36"/>
      <c r="H2" s="36"/>
    </row>
    <row r="3" spans="1:8">
      <c r="A3" s="36"/>
      <c r="B3" s="943" t="s">
        <v>867</v>
      </c>
      <c r="C3" s="943"/>
      <c r="D3" s="943"/>
      <c r="E3" s="943"/>
      <c r="F3" s="943"/>
      <c r="G3" s="36"/>
      <c r="H3" s="36"/>
    </row>
    <row r="4" spans="1:8">
      <c r="A4" s="36"/>
      <c r="B4" s="36"/>
      <c r="C4" s="189"/>
      <c r="D4" s="189"/>
      <c r="E4" s="189"/>
      <c r="F4" s="36"/>
      <c r="G4" s="36"/>
      <c r="H4" s="36"/>
    </row>
    <row r="5" spans="1:8" ht="21" customHeight="1">
      <c r="A5" s="36"/>
      <c r="B5" s="190" t="s">
        <v>265</v>
      </c>
      <c r="C5" s="191" t="s">
        <v>868</v>
      </c>
      <c r="D5" s="944" t="str">
        <f>CONCATENATE("Allocation for Year ",G1,"")</f>
        <v>Allocation for Year 2013</v>
      </c>
      <c r="E5" s="945"/>
      <c r="F5" s="946"/>
      <c r="G5" s="36"/>
      <c r="H5" s="36"/>
    </row>
    <row r="6" spans="1:8">
      <c r="A6" s="36"/>
      <c r="B6" s="192" t="str">
        <f>CONCATENATE("for ",G1-1,"")</f>
        <v>for 2012</v>
      </c>
      <c r="C6" s="192" t="str">
        <f>CONCATENATE("Amount for ",G1-2,"")</f>
        <v>Amount for 2011</v>
      </c>
      <c r="D6" s="139" t="s">
        <v>149</v>
      </c>
      <c r="E6" s="139" t="s">
        <v>150</v>
      </c>
      <c r="F6" s="139" t="s">
        <v>148</v>
      </c>
      <c r="G6" s="756"/>
      <c r="H6" s="36"/>
    </row>
    <row r="7" spans="1:8">
      <c r="A7" s="36"/>
      <c r="B7" s="76" t="str">
        <f>(inputPrYr!B17)</f>
        <v>General</v>
      </c>
      <c r="C7" s="142">
        <f>(inputPrYr!E17)</f>
        <v>514514</v>
      </c>
      <c r="D7" s="142">
        <f>IF(inputPrYr!E17=0,0,D23-SUM(D8:D20))</f>
        <v>49081.11</v>
      </c>
      <c r="E7" s="142">
        <f>IF(inputPrYr!E17=0,0,E24-SUM(E8:E20))</f>
        <v>691.72</v>
      </c>
      <c r="F7" s="142">
        <f>IF(inputPrYr!E17=0,0,F25-SUM(F8:F20))</f>
        <v>248.82000000000005</v>
      </c>
      <c r="G7" s="757"/>
      <c r="H7" s="36"/>
    </row>
    <row r="8" spans="1:8">
      <c r="A8" s="36"/>
      <c r="B8" s="76" t="str">
        <f>IF(inputPrYr!$B18&gt;"  ",(inputPrYr!$B18),"  ")</f>
        <v>Bond &amp; Interest</v>
      </c>
      <c r="C8" s="142">
        <f>IF(inputPrYr!$E18&gt;0,(inputPrYr!$E18),"  ")</f>
        <v>251791</v>
      </c>
      <c r="D8" s="142">
        <f>IF(inputPrYr!E18&gt;0,ROUND(C8*$D$27,0),"  ")</f>
        <v>24019</v>
      </c>
      <c r="E8" s="142">
        <f>IF(inputPrYr!E18&gt;0,ROUND(+C8*E$28,0)," ")</f>
        <v>339</v>
      </c>
      <c r="F8" s="142">
        <f>IF(inputPrYr!E18&gt;0,ROUND(C8*F$29,0)," ")</f>
        <v>121</v>
      </c>
      <c r="G8" s="757"/>
      <c r="H8" s="36"/>
    </row>
    <row r="9" spans="1:8">
      <c r="A9" s="36"/>
      <c r="B9" s="76" t="str">
        <f>IF(inputPrYr!$B19&gt;"  ",(inputPrYr!$B19),"  ")</f>
        <v>Library</v>
      </c>
      <c r="C9" s="142" t="str">
        <f>IF(inputPrYr!$E19&gt;0,(inputPrYr!$E19),"  ")</f>
        <v xml:space="preserve">  </v>
      </c>
      <c r="D9" s="142" t="str">
        <f>IF(inputPrYr!E19&gt;0,ROUND(C9*$D$27,0),"  ")</f>
        <v xml:space="preserve">  </v>
      </c>
      <c r="E9" s="142" t="str">
        <f>IF(inputPrYr!E19&gt;0,ROUND(+C9*E$28,0)," ")</f>
        <v xml:space="preserve"> </v>
      </c>
      <c r="F9" s="142" t="str">
        <f>IF(inputPrYr!E19&gt;0,ROUND(C9*F$29,0)," ")</f>
        <v xml:space="preserve"> </v>
      </c>
      <c r="G9" s="757"/>
      <c r="H9" s="36"/>
    </row>
    <row r="10" spans="1:8">
      <c r="A10" s="36"/>
      <c r="B10" s="76" t="str">
        <f>IF(inputPrYr!$B21&gt;"  ",(inputPrYr!$B21),"  ")</f>
        <v>Industrial</v>
      </c>
      <c r="C10" s="142" t="str">
        <f>IF(inputPrYr!$E21&gt;0,(inputPrYr!$E21),"  ")</f>
        <v xml:space="preserve">  </v>
      </c>
      <c r="D10" s="142" t="str">
        <f>IF(inputPrYr!E21&gt;0,ROUND(C10*$D$27,0),"  ")</f>
        <v xml:space="preserve">  </v>
      </c>
      <c r="E10" s="142" t="str">
        <f>IF(inputPrYr!E21&gt;0,ROUND(+C10*E$28,0)," ")</f>
        <v xml:space="preserve"> </v>
      </c>
      <c r="F10" s="142" t="str">
        <f>IF(inputPrYr!E21&gt;0,ROUND(+C10*F$29,0)," ")</f>
        <v xml:space="preserve"> </v>
      </c>
      <c r="G10" s="757"/>
      <c r="H10" s="36"/>
    </row>
    <row r="11" spans="1:8">
      <c r="A11" s="36"/>
      <c r="B11" s="76" t="str">
        <f>IF(inputPrYr!$B22&gt;"  ",(inputPrYr!$B22),"  ")</f>
        <v>Employee Benefits</v>
      </c>
      <c r="C11" s="142">
        <f>IF(inputPrYr!$E22&gt;0,(inputPrYr!$E22),"  ")</f>
        <v>458346</v>
      </c>
      <c r="D11" s="142">
        <f>IF(inputPrYr!E22&gt;0,ROUND(C11*$D$27,0),"  ")</f>
        <v>43723</v>
      </c>
      <c r="E11" s="142">
        <f>IF(inputPrYr!E22&gt;0,ROUND(+C11*E$28,0)," ")</f>
        <v>616</v>
      </c>
      <c r="F11" s="142">
        <f>IF(inputPrYr!E22&gt;0,ROUND(+C11*F$29,0)," ")</f>
        <v>221</v>
      </c>
      <c r="G11" s="757"/>
      <c r="H11" s="36"/>
    </row>
    <row r="12" spans="1:8">
      <c r="A12" s="36"/>
      <c r="B12" s="76" t="str">
        <f>IF(inputPrYr!$B23&gt;"  ",(inputPrYr!$B23),"  ")</f>
        <v>Public Safety Equipment</v>
      </c>
      <c r="C12" s="142" t="str">
        <f>IF(inputPrYr!$E23&gt;0,(inputPrYr!$E23),"  ")</f>
        <v xml:space="preserve">  </v>
      </c>
      <c r="D12" s="142" t="str">
        <f>IF(inputPrYr!E23&gt;0,ROUND(C12*$D$27,0),"  ")</f>
        <v xml:space="preserve">  </v>
      </c>
      <c r="E12" s="142" t="str">
        <f>IF(inputPrYr!E23&gt;0,ROUND(+C12*E$28,0)," ")</f>
        <v xml:space="preserve"> </v>
      </c>
      <c r="F12" s="142" t="str">
        <f>IF(inputPrYr!E23&gt;0,ROUND(+C12*F$29,0)," ")</f>
        <v xml:space="preserve"> </v>
      </c>
      <c r="G12" s="757"/>
      <c r="H12" s="36"/>
    </row>
    <row r="13" spans="1:8">
      <c r="A13" s="36"/>
      <c r="B13" s="76" t="str">
        <f>IF(inputPrYr!$B24&gt;"  ",(inputPrYr!$B24),"  ")</f>
        <v>Recreation Employee Benefits</v>
      </c>
      <c r="C13" s="142">
        <f>IF(inputPrYr!$E24&gt;0,(inputPrYr!$E24),"  ")</f>
        <v>11515</v>
      </c>
      <c r="D13" s="142">
        <f>IF(inputPrYr!E24&gt;0,ROUND(C13*$D$27,0),"  ")</f>
        <v>1098</v>
      </c>
      <c r="E13" s="142">
        <f>IF(inputPrYr!E24&gt;0,ROUND(+C13*E$28,0)," ")</f>
        <v>15</v>
      </c>
      <c r="F13" s="142">
        <f>IF(inputPrYr!E24&gt;0,ROUND(+C13*F$29,0)," ")</f>
        <v>6</v>
      </c>
      <c r="G13" s="757"/>
      <c r="H13" s="36"/>
    </row>
    <row r="14" spans="1:8">
      <c r="A14" s="36"/>
      <c r="B14" s="76" t="str">
        <f>IF(inputPrYr!$B25&gt;"  ",(inputPrYr!$B25),"  ")</f>
        <v xml:space="preserve">  </v>
      </c>
      <c r="C14" s="142" t="str">
        <f>IF(inputPrYr!$E25&gt;0,(inputPrYr!$E25),"  ")</f>
        <v xml:space="preserve">  </v>
      </c>
      <c r="D14" s="142" t="str">
        <f>IF(inputPrYr!E25&gt;0,ROUND(C14*$D$27,0),"  ")</f>
        <v xml:space="preserve">  </v>
      </c>
      <c r="E14" s="142" t="str">
        <f>IF(inputPrYr!E25&gt;0,ROUND(+C14*E$28,0)," ")</f>
        <v xml:space="preserve"> </v>
      </c>
      <c r="F14" s="142" t="str">
        <f>IF(inputPrYr!E25&gt;0,ROUND(+C14*F$29,0)," ")</f>
        <v xml:space="preserve"> </v>
      </c>
      <c r="G14" s="757"/>
      <c r="H14" s="36"/>
    </row>
    <row r="15" spans="1:8">
      <c r="A15" s="36"/>
      <c r="B15" s="76" t="str">
        <f>IF(inputPrYr!$B26&gt;"  ",(inputPrYr!$B26),"  ")</f>
        <v xml:space="preserve">  </v>
      </c>
      <c r="C15" s="142" t="str">
        <f>IF(inputPrYr!$E26&gt;0,(inputPrYr!$E26),"  ")</f>
        <v xml:space="preserve">  </v>
      </c>
      <c r="D15" s="142" t="str">
        <f>IF(inputPrYr!E26&gt;0,ROUND(C15*$D$27,0),"  ")</f>
        <v xml:space="preserve">  </v>
      </c>
      <c r="E15" s="142" t="str">
        <f>IF(inputPrYr!E26&gt;0,ROUND(+C15*E$28,0)," ")</f>
        <v xml:space="preserve"> </v>
      </c>
      <c r="F15" s="142" t="str">
        <f>IF(inputPrYr!E26&gt;0,ROUND(+C15*F$29,0)," ")</f>
        <v xml:space="preserve"> </v>
      </c>
      <c r="G15" s="757"/>
      <c r="H15" s="36"/>
    </row>
    <row r="16" spans="1:8">
      <c r="A16" s="36"/>
      <c r="B16" s="76" t="str">
        <f>IF(inputPrYr!$B27&gt;"  ",(inputPrYr!$B27),"  ")</f>
        <v xml:space="preserve">  </v>
      </c>
      <c r="C16" s="142" t="str">
        <f>IF(inputPrYr!$E27&gt;0,(inputPrYr!$E27),"  ")</f>
        <v xml:space="preserve">  </v>
      </c>
      <c r="D16" s="142" t="str">
        <f>IF(inputPrYr!E27&gt;0,ROUND(C16*$D$27,0),"  ")</f>
        <v xml:space="preserve">  </v>
      </c>
      <c r="E16" s="142" t="str">
        <f>IF(inputPrYr!E27&gt;0,ROUND(+C16*E$28,0)," ")</f>
        <v xml:space="preserve"> </v>
      </c>
      <c r="F16" s="142" t="str">
        <f>IF(inputPrYr!E27&gt;0,ROUND(+C16*F$29,0)," ")</f>
        <v xml:space="preserve"> </v>
      </c>
      <c r="G16" s="757"/>
      <c r="H16" s="36"/>
    </row>
    <row r="17" spans="1:8">
      <c r="A17" s="36"/>
      <c r="B17" s="76" t="str">
        <f>IF(inputPrYr!$B28&gt;"  ",(inputPrYr!$B28),"  ")</f>
        <v xml:space="preserve">  </v>
      </c>
      <c r="C17" s="142" t="str">
        <f>IF(inputPrYr!$E28&gt;0,(inputPrYr!$E28),"  ")</f>
        <v xml:space="preserve">  </v>
      </c>
      <c r="D17" s="142" t="str">
        <f>IF(inputPrYr!E28&gt;0,ROUND(C17*$D$27,0),"  ")</f>
        <v xml:space="preserve">  </v>
      </c>
      <c r="E17" s="142" t="str">
        <f>IF(inputPrYr!E28&gt;0,ROUND(+C17*E$28,0)," ")</f>
        <v xml:space="preserve"> </v>
      </c>
      <c r="F17" s="142" t="str">
        <f>IF(inputPrYr!E28&gt;0,ROUND(+C17*F$29,0)," ")</f>
        <v xml:space="preserve"> </v>
      </c>
      <c r="G17" s="757"/>
      <c r="H17" s="36"/>
    </row>
    <row r="18" spans="1:8">
      <c r="A18" s="36"/>
      <c r="B18" s="76" t="str">
        <f>IF(inputPrYr!$B29&gt;"  ",(inputPrYr!$B29),"  ")</f>
        <v xml:space="preserve">  </v>
      </c>
      <c r="C18" s="142" t="str">
        <f>IF(inputPrYr!$E29&gt;0,(inputPrYr!$E29),"  ")</f>
        <v xml:space="preserve">  </v>
      </c>
      <c r="D18" s="142" t="str">
        <f>IF(inputPrYr!E29&gt;0,ROUND(C18*$D$27,0),"  ")</f>
        <v xml:space="preserve">  </v>
      </c>
      <c r="E18" s="142" t="str">
        <f>IF(inputPrYr!E29&gt;0,ROUND(+C18*E$28,0)," ")</f>
        <v xml:space="preserve"> </v>
      </c>
      <c r="F18" s="142" t="str">
        <f>IF(inputPrYr!E29&gt;0,ROUND(+C18*F$29,0)," ")</f>
        <v xml:space="preserve"> </v>
      </c>
      <c r="G18" s="757"/>
      <c r="H18" s="36"/>
    </row>
    <row r="19" spans="1:8">
      <c r="A19" s="36"/>
      <c r="B19" s="76" t="str">
        <f>IF(inputPrYr!$B30&gt;"  ",(inputPrYr!$B30),"  ")</f>
        <v xml:space="preserve">  </v>
      </c>
      <c r="C19" s="142" t="str">
        <f>IF(inputPrYr!$E30&gt;0,(inputPrYr!$E30),"  ")</f>
        <v xml:space="preserve">  </v>
      </c>
      <c r="D19" s="142" t="str">
        <f>IF(inputPrYr!E30&gt;0,ROUND(C19*$D$27,0),"  ")</f>
        <v xml:space="preserve">  </v>
      </c>
      <c r="E19" s="142" t="str">
        <f>IF(inputPrYr!E30&gt;0,ROUND(+C19*E$28,0)," ")</f>
        <v xml:space="preserve"> </v>
      </c>
      <c r="F19" s="142" t="str">
        <f>IF(inputPrYr!E30&gt;0,ROUND(+C19*F$29,0)," ")</f>
        <v xml:space="preserve"> </v>
      </c>
      <c r="G19" s="757"/>
      <c r="H19" s="36"/>
    </row>
    <row r="20" spans="1:8">
      <c r="A20" s="36"/>
      <c r="B20" s="76" t="str">
        <f>inputPrYr!B33</f>
        <v>Recreation</v>
      </c>
      <c r="C20" s="135">
        <f>inputPrYr!E33</f>
        <v>92124</v>
      </c>
      <c r="D20" s="142">
        <f>IF(inputPrYr!E33&gt;0,ROUND(C20*$D$27,0),"  ")</f>
        <v>8788</v>
      </c>
      <c r="E20" s="142">
        <f>IF(inputPrYr!E33&gt;0,ROUND(+C20*E$28,0)," ")</f>
        <v>124</v>
      </c>
      <c r="F20" s="142">
        <f>IF(inputPrYr!E33&gt;0,ROUND(+C20*F$29,0)," ")</f>
        <v>44</v>
      </c>
      <c r="G20" s="757"/>
      <c r="H20" s="36"/>
    </row>
    <row r="21" spans="1:8">
      <c r="A21" s="36"/>
      <c r="B21" s="758" t="s">
        <v>73</v>
      </c>
      <c r="C21" s="149">
        <f>SUM(C7:C20)</f>
        <v>1328290</v>
      </c>
      <c r="D21" s="149">
        <f>SUM(D7:D20)</f>
        <v>126709.11</v>
      </c>
      <c r="E21" s="149">
        <f>SUM(E7:E20)</f>
        <v>1785.72</v>
      </c>
      <c r="F21" s="149">
        <f>SUM(F7:F20)</f>
        <v>640.82000000000005</v>
      </c>
      <c r="G21" s="36"/>
      <c r="H21" s="36"/>
    </row>
    <row r="22" spans="1:8">
      <c r="A22" s="36"/>
      <c r="B22" s="36"/>
      <c r="C22" s="66"/>
      <c r="D22" s="66"/>
      <c r="E22" s="66"/>
      <c r="F22" s="66"/>
      <c r="G22" s="36"/>
      <c r="H22" s="36"/>
    </row>
    <row r="23" spans="1:8">
      <c r="A23" s="36"/>
      <c r="B23" s="41" t="s">
        <v>74</v>
      </c>
      <c r="C23" s="193"/>
      <c r="D23" s="755">
        <f>(inputOth!E42)</f>
        <v>126709.11</v>
      </c>
      <c r="E23" s="193"/>
      <c r="F23" s="36"/>
      <c r="G23" s="36"/>
      <c r="H23" s="36"/>
    </row>
    <row r="24" spans="1:8">
      <c r="A24" s="36"/>
      <c r="B24" s="41" t="s">
        <v>75</v>
      </c>
      <c r="C24" s="36"/>
      <c r="D24" s="36"/>
      <c r="E24" s="755">
        <f>(inputOth!E43)</f>
        <v>1785.72</v>
      </c>
      <c r="F24" s="36"/>
      <c r="G24" s="36"/>
      <c r="H24" s="36"/>
    </row>
    <row r="25" spans="1:8">
      <c r="A25" s="36"/>
      <c r="B25" s="41" t="s">
        <v>151</v>
      </c>
      <c r="C25" s="36"/>
      <c r="D25" s="36"/>
      <c r="E25" s="36"/>
      <c r="F25" s="755">
        <f>inputOth!E44</f>
        <v>640.82000000000005</v>
      </c>
      <c r="G25" s="36"/>
      <c r="H25" s="36"/>
    </row>
    <row r="26" spans="1:8">
      <c r="A26" s="36"/>
      <c r="B26" s="41"/>
      <c r="C26" s="36"/>
      <c r="D26" s="36"/>
      <c r="E26" s="36"/>
      <c r="F26" s="66"/>
      <c r="G26" s="373"/>
      <c r="H26" s="36"/>
    </row>
    <row r="27" spans="1:8">
      <c r="A27" s="36"/>
      <c r="B27" s="41" t="s">
        <v>76</v>
      </c>
      <c r="C27" s="36"/>
      <c r="D27" s="194">
        <f>IF(C21=0,0,D23/C21)</f>
        <v>9.5392655218363459E-2</v>
      </c>
      <c r="E27" s="36"/>
      <c r="F27" s="36"/>
      <c r="G27" s="36"/>
      <c r="H27" s="36"/>
    </row>
    <row r="28" spans="1:8">
      <c r="A28" s="36"/>
      <c r="B28" s="36"/>
      <c r="C28" s="41" t="s">
        <v>77</v>
      </c>
      <c r="D28" s="36"/>
      <c r="E28" s="194">
        <f>IF(C21=0,0,E24/C21)</f>
        <v>1.3443750988112535E-3</v>
      </c>
      <c r="F28" s="36"/>
      <c r="G28" s="36"/>
      <c r="H28" s="36"/>
    </row>
    <row r="29" spans="1:8">
      <c r="A29" s="36"/>
      <c r="B29" s="36"/>
      <c r="C29" s="36"/>
      <c r="D29" s="41" t="s">
        <v>152</v>
      </c>
      <c r="E29" s="36"/>
      <c r="F29" s="194">
        <f>IF(C21=0,0,F25/C21)</f>
        <v>4.8243982865187578E-4</v>
      </c>
      <c r="G29" s="36"/>
      <c r="H29" s="36"/>
    </row>
    <row r="30" spans="1:8">
      <c r="A30" s="36"/>
      <c r="B30" s="36"/>
      <c r="C30" s="36"/>
      <c r="D30" s="36"/>
      <c r="E30" s="36"/>
      <c r="F30" s="36"/>
      <c r="G30" s="36"/>
      <c r="H30" s="36"/>
    </row>
    <row r="31" spans="1:8">
      <c r="A31" s="36"/>
      <c r="B31" s="57"/>
      <c r="C31" s="57"/>
      <c r="D31" s="57"/>
      <c r="E31" s="57"/>
      <c r="F31" s="57"/>
      <c r="G31" s="57"/>
      <c r="H31" s="36"/>
    </row>
  </sheetData>
  <mergeCells count="2">
    <mergeCell ref="B3:F3"/>
    <mergeCell ref="D5:F5"/>
  </mergeCells>
  <phoneticPr fontId="0" type="noConversion"/>
  <printOptions horizontalCentered="1"/>
  <pageMargins left="0.5" right="0.5" top="0.5" bottom="0.5" header="0.3" footer="0.3"/>
  <pageSetup scale="97" orientation="portrait" blackAndWhite="1" horizontalDpi="120" verticalDpi="144"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F41"/>
  <sheetViews>
    <sheetView topLeftCell="B1" zoomScaleNormal="100" workbookViewId="0">
      <selection activeCell="O11" sqref="O11"/>
    </sheetView>
  </sheetViews>
  <sheetFormatPr defaultRowHeight="15.75"/>
  <cols>
    <col min="1" max="2" width="17.77734375" style="21" customWidth="1"/>
    <col min="3" max="6" width="12.77734375" style="21" customWidth="1"/>
    <col min="7" max="16384" width="8.88671875" style="21"/>
  </cols>
  <sheetData>
    <row r="1" spans="1:6">
      <c r="A1" s="165" t="str">
        <f>inputPrYr!D2</f>
        <v>City of Osawatomie</v>
      </c>
      <c r="B1" s="165"/>
      <c r="C1" s="164"/>
      <c r="D1" s="164"/>
      <c r="E1" s="164"/>
      <c r="F1" s="164">
        <f>inputPrYr!$C$5</f>
        <v>2013</v>
      </c>
    </row>
    <row r="2" spans="1:6">
      <c r="A2" s="164"/>
      <c r="B2" s="164"/>
      <c r="C2" s="164"/>
      <c r="D2" s="164"/>
      <c r="E2" s="164"/>
      <c r="F2" s="164"/>
    </row>
    <row r="3" spans="1:6">
      <c r="A3" s="947" t="s">
        <v>204</v>
      </c>
      <c r="B3" s="947"/>
      <c r="C3" s="947"/>
      <c r="D3" s="947"/>
      <c r="E3" s="947"/>
      <c r="F3" s="947"/>
    </row>
    <row r="4" spans="1:6">
      <c r="A4" s="195"/>
      <c r="B4" s="195"/>
      <c r="C4" s="195"/>
      <c r="D4" s="195"/>
      <c r="E4" s="195"/>
      <c r="F4" s="195"/>
    </row>
    <row r="5" spans="1:6">
      <c r="A5" s="196" t="s">
        <v>580</v>
      </c>
      <c r="B5" s="196" t="s">
        <v>581</v>
      </c>
      <c r="C5" s="196" t="s">
        <v>100</v>
      </c>
      <c r="D5" s="196" t="s">
        <v>218</v>
      </c>
      <c r="E5" s="196" t="s">
        <v>219</v>
      </c>
      <c r="F5" s="196" t="s">
        <v>257</v>
      </c>
    </row>
    <row r="6" spans="1:6">
      <c r="A6" s="197" t="s">
        <v>582</v>
      </c>
      <c r="B6" s="197" t="s">
        <v>583</v>
      </c>
      <c r="C6" s="197" t="s">
        <v>258</v>
      </c>
      <c r="D6" s="197" t="s">
        <v>258</v>
      </c>
      <c r="E6" s="197" t="s">
        <v>258</v>
      </c>
      <c r="F6" s="197" t="s">
        <v>259</v>
      </c>
    </row>
    <row r="7" spans="1:6" ht="15" customHeight="1">
      <c r="A7" s="198" t="s">
        <v>260</v>
      </c>
      <c r="B7" s="198" t="s">
        <v>261</v>
      </c>
      <c r="C7" s="199">
        <f>F1-2</f>
        <v>2011</v>
      </c>
      <c r="D7" s="199">
        <f>F1-1</f>
        <v>2012</v>
      </c>
      <c r="E7" s="199">
        <f>F1</f>
        <v>2013</v>
      </c>
      <c r="F7" s="198" t="s">
        <v>262</v>
      </c>
    </row>
    <row r="8" spans="1:6" ht="14.25" customHeight="1">
      <c r="A8" s="893" t="s">
        <v>970</v>
      </c>
      <c r="B8" s="893" t="s">
        <v>48</v>
      </c>
      <c r="C8" s="200"/>
      <c r="D8" s="200">
        <v>115400</v>
      </c>
      <c r="E8" s="200">
        <v>116200</v>
      </c>
      <c r="F8" s="893" t="s">
        <v>991</v>
      </c>
    </row>
    <row r="9" spans="1:6" ht="14.25" customHeight="1">
      <c r="A9" s="893" t="s">
        <v>970</v>
      </c>
      <c r="B9" s="894" t="s">
        <v>990</v>
      </c>
      <c r="C9" s="200"/>
      <c r="D9" s="200">
        <v>10477.970888942309</v>
      </c>
      <c r="E9" s="200">
        <v>22514.913666000004</v>
      </c>
      <c r="F9" s="893" t="s">
        <v>991</v>
      </c>
    </row>
    <row r="10" spans="1:6" ht="14.25" customHeight="1">
      <c r="A10" s="893" t="s">
        <v>970</v>
      </c>
      <c r="B10" s="894" t="s">
        <v>959</v>
      </c>
      <c r="C10" s="200"/>
      <c r="D10" s="200">
        <v>27235</v>
      </c>
      <c r="E10" s="200">
        <v>59827</v>
      </c>
      <c r="F10" s="893" t="s">
        <v>991</v>
      </c>
    </row>
    <row r="11" spans="1:6" ht="15" customHeight="1">
      <c r="A11" s="893" t="s">
        <v>971</v>
      </c>
      <c r="B11" s="893" t="s">
        <v>48</v>
      </c>
      <c r="C11" s="200">
        <v>743800</v>
      </c>
      <c r="D11" s="200">
        <v>388200</v>
      </c>
      <c r="E11" s="200">
        <v>314600</v>
      </c>
      <c r="F11" s="893" t="s">
        <v>991</v>
      </c>
    </row>
    <row r="12" spans="1:6" ht="15" customHeight="1">
      <c r="A12" s="894" t="s">
        <v>971</v>
      </c>
      <c r="B12" s="894" t="s">
        <v>990</v>
      </c>
      <c r="C12" s="203">
        <v>45000</v>
      </c>
      <c r="D12" s="203">
        <v>70267.819762019237</v>
      </c>
      <c r="E12" s="203">
        <v>53347.79772000001</v>
      </c>
      <c r="F12" s="893" t="s">
        <v>991</v>
      </c>
    </row>
    <row r="13" spans="1:6" ht="15" customHeight="1">
      <c r="A13" s="894" t="s">
        <v>971</v>
      </c>
      <c r="B13" s="894" t="s">
        <v>970</v>
      </c>
      <c r="C13" s="203"/>
      <c r="D13" s="203"/>
      <c r="E13" s="203"/>
      <c r="F13" s="893" t="s">
        <v>991</v>
      </c>
    </row>
    <row r="14" spans="1:6" ht="15" customHeight="1">
      <c r="A14" s="894" t="s">
        <v>971</v>
      </c>
      <c r="B14" s="894" t="s">
        <v>969</v>
      </c>
      <c r="C14" s="203">
        <v>17000</v>
      </c>
      <c r="D14" s="203"/>
      <c r="E14" s="203"/>
      <c r="F14" s="893" t="s">
        <v>991</v>
      </c>
    </row>
    <row r="15" spans="1:6" ht="15" customHeight="1">
      <c r="A15" s="894" t="s">
        <v>971</v>
      </c>
      <c r="B15" s="894" t="s">
        <v>1174</v>
      </c>
      <c r="C15" s="203"/>
      <c r="D15" s="203">
        <v>90000</v>
      </c>
      <c r="E15" s="203">
        <v>175000</v>
      </c>
      <c r="F15" s="893" t="s">
        <v>991</v>
      </c>
    </row>
    <row r="16" spans="1:6" ht="15" customHeight="1">
      <c r="A16" s="894" t="s">
        <v>971</v>
      </c>
      <c r="B16" s="894" t="s">
        <v>989</v>
      </c>
      <c r="C16" s="203">
        <v>65000</v>
      </c>
      <c r="D16" s="203">
        <v>45000</v>
      </c>
      <c r="E16" s="203">
        <v>30000</v>
      </c>
      <c r="F16" s="893" t="s">
        <v>991</v>
      </c>
    </row>
    <row r="17" spans="1:6" ht="15" customHeight="1">
      <c r="A17" s="894" t="s">
        <v>971</v>
      </c>
      <c r="B17" s="894" t="s">
        <v>965</v>
      </c>
      <c r="C17" s="203"/>
      <c r="D17" s="203">
        <v>12000</v>
      </c>
      <c r="E17" s="203">
        <v>12000</v>
      </c>
      <c r="F17" s="893" t="s">
        <v>991</v>
      </c>
    </row>
    <row r="18" spans="1:6" ht="15" customHeight="1">
      <c r="A18" s="894" t="s">
        <v>971</v>
      </c>
      <c r="B18" s="894" t="s">
        <v>978</v>
      </c>
      <c r="C18" s="203">
        <v>27500</v>
      </c>
      <c r="D18" s="203">
        <v>380000</v>
      </c>
      <c r="E18" s="203">
        <v>85000</v>
      </c>
      <c r="F18" s="893" t="s">
        <v>991</v>
      </c>
    </row>
    <row r="19" spans="1:6" ht="15" customHeight="1">
      <c r="A19" s="894" t="s">
        <v>971</v>
      </c>
      <c r="B19" s="894" t="s">
        <v>1180</v>
      </c>
      <c r="C19" s="203">
        <v>452132</v>
      </c>
      <c r="D19" s="203"/>
      <c r="E19" s="203"/>
      <c r="F19" s="893" t="s">
        <v>991</v>
      </c>
    </row>
    <row r="20" spans="1:6" ht="15" customHeight="1">
      <c r="A20" s="894" t="s">
        <v>971</v>
      </c>
      <c r="B20" s="894" t="s">
        <v>1175</v>
      </c>
      <c r="C20" s="203"/>
      <c r="D20" s="203"/>
      <c r="E20" s="203">
        <v>25000</v>
      </c>
      <c r="F20" s="893" t="s">
        <v>992</v>
      </c>
    </row>
    <row r="21" spans="1:6" ht="15" customHeight="1">
      <c r="A21" s="894" t="s">
        <v>1176</v>
      </c>
      <c r="B21" s="894" t="s">
        <v>1177</v>
      </c>
      <c r="C21" s="203"/>
      <c r="D21" s="203">
        <v>27487.798413461536</v>
      </c>
      <c r="E21" s="203">
        <v>52196.136300000006</v>
      </c>
      <c r="F21" s="893" t="s">
        <v>1181</v>
      </c>
    </row>
    <row r="22" spans="1:6" ht="15" customHeight="1">
      <c r="A22" s="894" t="s">
        <v>754</v>
      </c>
      <c r="B22" s="894" t="s">
        <v>48</v>
      </c>
      <c r="C22" s="203">
        <v>2811</v>
      </c>
      <c r="D22" s="203"/>
      <c r="E22" s="203"/>
      <c r="F22" s="893" t="s">
        <v>1182</v>
      </c>
    </row>
    <row r="23" spans="1:6" ht="15" customHeight="1">
      <c r="A23" s="894" t="s">
        <v>754</v>
      </c>
      <c r="B23" s="894" t="s">
        <v>1175</v>
      </c>
      <c r="C23" s="203">
        <v>20020</v>
      </c>
      <c r="D23" s="203"/>
      <c r="E23" s="203">
        <v>100000</v>
      </c>
      <c r="F23" s="893" t="s">
        <v>992</v>
      </c>
    </row>
    <row r="24" spans="1:6" ht="15" customHeight="1">
      <c r="A24" s="894" t="s">
        <v>596</v>
      </c>
      <c r="B24" s="894" t="s">
        <v>1179</v>
      </c>
      <c r="C24" s="203">
        <v>22000</v>
      </c>
      <c r="D24" s="203"/>
      <c r="E24" s="203"/>
      <c r="F24" s="893" t="s">
        <v>1181</v>
      </c>
    </row>
    <row r="25" spans="1:6" ht="15" customHeight="1">
      <c r="A25" s="894" t="s">
        <v>596</v>
      </c>
      <c r="B25" s="894" t="s">
        <v>1174</v>
      </c>
      <c r="C25" s="203"/>
      <c r="D25" s="203">
        <v>98720.43</v>
      </c>
      <c r="E25" s="203">
        <v>13456</v>
      </c>
      <c r="F25" s="893" t="s">
        <v>1182</v>
      </c>
    </row>
    <row r="26" spans="1:6" ht="15" customHeight="1">
      <c r="A26" s="894" t="s">
        <v>973</v>
      </c>
      <c r="B26" s="893" t="s">
        <v>48</v>
      </c>
      <c r="C26" s="203">
        <v>77900</v>
      </c>
      <c r="D26" s="203">
        <v>116400</v>
      </c>
      <c r="E26" s="203">
        <v>116200</v>
      </c>
      <c r="F26" s="893" t="s">
        <v>991</v>
      </c>
    </row>
    <row r="27" spans="1:6" ht="15" customHeight="1">
      <c r="A27" s="894" t="s">
        <v>973</v>
      </c>
      <c r="B27" s="894" t="s">
        <v>990</v>
      </c>
      <c r="C27" s="203"/>
      <c r="D27" s="203">
        <v>6837.0119365384617</v>
      </c>
      <c r="E27" s="203">
        <v>14739.032952000001</v>
      </c>
      <c r="F27" s="893" t="s">
        <v>1181</v>
      </c>
    </row>
    <row r="28" spans="1:6" ht="15" customHeight="1">
      <c r="A28" s="894" t="s">
        <v>973</v>
      </c>
      <c r="B28" s="894" t="s">
        <v>959</v>
      </c>
      <c r="C28" s="203">
        <v>200000</v>
      </c>
      <c r="D28" s="203">
        <v>310000</v>
      </c>
      <c r="E28" s="203">
        <v>434000</v>
      </c>
      <c r="F28" s="893" t="s">
        <v>991</v>
      </c>
    </row>
    <row r="29" spans="1:6" ht="15" customHeight="1">
      <c r="A29" s="894" t="s">
        <v>1178</v>
      </c>
      <c r="B29" s="894" t="s">
        <v>990</v>
      </c>
      <c r="C29" s="203"/>
      <c r="D29" s="203">
        <v>12238.099999999999</v>
      </c>
      <c r="E29" s="203">
        <v>2419</v>
      </c>
      <c r="F29" s="893" t="s">
        <v>1181</v>
      </c>
    </row>
    <row r="30" spans="1:6" ht="15" customHeight="1">
      <c r="A30" s="894" t="s">
        <v>1180</v>
      </c>
      <c r="B30" s="894" t="s">
        <v>1179</v>
      </c>
      <c r="C30" s="203"/>
      <c r="D30" s="203">
        <v>452131.76</v>
      </c>
      <c r="E30" s="203"/>
      <c r="F30" s="893" t="s">
        <v>992</v>
      </c>
    </row>
    <row r="31" spans="1:6" ht="15" customHeight="1">
      <c r="A31" s="894" t="s">
        <v>1180</v>
      </c>
      <c r="B31" s="894" t="s">
        <v>969</v>
      </c>
      <c r="C31" s="203"/>
      <c r="D31" s="203">
        <v>77950.42</v>
      </c>
      <c r="E31" s="203"/>
      <c r="F31" s="893" t="s">
        <v>992</v>
      </c>
    </row>
    <row r="32" spans="1:6" ht="15" customHeight="1">
      <c r="A32" s="894" t="s">
        <v>1180</v>
      </c>
      <c r="B32" s="894" t="s">
        <v>959</v>
      </c>
      <c r="C32" s="203"/>
      <c r="D32" s="203">
        <v>5000</v>
      </c>
      <c r="E32" s="203"/>
      <c r="F32" s="893" t="s">
        <v>992</v>
      </c>
    </row>
    <row r="33" spans="1:6" ht="15" customHeight="1">
      <c r="A33" s="894" t="s">
        <v>1180</v>
      </c>
      <c r="B33" s="894" t="s">
        <v>978</v>
      </c>
      <c r="C33" s="203"/>
      <c r="D33" s="203">
        <v>12164.26</v>
      </c>
      <c r="E33" s="203"/>
      <c r="F33" s="893" t="s">
        <v>992</v>
      </c>
    </row>
    <row r="34" spans="1:6" ht="15" customHeight="1">
      <c r="A34" s="202"/>
      <c r="B34" s="202"/>
      <c r="C34" s="203"/>
      <c r="D34" s="203"/>
      <c r="E34" s="203"/>
      <c r="F34" s="201"/>
    </row>
    <row r="35" spans="1:6" ht="15" customHeight="1">
      <c r="A35" s="87"/>
      <c r="B35" s="204" t="s">
        <v>66</v>
      </c>
      <c r="C35" s="205">
        <f>SUM(C8:C34)</f>
        <v>1673163</v>
      </c>
      <c r="D35" s="205">
        <f>SUM(D8:D34)</f>
        <v>2257510.5710009611</v>
      </c>
      <c r="E35" s="205">
        <f>SUM(E8:E34)</f>
        <v>1626499.8806380001</v>
      </c>
      <c r="F35" s="206"/>
    </row>
    <row r="36" spans="1:6" ht="15" customHeight="1">
      <c r="A36" s="87"/>
      <c r="B36" s="207" t="s">
        <v>263</v>
      </c>
      <c r="C36" s="147"/>
      <c r="D36" s="208"/>
      <c r="E36" s="208"/>
      <c r="F36" s="206"/>
    </row>
    <row r="37" spans="1:6" ht="15" customHeight="1">
      <c r="A37" s="87"/>
      <c r="B37" s="204" t="s">
        <v>264</v>
      </c>
      <c r="C37" s="205">
        <f>C35</f>
        <v>1673163</v>
      </c>
      <c r="D37" s="205">
        <f>SUM(D35-D36)</f>
        <v>2257510.5710009611</v>
      </c>
      <c r="E37" s="205">
        <f>SUM(E35-E36)</f>
        <v>1626499.8806380001</v>
      </c>
      <c r="F37" s="206"/>
    </row>
    <row r="38" spans="1:6" ht="15" customHeight="1">
      <c r="A38" s="87"/>
      <c r="B38" s="87"/>
      <c r="C38" s="87"/>
      <c r="D38" s="87"/>
      <c r="E38" s="87"/>
      <c r="F38" s="87"/>
    </row>
    <row r="39" spans="1:6" ht="15" customHeight="1">
      <c r="A39" s="87"/>
      <c r="B39" s="87"/>
      <c r="C39" s="87"/>
      <c r="D39" s="87"/>
      <c r="E39" s="87"/>
      <c r="F39" s="87"/>
    </row>
    <row r="40" spans="1:6" ht="15" customHeight="1">
      <c r="A40" s="365" t="s">
        <v>579</v>
      </c>
      <c r="B40" s="366" t="str">
        <f>CONCATENATE("Adjustments are required only if the transfer is being made in ",D7," and/or ",E7," from a non-budgeted fund.")</f>
        <v>Adjustments are required only if the transfer is being made in 2012 and/or 2013 from a non-budgeted fund.</v>
      </c>
      <c r="C40" s="87"/>
      <c r="D40" s="87"/>
      <c r="E40" s="87"/>
      <c r="F40" s="87"/>
    </row>
    <row r="41" spans="1:6" ht="15" customHeight="1"/>
  </sheetData>
  <mergeCells count="1">
    <mergeCell ref="A3:F3"/>
  </mergeCells>
  <phoneticPr fontId="9" type="noConversion"/>
  <printOptions horizontalCentered="1"/>
  <pageMargins left="0.5" right="0.5" top="0.5" bottom="0.5" header="0.3" footer="0.3"/>
  <pageSetup scale="92" orientation="portrait" blackAndWhite="1"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68"/>
  <sheetViews>
    <sheetView topLeftCell="B1" zoomScaleNormal="100" workbookViewId="0">
      <selection activeCell="O11" sqref="O11"/>
    </sheetView>
  </sheetViews>
  <sheetFormatPr defaultRowHeight="15"/>
  <cols>
    <col min="1" max="1" width="70.5546875" style="506" customWidth="1"/>
    <col min="2" max="16384" width="8.88671875" style="506"/>
  </cols>
  <sheetData>
    <row r="1" spans="1:1" ht="18.75">
      <c r="A1" s="507" t="s">
        <v>351</v>
      </c>
    </row>
    <row r="2" spans="1:1" ht="18.75">
      <c r="A2" s="507"/>
    </row>
    <row r="3" spans="1:1" ht="18.75">
      <c r="A3" s="507"/>
    </row>
    <row r="4" spans="1:1" ht="51.75" customHeight="1">
      <c r="A4" s="517" t="s">
        <v>711</v>
      </c>
    </row>
    <row r="5" spans="1:1" ht="18.75">
      <c r="A5" s="507"/>
    </row>
    <row r="6" spans="1:1" ht="15.75">
      <c r="A6" s="508"/>
    </row>
    <row r="7" spans="1:1" ht="47.25">
      <c r="A7" s="509" t="s">
        <v>352</v>
      </c>
    </row>
    <row r="8" spans="1:1" ht="15.75">
      <c r="A8" s="508"/>
    </row>
    <row r="9" spans="1:1" ht="15.75">
      <c r="A9" s="508"/>
    </row>
    <row r="10" spans="1:1" ht="63">
      <c r="A10" s="509" t="s">
        <v>353</v>
      </c>
    </row>
    <row r="11" spans="1:1" ht="15.75">
      <c r="A11" s="510"/>
    </row>
    <row r="12" spans="1:1" ht="15.75">
      <c r="A12" s="508"/>
    </row>
    <row r="13" spans="1:1" ht="47.25">
      <c r="A13" s="509" t="s">
        <v>354</v>
      </c>
    </row>
    <row r="14" spans="1:1" ht="15.75">
      <c r="A14" s="510"/>
    </row>
    <row r="15" spans="1:1" ht="15.75">
      <c r="A15" s="508"/>
    </row>
    <row r="16" spans="1:1" ht="47.25">
      <c r="A16" s="509" t="s">
        <v>355</v>
      </c>
    </row>
    <row r="17" spans="1:1" ht="15.75">
      <c r="A17" s="510"/>
    </row>
    <row r="18" spans="1:1" ht="15.75">
      <c r="A18" s="510"/>
    </row>
    <row r="19" spans="1:1" ht="47.25">
      <c r="A19" s="509" t="s">
        <v>356</v>
      </c>
    </row>
    <row r="20" spans="1:1" ht="15.75">
      <c r="A20" s="510"/>
    </row>
    <row r="21" spans="1:1" ht="15.75">
      <c r="A21" s="510"/>
    </row>
    <row r="22" spans="1:1" ht="47.25">
      <c r="A22" s="509" t="s">
        <v>357</v>
      </c>
    </row>
    <row r="23" spans="1:1" ht="15.75">
      <c r="A23" s="510"/>
    </row>
    <row r="24" spans="1:1" ht="15.75">
      <c r="A24" s="510"/>
    </row>
    <row r="25" spans="1:1" ht="31.5">
      <c r="A25" s="509" t="s">
        <v>358</v>
      </c>
    </row>
    <row r="26" spans="1:1" ht="15.75">
      <c r="A26" s="508"/>
    </row>
    <row r="27" spans="1:1" ht="15.75">
      <c r="A27" s="508"/>
    </row>
    <row r="28" spans="1:1" ht="60">
      <c r="A28" s="511" t="s">
        <v>359</v>
      </c>
    </row>
    <row r="29" spans="1:1">
      <c r="A29" s="512"/>
    </row>
    <row r="30" spans="1:1">
      <c r="A30" s="512"/>
    </row>
    <row r="31" spans="1:1" ht="47.25">
      <c r="A31" s="509" t="s">
        <v>360</v>
      </c>
    </row>
    <row r="32" spans="1:1" ht="15.75">
      <c r="A32" s="508"/>
    </row>
    <row r="33" spans="1:1" ht="15.75">
      <c r="A33" s="508"/>
    </row>
    <row r="34" spans="1:1" ht="66.75" customHeight="1">
      <c r="A34" s="516" t="s">
        <v>712</v>
      </c>
    </row>
    <row r="35" spans="1:1" ht="15.75">
      <c r="A35" s="508"/>
    </row>
    <row r="36" spans="1:1" ht="15.75">
      <c r="A36" s="508"/>
    </row>
    <row r="37" spans="1:1" ht="63">
      <c r="A37" s="513" t="s">
        <v>361</v>
      </c>
    </row>
    <row r="38" spans="1:1" ht="15.75">
      <c r="A38" s="510"/>
    </row>
    <row r="39" spans="1:1" ht="15.75">
      <c r="A39" s="508"/>
    </row>
    <row r="40" spans="1:1" ht="63">
      <c r="A40" s="509" t="s">
        <v>362</v>
      </c>
    </row>
    <row r="41" spans="1:1" ht="15.75">
      <c r="A41" s="510"/>
    </row>
    <row r="42" spans="1:1" ht="15.75">
      <c r="A42" s="510"/>
    </row>
    <row r="43" spans="1:1" ht="82.5" customHeight="1">
      <c r="A43" s="505" t="s">
        <v>713</v>
      </c>
    </row>
    <row r="44" spans="1:1" ht="15.75">
      <c r="A44" s="510"/>
    </row>
    <row r="45" spans="1:1" ht="15.75">
      <c r="A45" s="510"/>
    </row>
    <row r="46" spans="1:1" ht="69" customHeight="1">
      <c r="A46" s="505" t="s">
        <v>714</v>
      </c>
    </row>
    <row r="47" spans="1:1" ht="15.75">
      <c r="A47" s="510"/>
    </row>
    <row r="48" spans="1:1" ht="15.75">
      <c r="A48" s="510"/>
    </row>
    <row r="49" spans="1:1" ht="69" customHeight="1">
      <c r="A49" s="505" t="s">
        <v>715</v>
      </c>
    </row>
    <row r="50" spans="1:1" ht="15.75" customHeight="1">
      <c r="A50" s="510"/>
    </row>
    <row r="51" spans="1:1" ht="21.75" customHeight="1">
      <c r="A51" s="510"/>
    </row>
    <row r="52" spans="1:1" ht="66" customHeight="1">
      <c r="A52" s="505" t="s">
        <v>859</v>
      </c>
    </row>
    <row r="53" spans="1:1" ht="15.75">
      <c r="A53" s="510"/>
    </row>
    <row r="54" spans="1:1" ht="15.75">
      <c r="A54" s="510"/>
    </row>
    <row r="55" spans="1:1" ht="63">
      <c r="A55" s="509" t="s">
        <v>363</v>
      </c>
    </row>
    <row r="56" spans="1:1" ht="15.75">
      <c r="A56" s="510"/>
    </row>
    <row r="57" spans="1:1" ht="15.75">
      <c r="A57" s="510"/>
    </row>
    <row r="58" spans="1:1" ht="63">
      <c r="A58" s="509" t="s">
        <v>364</v>
      </c>
    </row>
    <row r="59" spans="1:1" ht="15.75">
      <c r="A59" s="510"/>
    </row>
    <row r="60" spans="1:1" ht="15.75">
      <c r="A60" s="510"/>
    </row>
    <row r="61" spans="1:1" ht="47.25">
      <c r="A61" s="509" t="s">
        <v>365</v>
      </c>
    </row>
    <row r="62" spans="1:1" ht="15.75">
      <c r="A62" s="510"/>
    </row>
    <row r="63" spans="1:1" ht="15.75">
      <c r="A63" s="510"/>
    </row>
    <row r="64" spans="1:1" ht="47.25">
      <c r="A64" s="509" t="s">
        <v>366</v>
      </c>
    </row>
    <row r="65" spans="1:1" ht="15.75">
      <c r="A65" s="510"/>
    </row>
    <row r="66" spans="1:1" ht="15.75">
      <c r="A66" s="510"/>
    </row>
    <row r="67" spans="1:1" ht="78.75">
      <c r="A67" s="509" t="s">
        <v>367</v>
      </c>
    </row>
    <row r="68" spans="1:1">
      <c r="A68" s="514"/>
    </row>
  </sheetData>
  <sheetProtection sheet="1" objects="1" scenarios="1"/>
  <phoneticPr fontId="0" type="noConversion"/>
  <printOptions horizontalCentered="1"/>
  <pageMargins left="0.5" right="0.5" top="0.5" bottom="0.5" header="0.3" footer="0.3"/>
  <pageSetup scale="3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27</vt:i4>
      </vt:variant>
    </vt:vector>
  </HeadingPairs>
  <TitlesOfParts>
    <vt:vector size="76"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GenDetail</vt:lpstr>
      <vt:lpstr>DebtService</vt:lpstr>
      <vt:lpstr>Library-Rec</vt:lpstr>
      <vt:lpstr>Ind-EBF</vt:lpstr>
      <vt:lpstr>PS Equip-REBF</vt:lpstr>
      <vt:lpstr>St Imp-Refuse</vt:lpstr>
      <vt:lpstr>Golf-911</vt:lpstr>
      <vt:lpstr>Tourism</vt:lpstr>
      <vt:lpstr>levy 7</vt:lpstr>
      <vt:lpstr>Levy 8</vt:lpstr>
      <vt:lpstr>levy9</vt:lpstr>
      <vt:lpstr>levy10</vt:lpstr>
      <vt:lpstr>no levy page21</vt:lpstr>
      <vt:lpstr>levy page11</vt:lpstr>
      <vt:lpstr>levy page12</vt:lpstr>
      <vt:lpstr>levy page13</vt:lpstr>
      <vt:lpstr>Water</vt:lpstr>
      <vt:lpstr>Elec</vt:lpstr>
      <vt:lpstr>Sewer</vt:lpstr>
      <vt:lpstr>SP&amp;R</vt:lpstr>
      <vt:lpstr>CIP Funds</vt:lpstr>
      <vt:lpstr>Agency Funds1</vt:lpstr>
      <vt:lpstr>Agency Funds2</vt:lpstr>
      <vt:lpstr>NonBudD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'Agency Funds1'!Print_Area</vt:lpstr>
      <vt:lpstr>'Agency Funds2'!Print_Area</vt:lpstr>
      <vt:lpstr>cert!Print_Area</vt:lpstr>
      <vt:lpstr>'CIP Funds'!Print_Area</vt:lpstr>
      <vt:lpstr>debt!Print_Area</vt:lpstr>
      <vt:lpstr>DebtService!Print_Area</vt:lpstr>
      <vt:lpstr>Elec!Print_Area</vt:lpstr>
      <vt:lpstr>general!Print_Area</vt:lpstr>
      <vt:lpstr>'Golf-911'!Print_Area</vt:lpstr>
      <vt:lpstr>'Ind-EBF'!Print_Area</vt:lpstr>
      <vt:lpstr>inputPrYr!Print_Area</vt:lpstr>
      <vt:lpstr>'levy page11'!Print_Area</vt:lpstr>
      <vt:lpstr>'levy page12'!Print_Area</vt:lpstr>
      <vt:lpstr>'levy page13'!Print_Area</vt:lpstr>
      <vt:lpstr>'Library Grant'!Print_Area</vt:lpstr>
      <vt:lpstr>'Library-Rec'!Print_Area</vt:lpstr>
      <vt:lpstr>lpform!Print_Area</vt:lpstr>
      <vt:lpstr>'Mill Rate Computation'!Print_Area</vt:lpstr>
      <vt:lpstr>mvalloc!Print_Area</vt:lpstr>
      <vt:lpstr>'PS Equip-REBF'!Print_Area</vt:lpstr>
      <vt:lpstr>Sewer!Print_Area</vt:lpstr>
      <vt:lpstr>'SP&amp;R'!Print_Area</vt:lpstr>
      <vt:lpstr>'St Imp-Refuse'!Print_Area</vt:lpstr>
      <vt:lpstr>summ!Print_Area</vt:lpstr>
      <vt:lpstr>Tourism!Print_Area</vt:lpstr>
      <vt:lpstr>transfers!Print_Area</vt:lpstr>
      <vt:lpstr>Water!Print_Area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2012-08-28T15:52:17Z</cp:lastPrinted>
  <dcterms:created xsi:type="dcterms:W3CDTF">1999-08-03T13:11:47Z</dcterms:created>
  <dcterms:modified xsi:type="dcterms:W3CDTF">2014-01-21T20:15:29Z</dcterms:modified>
</cp:coreProperties>
</file>