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2100" tabRatio="858"/>
  </bookViews>
  <sheets>
    <sheet name="cert" sheetId="3" r:id="rId1"/>
    <sheet name="signed cert" sheetId="38" r:id="rId2"/>
    <sheet name="computation" sheetId="16" r:id="rId3"/>
    <sheet name="Mvalloc" sheetId="5" r:id="rId4"/>
    <sheet name="Transfers" sheetId="24" r:id="rId5"/>
    <sheet name="debt" sheetId="14" r:id="rId6"/>
    <sheet name="lpform" sheetId="15" r:id="rId7"/>
    <sheet name="general" sheetId="7" r:id="rId8"/>
    <sheet name="SocSecurity" sheetId="8" r:id="rId9"/>
    <sheet name="SpecHwy  Water" sheetId="10" r:id="rId10"/>
    <sheet name="Sewer  WaterDebt" sheetId="11" r:id="rId11"/>
    <sheet name="nonbud" sheetId="23" r:id="rId12"/>
    <sheet name="summ" sheetId="13" r:id="rId13"/>
    <sheet name="publication" sheetId="37" r:id="rId14"/>
    <sheet name="inputPrYr" sheetId="2" r:id="rId15"/>
    <sheet name="inputOth" sheetId="19" r:id="rId16"/>
    <sheet name="inputBudSum" sheetId="35" r:id="rId17"/>
  </sheets>
  <definedNames>
    <definedName name="_xlnm.Print_Area" localSheetId="7">general!$B$1:$E$61</definedName>
    <definedName name="_xlnm.Print_Area" localSheetId="16">inputBudSum!$A$1:$H$27</definedName>
    <definedName name="_xlnm.Print_Area" localSheetId="14">inputPrYr!$A$1:$H$63</definedName>
    <definedName name="_xlnm.Print_Area" localSheetId="6">lpform!$B$1:$I$22</definedName>
    <definedName name="_xlnm.Print_Area" localSheetId="8">SocSecurity!$A$1:$E$68</definedName>
    <definedName name="_xlnm.Print_Area" localSheetId="12">summ!$A$1:$H$44</definedName>
  </definedNames>
  <calcPr calcId="125725"/>
</workbook>
</file>

<file path=xl/calcChain.xml><?xml version="1.0" encoding="utf-8"?>
<calcChain xmlns="http://schemas.openxmlformats.org/spreadsheetml/2006/main">
  <c r="C46" i="10"/>
  <c r="C37" i="7"/>
  <c r="C43"/>
  <c r="C51" s="1"/>
  <c r="G65" s="1"/>
  <c r="C11"/>
  <c r="D36" i="2"/>
  <c r="J26" i="8"/>
  <c r="C61" i="7"/>
  <c r="C22" i="3" s="1"/>
  <c r="A20"/>
  <c r="C20"/>
  <c r="G24" i="2"/>
  <c r="G23"/>
  <c r="G22"/>
  <c r="D42" i="8" s="1"/>
  <c r="D50" s="1"/>
  <c r="D49" s="1"/>
  <c r="G21" i="2"/>
  <c r="D8" i="8" s="1"/>
  <c r="D19" s="1"/>
  <c r="D18" s="1"/>
  <c r="G19" i="2"/>
  <c r="G18"/>
  <c r="G17"/>
  <c r="D9" i="7" s="1"/>
  <c r="D33" s="1"/>
  <c r="A7" i="13"/>
  <c r="D64" i="8"/>
  <c r="D33"/>
  <c r="E33" s="1"/>
  <c r="B49" i="2"/>
  <c r="A57" i="19"/>
  <c r="A23"/>
  <c r="C11" i="5"/>
  <c r="B11"/>
  <c r="A41" i="13"/>
  <c r="A40"/>
  <c r="G20" i="35"/>
  <c r="G22" s="1"/>
  <c r="C60" i="8"/>
  <c r="C29"/>
  <c r="C18" i="13"/>
  <c r="A27" i="19"/>
  <c r="A26"/>
  <c r="A25"/>
  <c r="A24"/>
  <c r="B27" i="13"/>
  <c r="B28"/>
  <c r="F28"/>
  <c r="D28"/>
  <c r="A18"/>
  <c r="C15" i="5"/>
  <c r="C14"/>
  <c r="C13"/>
  <c r="C12"/>
  <c r="B15"/>
  <c r="B14"/>
  <c r="B13"/>
  <c r="B12"/>
  <c r="A61" i="19"/>
  <c r="A60"/>
  <c r="A59"/>
  <c r="A58"/>
  <c r="E18" i="13"/>
  <c r="G43" i="8" s="1"/>
  <c r="D28" i="19"/>
  <c r="A22" i="13"/>
  <c r="A21"/>
  <c r="D60" i="8"/>
  <c r="D29"/>
  <c r="D79" s="1"/>
  <c r="D53" i="7"/>
  <c r="C53"/>
  <c r="D57"/>
  <c r="B48" i="2"/>
  <c r="B24" i="3"/>
  <c r="B23"/>
  <c r="A9" i="13"/>
  <c r="E25" i="2"/>
  <c r="D27" i="13" s="1"/>
  <c r="D58" i="8"/>
  <c r="C58"/>
  <c r="C57" s="1"/>
  <c r="D27"/>
  <c r="D18" i="13" s="1"/>
  <c r="C27" i="8"/>
  <c r="G37" s="1"/>
  <c r="G3" i="5"/>
  <c r="D7" s="1"/>
  <c r="A25" i="2"/>
  <c r="A57"/>
  <c r="A56"/>
  <c r="D45"/>
  <c r="C9" i="5"/>
  <c r="C10"/>
  <c r="D18"/>
  <c r="E20"/>
  <c r="F22"/>
  <c r="C50" i="8"/>
  <c r="C51" s="1"/>
  <c r="C19"/>
  <c r="C20" s="1"/>
  <c r="C28" s="1"/>
  <c r="E14" i="7"/>
  <c r="E15"/>
  <c r="E16"/>
  <c r="C33"/>
  <c r="C34" s="1"/>
  <c r="D51"/>
  <c r="D17" i="13" s="1"/>
  <c r="J6" i="16"/>
  <c r="C24" i="3"/>
  <c r="C23"/>
  <c r="C62" i="11"/>
  <c r="B22" i="13" s="1"/>
  <c r="C48" i="11"/>
  <c r="C49" s="1"/>
  <c r="D48"/>
  <c r="D62"/>
  <c r="D22" i="13" s="1"/>
  <c r="E48" i="11"/>
  <c r="E47" s="1"/>
  <c r="E62"/>
  <c r="F22" i="13" s="1"/>
  <c r="C30" i="11"/>
  <c r="B21" i="13" s="1"/>
  <c r="C15" i="11"/>
  <c r="C16" s="1"/>
  <c r="D15"/>
  <c r="D14" s="1"/>
  <c r="D30"/>
  <c r="D21" i="13" s="1"/>
  <c r="E15" i="11"/>
  <c r="E30"/>
  <c r="F21" i="13" s="1"/>
  <c r="E1" i="11"/>
  <c r="D5" s="1"/>
  <c r="E1" i="8"/>
  <c r="H44" s="1"/>
  <c r="E1" i="10"/>
  <c r="D31" s="1"/>
  <c r="E1" i="7"/>
  <c r="G55" s="1"/>
  <c r="E60" i="10"/>
  <c r="F20" i="13" s="1"/>
  <c r="C60" i="10"/>
  <c r="B20" i="13" s="1"/>
  <c r="C43" i="10"/>
  <c r="C44" s="1"/>
  <c r="D43"/>
  <c r="D42" s="1"/>
  <c r="D60"/>
  <c r="D20" i="13" s="1"/>
  <c r="E43" i="10"/>
  <c r="E42" s="1"/>
  <c r="E24"/>
  <c r="D25" i="3" s="1"/>
  <c r="C24" i="10"/>
  <c r="C23" s="1"/>
  <c r="C15"/>
  <c r="C16" s="1"/>
  <c r="D8"/>
  <c r="D9"/>
  <c r="D24"/>
  <c r="D19" i="13" s="1"/>
  <c r="E8" i="10"/>
  <c r="E9"/>
  <c r="D32" i="11"/>
  <c r="C32"/>
  <c r="D64"/>
  <c r="C64"/>
  <c r="D62" i="10"/>
  <c r="C62"/>
  <c r="D26"/>
  <c r="C26"/>
  <c r="E1" i="19"/>
  <c r="A40" s="1"/>
  <c r="A36" i="2"/>
  <c r="D15"/>
  <c r="E15"/>
  <c r="G16" s="1"/>
  <c r="J28" i="23"/>
  <c r="J17"/>
  <c r="J18" s="1"/>
  <c r="H28"/>
  <c r="H17"/>
  <c r="H18" s="1"/>
  <c r="F28"/>
  <c r="F17"/>
  <c r="F18" s="1"/>
  <c r="D28"/>
  <c r="D17"/>
  <c r="D18" s="1"/>
  <c r="B28"/>
  <c r="B17"/>
  <c r="B18" s="1"/>
  <c r="G11" i="16"/>
  <c r="E14"/>
  <c r="E15"/>
  <c r="E19"/>
  <c r="E20"/>
  <c r="E21"/>
  <c r="G24"/>
  <c r="E28"/>
  <c r="K1" i="23"/>
  <c r="F2" s="1"/>
  <c r="E61" i="11"/>
  <c r="E14"/>
  <c r="C14"/>
  <c r="D47"/>
  <c r="C47"/>
  <c r="A68" i="19"/>
  <c r="A67"/>
  <c r="A66"/>
  <c r="A65"/>
  <c r="A64"/>
  <c r="A63"/>
  <c r="A62"/>
  <c r="A56"/>
  <c r="A55"/>
  <c r="H1" i="13"/>
  <c r="J28" s="1"/>
  <c r="C29" i="3"/>
  <c r="A22" i="19"/>
  <c r="A21"/>
  <c r="B10" i="5"/>
  <c r="A1" i="24"/>
  <c r="F1"/>
  <c r="D7" s="1"/>
  <c r="E13"/>
  <c r="E15" s="1"/>
  <c r="F25" i="13" s="1"/>
  <c r="D13" i="24"/>
  <c r="D15" s="1"/>
  <c r="D25" i="13" s="1"/>
  <c r="C13" i="24"/>
  <c r="C15" s="1"/>
  <c r="B25" i="13" s="1"/>
  <c r="F1" i="3"/>
  <c r="A9" s="1"/>
  <c r="A23" i="13"/>
  <c r="A29" i="3"/>
  <c r="A5" i="23"/>
  <c r="I5"/>
  <c r="G5"/>
  <c r="E5"/>
  <c r="C5"/>
  <c r="A1"/>
  <c r="K7"/>
  <c r="M1" i="14"/>
  <c r="G7" s="1"/>
  <c r="E59" i="2"/>
  <c r="D59"/>
  <c r="A13"/>
  <c r="A46"/>
  <c r="A48" i="19"/>
  <c r="A3" i="3"/>
  <c r="E17" i="13"/>
  <c r="G71" i="7" s="1"/>
  <c r="C17" i="13"/>
  <c r="D35"/>
  <c r="D34"/>
  <c r="D33"/>
  <c r="D32"/>
  <c r="B35"/>
  <c r="B34"/>
  <c r="B33"/>
  <c r="B32"/>
  <c r="D46" i="2"/>
  <c r="D11" i="3"/>
  <c r="A8" s="1"/>
  <c r="A1" i="19"/>
  <c r="J1" i="16"/>
  <c r="B38" s="1"/>
  <c r="G8" i="15"/>
  <c r="H8"/>
  <c r="I8"/>
  <c r="J6" i="14"/>
  <c r="L6"/>
  <c r="B15" i="3"/>
  <c r="B45"/>
  <c r="I1" i="15"/>
  <c r="C28" i="3"/>
  <c r="C27"/>
  <c r="C26"/>
  <c r="C25"/>
  <c r="A28"/>
  <c r="A27"/>
  <c r="A26"/>
  <c r="A25"/>
  <c r="A24"/>
  <c r="A23"/>
  <c r="C32"/>
  <c r="B22"/>
  <c r="C5"/>
  <c r="C1" i="16"/>
  <c r="M15" i="14"/>
  <c r="M22"/>
  <c r="M30"/>
  <c r="L15"/>
  <c r="L22"/>
  <c r="L30"/>
  <c r="K15"/>
  <c r="K22"/>
  <c r="K30"/>
  <c r="J15"/>
  <c r="J22"/>
  <c r="J30"/>
  <c r="G30"/>
  <c r="F34" i="13" s="1"/>
  <c r="G15" i="14"/>
  <c r="F32" i="13" s="1"/>
  <c r="G22" i="14"/>
  <c r="F33" i="13" s="1"/>
  <c r="B1" i="14"/>
  <c r="B1" i="7"/>
  <c r="B6"/>
  <c r="B51" i="2"/>
  <c r="B52"/>
  <c r="B53"/>
  <c r="B50"/>
  <c r="D54"/>
  <c r="B47"/>
  <c r="B1" i="15"/>
  <c r="I20"/>
  <c r="H20"/>
  <c r="G20"/>
  <c r="F35" i="13" s="1"/>
  <c r="B2" i="5"/>
  <c r="B39" i="8"/>
  <c r="B5"/>
  <c r="B1"/>
  <c r="B31" i="10"/>
  <c r="B5"/>
  <c r="B1"/>
  <c r="B38" i="11"/>
  <c r="B5"/>
  <c r="B1"/>
  <c r="A20" i="13"/>
  <c r="A19"/>
  <c r="A5"/>
  <c r="D23" i="10"/>
  <c r="C29" i="11"/>
  <c r="E29"/>
  <c r="B32"/>
  <c r="D14" i="13"/>
  <c r="K28" i="23"/>
  <c r="B23" i="13" s="1"/>
  <c r="J5" i="16"/>
  <c r="D28" i="3"/>
  <c r="F24"/>
  <c r="M23" i="13"/>
  <c r="C8" i="5"/>
  <c r="E31" i="10"/>
  <c r="C31"/>
  <c r="F13" i="5"/>
  <c r="E46" i="8" s="1"/>
  <c r="M42" i="13"/>
  <c r="J77" i="7"/>
  <c r="E27" i="8"/>
  <c r="F10" i="5"/>
  <c r="E10"/>
  <c r="E13"/>
  <c r="E45" i="8" s="1"/>
  <c r="E14" i="5"/>
  <c r="E15"/>
  <c r="E11"/>
  <c r="F11"/>
  <c r="F14"/>
  <c r="F15"/>
  <c r="E58" i="8"/>
  <c r="D10" i="5"/>
  <c r="D11"/>
  <c r="D13"/>
  <c r="E44" i="8" s="1"/>
  <c r="D14" i="5"/>
  <c r="D15"/>
  <c r="E51" i="7"/>
  <c r="E64" i="8"/>
  <c r="E57" i="7"/>
  <c r="J27" i="8"/>
  <c r="J28"/>
  <c r="M43" i="13"/>
  <c r="J55" i="7"/>
  <c r="J56"/>
  <c r="J54"/>
  <c r="B18" i="16" l="1"/>
  <c r="A42"/>
  <c r="D33" i="11"/>
  <c r="B18" i="13"/>
  <c r="C18" i="8"/>
  <c r="G23" i="35"/>
  <c r="C33" i="11"/>
  <c r="C53" i="19"/>
  <c r="H66" i="7"/>
  <c r="A3" i="16"/>
  <c r="B9"/>
  <c r="G22"/>
  <c r="G21" i="35"/>
  <c r="G19" s="1"/>
  <c r="D38" i="11"/>
  <c r="E5"/>
  <c r="C5" i="10"/>
  <c r="A52" i="19"/>
  <c r="B26" i="10"/>
  <c r="D61" i="11"/>
  <c r="C31"/>
  <c r="D63" i="10"/>
  <c r="D59"/>
  <c r="B17" i="13"/>
  <c r="C67" i="7"/>
  <c r="C50"/>
  <c r="C52"/>
  <c r="C68" s="1"/>
  <c r="G16" i="16"/>
  <c r="H70" i="7"/>
  <c r="D50"/>
  <c r="H63"/>
  <c r="C32"/>
  <c r="B28" i="16"/>
  <c r="B24"/>
  <c r="J27" i="13"/>
  <c r="J29" i="23"/>
  <c r="J30" s="1"/>
  <c r="D29" i="11"/>
  <c r="D5" i="10"/>
  <c r="E5"/>
  <c r="B19" i="13"/>
  <c r="C27" i="10"/>
  <c r="B62"/>
  <c r="E23"/>
  <c r="F19" i="13"/>
  <c r="D27" i="10"/>
  <c r="C25"/>
  <c r="C28" s="1"/>
  <c r="H73" i="7"/>
  <c r="G51"/>
  <c r="D6"/>
  <c r="H65"/>
  <c r="G58"/>
  <c r="C58"/>
  <c r="D67"/>
  <c r="B8" i="5"/>
  <c r="E15" i="10"/>
  <c r="E14" s="1"/>
  <c r="D15"/>
  <c r="D14" s="1"/>
  <c r="H38" i="8"/>
  <c r="H71" i="7"/>
  <c r="H33" i="8"/>
  <c r="E6" i="7"/>
  <c r="C6"/>
  <c r="J34" i="13"/>
  <c r="H61" i="7"/>
  <c r="H60"/>
  <c r="B53"/>
  <c r="H62"/>
  <c r="C7" i="24"/>
  <c r="H72" i="7"/>
  <c r="J43" i="13"/>
  <c r="G15"/>
  <c r="D31"/>
  <c r="E24"/>
  <c r="G73" i="7" s="1"/>
  <c r="H43" i="8"/>
  <c r="C59"/>
  <c r="C79"/>
  <c r="B31" s="1"/>
  <c r="G30"/>
  <c r="H37"/>
  <c r="G27"/>
  <c r="D39"/>
  <c r="E5"/>
  <c r="C49"/>
  <c r="D32" i="7"/>
  <c r="J41" i="13"/>
  <c r="J42"/>
  <c r="F31"/>
  <c r="K17" i="23"/>
  <c r="K30" s="1"/>
  <c r="D29"/>
  <c r="D30" s="1"/>
  <c r="F29"/>
  <c r="F30" s="1"/>
  <c r="H29"/>
  <c r="H30" s="1"/>
  <c r="C5" i="8"/>
  <c r="B29"/>
  <c r="C65"/>
  <c r="B60"/>
  <c r="F36" i="13"/>
  <c r="K31" i="14"/>
  <c r="M31"/>
  <c r="G31"/>
  <c r="B6" i="16"/>
  <c r="B5"/>
  <c r="B11"/>
  <c r="C15"/>
  <c r="C14"/>
  <c r="J7"/>
  <c r="B13"/>
  <c r="E12" i="3"/>
  <c r="A15" i="19"/>
  <c r="A14"/>
  <c r="B36" i="13"/>
  <c r="D36"/>
  <c r="C24"/>
  <c r="C63" i="11"/>
  <c r="C66" s="1"/>
  <c r="C63" i="10"/>
  <c r="C61"/>
  <c r="D32" s="1"/>
  <c r="D44" s="1"/>
  <c r="D61" s="1"/>
  <c r="C26" i="8"/>
  <c r="J31" i="14"/>
  <c r="L31"/>
  <c r="E50" i="8"/>
  <c r="E49" s="1"/>
  <c r="A30" i="19"/>
  <c r="A16"/>
  <c r="A19"/>
  <c r="F33" i="3"/>
  <c r="G26" i="16"/>
  <c r="C16" i="5"/>
  <c r="D26" s="1"/>
  <c r="D12" s="1"/>
  <c r="E10" i="8" s="1"/>
  <c r="M27" i="13"/>
  <c r="M35" s="1"/>
  <c r="J35"/>
  <c r="J32"/>
  <c r="J25"/>
  <c r="J21"/>
  <c r="J40"/>
  <c r="B31"/>
  <c r="F14"/>
  <c r="A11"/>
  <c r="B14"/>
  <c r="K18" i="23"/>
  <c r="B29"/>
  <c r="D6" i="11"/>
  <c r="D16" s="1"/>
  <c r="D31" s="1"/>
  <c r="C34"/>
  <c r="C38"/>
  <c r="C5"/>
  <c r="E38"/>
  <c r="D27" i="3"/>
  <c r="D65" i="11"/>
  <c r="B64"/>
  <c r="C61"/>
  <c r="C65"/>
  <c r="D26" i="3"/>
  <c r="C42" i="10"/>
  <c r="C14"/>
  <c r="C59"/>
  <c r="E59"/>
  <c r="D6" i="8"/>
  <c r="D20" s="1"/>
  <c r="D28" s="1"/>
  <c r="C80"/>
  <c r="C82"/>
  <c r="D40"/>
  <c r="D51" s="1"/>
  <c r="D59" s="1"/>
  <c r="H42"/>
  <c r="H34"/>
  <c r="G23"/>
  <c r="H45"/>
  <c r="H35"/>
  <c r="H32"/>
  <c r="D5"/>
  <c r="C39"/>
  <c r="E39"/>
  <c r="D81"/>
  <c r="C81"/>
  <c r="C34"/>
  <c r="D57"/>
  <c r="D26"/>
  <c r="D24" i="13"/>
  <c r="D26" s="1"/>
  <c r="E7" i="24"/>
  <c r="B18" s="1"/>
  <c r="E28" i="5"/>
  <c r="E12" s="1"/>
  <c r="F17" i="13"/>
  <c r="F63" i="7"/>
  <c r="E55"/>
  <c r="D22" i="3"/>
  <c r="E50" i="7"/>
  <c r="E62" i="8"/>
  <c r="E57"/>
  <c r="F70"/>
  <c r="D23" i="3"/>
  <c r="E26" i="8"/>
  <c r="E31"/>
  <c r="F35"/>
  <c r="F18" i="13"/>
  <c r="G30" i="16"/>
  <c r="G45" i="8"/>
  <c r="A9" i="19"/>
  <c r="B53"/>
  <c r="A46"/>
  <c r="A47"/>
  <c r="A8"/>
  <c r="A7"/>
  <c r="A45"/>
  <c r="G18" i="35"/>
  <c r="B24" i="13" l="1"/>
  <c r="B26" s="1"/>
  <c r="D39" i="11"/>
  <c r="D49" s="1"/>
  <c r="D63" s="1"/>
  <c r="F30" i="5"/>
  <c r="F12" s="1"/>
  <c r="E12" i="8" s="1"/>
  <c r="B55" i="7"/>
  <c r="D7"/>
  <c r="D34" s="1"/>
  <c r="D52" s="1"/>
  <c r="G60" s="1"/>
  <c r="G32" i="16"/>
  <c r="D6" i="10"/>
  <c r="D16" s="1"/>
  <c r="D25" s="1"/>
  <c r="E6" s="1"/>
  <c r="E16" s="1"/>
  <c r="E25" s="1"/>
  <c r="E26" s="1"/>
  <c r="J34" i="16"/>
  <c r="J36" s="1"/>
  <c r="E11" i="8"/>
  <c r="E9" i="5"/>
  <c r="D9"/>
  <c r="C64" i="10"/>
  <c r="B30" i="23"/>
  <c r="K29"/>
  <c r="E6" i="11"/>
  <c r="E16" s="1"/>
  <c r="E31" s="1"/>
  <c r="E32" s="1"/>
  <c r="D34"/>
  <c r="E39"/>
  <c r="E49" s="1"/>
  <c r="E63" s="1"/>
  <c r="E64" s="1"/>
  <c r="D66"/>
  <c r="E32" i="10"/>
  <c r="E44" s="1"/>
  <c r="E61" s="1"/>
  <c r="E62" s="1"/>
  <c r="D64"/>
  <c r="D80" i="8"/>
  <c r="B32" s="1"/>
  <c r="E6"/>
  <c r="G32"/>
  <c r="B62"/>
  <c r="D82"/>
  <c r="B63" s="1"/>
  <c r="E40"/>
  <c r="E51" s="1"/>
  <c r="E63" s="1"/>
  <c r="E65" s="1"/>
  <c r="D30" i="3"/>
  <c r="F24" i="13"/>
  <c r="F26" s="1"/>
  <c r="E19" i="8" l="1"/>
  <c r="G33" s="1"/>
  <c r="F9" i="5"/>
  <c r="E13" i="7" s="1"/>
  <c r="D28" i="10"/>
  <c r="E7" i="7"/>
  <c r="D68"/>
  <c r="B56" s="1"/>
  <c r="E11"/>
  <c r="D16" i="5"/>
  <c r="E12" i="7"/>
  <c r="E16" i="5"/>
  <c r="J40" i="16"/>
  <c r="E20" i="8" l="1"/>
  <c r="E32" s="1"/>
  <c r="E34" s="1"/>
  <c r="E23" i="3" s="1"/>
  <c r="F16" i="5"/>
  <c r="G18" i="13"/>
  <c r="H18" s="1"/>
  <c r="G42" i="8" s="1"/>
  <c r="E33" i="7"/>
  <c r="E18" i="8" l="1"/>
  <c r="G34"/>
  <c r="K34" s="1"/>
  <c r="E34" i="7"/>
  <c r="E56" s="1"/>
  <c r="E58" s="1"/>
  <c r="E32" s="1"/>
  <c r="G61"/>
  <c r="G35" i="8" l="1"/>
  <c r="G38" s="1"/>
  <c r="E22" i="3"/>
  <c r="G62" i="7"/>
  <c r="K62" s="1"/>
  <c r="G17" i="13"/>
  <c r="G24" s="1"/>
  <c r="M34" s="1"/>
  <c r="M36" s="1"/>
  <c r="E30" i="3" l="1"/>
  <c r="E31" s="1"/>
  <c r="F22"/>
  <c r="F30" s="1"/>
  <c r="H17" i="13"/>
  <c r="G70" i="7" s="1"/>
  <c r="G63"/>
  <c r="G66" s="1"/>
  <c r="M30" i="13"/>
  <c r="J29"/>
  <c r="M29"/>
  <c r="J30"/>
  <c r="H24" l="1"/>
  <c r="M40" s="1"/>
  <c r="G44" i="8" l="1"/>
  <c r="G72" i="7"/>
</calcChain>
</file>

<file path=xl/sharedStrings.xml><?xml version="1.0" encoding="utf-8"?>
<sst xmlns="http://schemas.openxmlformats.org/spreadsheetml/2006/main" count="623" uniqueCount="363">
  <si>
    <t xml:space="preserve">adopt an ordinance to exceed this limit, publish the ordinance, and </t>
  </si>
  <si>
    <t>attach a copy of the published ordinance to this budget.</t>
  </si>
  <si>
    <t xml:space="preserve"> Expenditures</t>
  </si>
  <si>
    <t>Estimate</t>
  </si>
  <si>
    <r>
      <t>**</t>
    </r>
    <r>
      <rPr>
        <b/>
        <u/>
        <sz val="12"/>
        <rFont val="Times New Roman"/>
        <family val="1"/>
      </rPr>
      <t>Note</t>
    </r>
    <r>
      <rPr>
        <sz val="12"/>
        <rFont val="Times New Roman"/>
        <family val="1"/>
      </rPr>
      <t>: The delinquency rate can be up to 5% more than the actual delinquency rate from the previous year.</t>
    </r>
  </si>
  <si>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</si>
  <si>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</si>
  <si>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</si>
  <si>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</si>
  <si>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</si>
  <si>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</si>
  <si>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</si>
  <si>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</si>
  <si>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</si>
  <si>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</si>
  <si>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</si>
  <si>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</si>
  <si>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</si>
  <si>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</si>
  <si>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</si>
  <si>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</si>
  <si>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</si>
  <si>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</si>
  <si>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</si>
  <si>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Outstanding Indebtedness, January 1:</t>
  </si>
  <si>
    <t>From the League of Municipalities' Budget Tips (Special City and County Highway Fund)</t>
  </si>
  <si>
    <t xml:space="preserve">Neighborhood Revitalization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</si>
  <si>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</si>
  <si>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</si>
  <si>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</si>
  <si>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</si>
  <si>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</si>
  <si>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</si>
  <si>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</si>
  <si>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Enter City Name (City of)</t>
  </si>
  <si>
    <t>Enter County Name followed by "County"</t>
  </si>
  <si>
    <t>Cash Balance Jan 1</t>
  </si>
  <si>
    <t>***If you are merely leasing/renting with no intent to purchase, do not list--such transactions are not lease-purchases.</t>
  </si>
  <si>
    <t>Single No Tax Levy Fund:</t>
  </si>
  <si>
    <t>Debt Service</t>
  </si>
  <si>
    <t xml:space="preserve">Ad Valorem Tax </t>
  </si>
  <si>
    <t>Adjusted Totals</t>
  </si>
  <si>
    <t>LAVTR</t>
  </si>
  <si>
    <t>Neighborhood Revitalization</t>
  </si>
  <si>
    <t>City and County Revenue Sharing</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</si>
  <si>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</si>
  <si>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</si>
  <si>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</si>
  <si>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</si>
  <si>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</si>
  <si>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</si>
  <si>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</si>
  <si>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</si>
  <si>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</si>
  <si>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</si>
  <si>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</si>
  <si>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</si>
  <si>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</si>
  <si>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</si>
  <si>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</si>
  <si>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</si>
  <si>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</si>
  <si>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</si>
  <si>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</si>
  <si>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</si>
  <si>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</si>
  <si>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</si>
  <si>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</si>
  <si>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</si>
  <si>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</si>
  <si>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</si>
  <si>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</si>
  <si>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</si>
  <si>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</si>
  <si>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</si>
  <si>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</si>
  <si>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</si>
  <si>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</si>
  <si>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</si>
  <si>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</si>
  <si>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</si>
  <si>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</si>
  <si>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</si>
  <si>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</si>
  <si>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</si>
  <si>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</si>
  <si>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</si>
  <si>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</si>
  <si>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</si>
  <si>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</si>
  <si>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</si>
  <si>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</si>
  <si>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</si>
  <si>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</si>
  <si>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</si>
  <si>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</si>
  <si>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</si>
  <si>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</si>
  <si>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</si>
  <si>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</si>
  <si>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</si>
  <si>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</si>
  <si>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</si>
  <si>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</si>
  <si>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</si>
  <si>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</si>
  <si>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</si>
  <si>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</si>
  <si>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</si>
  <si>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</si>
  <si>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</si>
  <si>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</si>
  <si>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</si>
  <si>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</si>
  <si>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</si>
  <si>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</si>
  <si>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</si>
  <si>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</si>
  <si>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</si>
  <si>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</si>
  <si>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</si>
  <si>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</si>
  <si>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</si>
  <si>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</si>
  <si>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</si>
  <si>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</si>
  <si>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</si>
  <si>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</si>
  <si>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</si>
  <si>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</si>
  <si>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</si>
  <si>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</si>
  <si>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</si>
  <si>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</si>
  <si>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</si>
  <si>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</si>
  <si>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</si>
  <si>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</si>
  <si>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</si>
  <si>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</si>
  <si>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</si>
  <si>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</si>
  <si>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</si>
  <si>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</si>
  <si>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</si>
  <si>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</si>
  <si>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</si>
  <si>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</si>
  <si>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</si>
  <si>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</si>
  <si>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</si>
  <si>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</si>
  <si>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</si>
  <si>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</si>
  <si>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</si>
  <si>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</si>
  <si>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</si>
  <si>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</si>
  <si>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</si>
  <si>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</si>
  <si>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</si>
  <si>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</si>
  <si>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</si>
  <si>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</si>
  <si>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</si>
  <si>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</si>
  <si>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</si>
  <si>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</si>
  <si>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</si>
  <si>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</si>
  <si>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</si>
  <si>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</si>
  <si>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</si>
  <si>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</si>
  <si>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</si>
  <si>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</si>
  <si>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</si>
  <si>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</si>
  <si>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</si>
  <si>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</si>
  <si>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</si>
  <si>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</si>
  <si>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</si>
  <si>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</si>
  <si>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</si>
  <si>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</si>
  <si>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</si>
  <si>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</si>
  <si>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</si>
  <si>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</si>
  <si>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</si>
  <si>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</si>
  <si>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</si>
  <si>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</si>
  <si>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</si>
  <si>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</si>
  <si>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</si>
  <si>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</si>
  <si>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</si>
  <si>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</si>
  <si>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</si>
  <si>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</si>
  <si>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</si>
  <si>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</si>
  <si>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</si>
  <si>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</si>
  <si>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</si>
  <si>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</si>
  <si>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</si>
  <si>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</si>
  <si>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</si>
  <si>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City Clerk</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</si>
  <si>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</si>
  <si>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</si>
  <si>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</si>
  <si>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</si>
  <si>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</si>
  <si>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</si>
  <si>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</si>
  <si>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</si>
  <si>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</si>
  <si>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</si>
  <si>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</si>
  <si>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</si>
  <si>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</si>
  <si>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</si>
  <si>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</si>
  <si>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</si>
  <si>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</si>
  <si>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</si>
  <si>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</si>
  <si>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</si>
  <si>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</si>
  <si>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</si>
  <si>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</si>
  <si>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</si>
  <si>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</si>
  <si>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</si>
  <si>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</si>
  <si>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</si>
  <si>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</si>
  <si>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</si>
  <si>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</si>
  <si>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</si>
  <si>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</si>
  <si>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</si>
  <si>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answering objections of taxpayers relating to the proposed use of all funds and the amount of ad valorem tax.</t>
  </si>
  <si>
    <r>
      <t>Adjustments</t>
    </r>
    <r>
      <rPr>
        <b/>
        <sz val="12"/>
        <color indexed="10"/>
        <rFont val="Times New Roman"/>
        <family val="1"/>
      </rPr>
      <t>*</t>
    </r>
  </si>
  <si>
    <t xml:space="preserve">Fund Transferred </t>
  </si>
  <si>
    <t>Expenditure</t>
  </si>
  <si>
    <t>Fund Transferred</t>
  </si>
  <si>
    <t>Receipt</t>
  </si>
  <si>
    <t>*Note:</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</si>
  <si>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</si>
  <si>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</si>
  <si>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</si>
  <si>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</si>
  <si>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</si>
  <si>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</si>
  <si>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</si>
  <si>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</si>
  <si>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</si>
  <si>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Does miscellanous exceed 10% of Total Exp</t>
  </si>
  <si>
    <t>for Expenditures</t>
  </si>
  <si>
    <t>Estimated Mill Rate Impact:</t>
  </si>
  <si>
    <t>Desired Carryover Amount:</t>
  </si>
  <si>
    <t>The estimated value of one mill would be:</t>
  </si>
  <si>
    <t>Change in Ad Valorem Tax Revenue:</t>
  </si>
  <si>
    <t>What Mill Rate Would Be Desired?</t>
  </si>
  <si>
    <t xml:space="preserve">Totals </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</si>
  <si>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</si>
  <si>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</si>
  <si>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</si>
  <si>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</si>
  <si>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</si>
  <si>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</si>
  <si>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</si>
  <si>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</si>
  <si>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</si>
  <si>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</si>
  <si>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</si>
  <si>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</si>
  <si>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</si>
  <si>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</si>
  <si>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</si>
  <si>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</si>
  <si>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</si>
  <si>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</si>
  <si>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</si>
  <si>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</si>
  <si>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</si>
  <si>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</si>
  <si>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</si>
  <si>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</si>
  <si>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</si>
  <si>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</si>
  <si>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</si>
  <si>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</si>
  <si>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</si>
  <si>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</si>
  <si>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</si>
  <si>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Mill Rate Comparison</t>
  </si>
  <si>
    <t>Email:</t>
  </si>
  <si>
    <t>Allocation of MVT, RVT, and 16/20M Veh Tax</t>
  </si>
  <si>
    <t>City of Horace</t>
  </si>
  <si>
    <t>Greeley County</t>
  </si>
  <si>
    <t>Social Security</t>
  </si>
  <si>
    <t>40-2305</t>
  </si>
  <si>
    <t>Water Utility</t>
  </si>
  <si>
    <t>Sewer Utility</t>
  </si>
  <si>
    <t>Water Utility Debt Service</t>
  </si>
  <si>
    <t>Water Utility Bond Reserve</t>
  </si>
  <si>
    <t>Sewer Replacement Reserve</t>
  </si>
  <si>
    <t>James R Shirley</t>
  </si>
  <si>
    <t>Kennedy McKee &amp; Company LLP</t>
  </si>
  <si>
    <t>PO Box 1477</t>
  </si>
  <si>
    <t>Dodge City, KS  67801</t>
  </si>
  <si>
    <t>rshirley@kmc-cpa.om</t>
  </si>
  <si>
    <t>12-825d</t>
  </si>
  <si>
    <t>Water Bond Reserve</t>
  </si>
  <si>
    <t>Sewer Replacement</t>
  </si>
  <si>
    <t>Water Utility System</t>
  </si>
  <si>
    <t>6/20, 12/20</t>
  </si>
  <si>
    <t>County Treasurer Balance 1/01</t>
  </si>
  <si>
    <t>County Treasurer Balance 12/31</t>
  </si>
  <si>
    <t>Tax Deposited in Water Fund</t>
  </si>
  <si>
    <t>Salaries and Wages</t>
  </si>
  <si>
    <t>Payroll Taxes</t>
  </si>
  <si>
    <t>Office Supplies</t>
  </si>
  <si>
    <t>Bond and Insurance</t>
  </si>
  <si>
    <t>Utilities</t>
  </si>
  <si>
    <t>Budget Expense</t>
  </si>
  <si>
    <t>Repairs</t>
  </si>
  <si>
    <t>Sales Tax</t>
  </si>
  <si>
    <t>Street Department/Sand</t>
  </si>
  <si>
    <t>Sewer Pond Repairs/Sand</t>
  </si>
  <si>
    <t>Sewer Expense</t>
  </si>
  <si>
    <t>Reimbursements</t>
  </si>
  <si>
    <t>Street Repair and Maintenance</t>
  </si>
  <si>
    <t>Sewer Charges to Sewer Fund</t>
  </si>
  <si>
    <t>Salaries and Taxes</t>
  </si>
  <si>
    <t>Repairs and Maintenance</t>
  </si>
  <si>
    <t>Meters</t>
  </si>
  <si>
    <t>Purchased Water</t>
  </si>
  <si>
    <t>LP Well House</t>
  </si>
  <si>
    <t>Water Protection Fee</t>
  </si>
  <si>
    <t>Transfer to Bond Reserve</t>
  </si>
  <si>
    <t>Transfer to Debt Service</t>
  </si>
  <si>
    <t>Operations</t>
  </si>
  <si>
    <t>Transfer to Sewer Replacement Reserve</t>
  </si>
  <si>
    <t>Transfer from Water Utility</t>
  </si>
  <si>
    <t>Commission</t>
  </si>
  <si>
    <t>Transfer from:</t>
  </si>
  <si>
    <t xml:space="preserve">  Water</t>
  </si>
  <si>
    <t xml:space="preserve">  Sewer</t>
  </si>
  <si>
    <t>Improvements</t>
  </si>
  <si>
    <t>Transfer to:</t>
  </si>
  <si>
    <t xml:space="preserve">  Water Utility</t>
  </si>
  <si>
    <t>Karen Piper</t>
  </si>
  <si>
    <t>7:00 p.m.</t>
  </si>
  <si>
    <t>Fire Dept</t>
  </si>
  <si>
    <t>Samples</t>
  </si>
  <si>
    <t>August _________, 2012</t>
  </si>
</sst>
</file>

<file path=xl/styles.xml><?xml version="1.0" encoding="utf-8"?>
<styleSheet xmlns="http://schemas.openxmlformats.org/spreadsheetml/2006/main">
  <numFmts count="20">
    <numFmt numFmtId="6" formatCode="&quot;$&quot;#,##0_);[Red]\(&quot;$&quot;#,##0\)"/>
    <numFmt numFmtId="41" formatCode="_(* #,##0_);_(* \(#,##0\);_(*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
    <numFmt numFmtId="179" formatCode="0.0%"/>
    <numFmt numFmtId="180" formatCode="_(* #,##0.000_);_(* \(#,##0.000\);_(* &quot;-&quot;???_);_(@_)"/>
  </numFmts>
  <fonts count="38">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sz val="12"/>
      <name val="Courier New"/>
      <family val="3"/>
    </font>
    <font>
      <sz val="12"/>
      <name val="Courier New"/>
      <family val="3"/>
    </font>
    <font>
      <b/>
      <sz val="12"/>
      <name val="Courier"/>
      <family val="3"/>
    </font>
    <font>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10"/>
      <name val="Courier"/>
      <family val="3"/>
    </font>
    <font>
      <sz val="11"/>
      <color theme="1"/>
      <name val="Calibri"/>
      <family val="2"/>
      <scheme val="minor"/>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s>
  <fills count="16">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311">
    <xf numFmtId="0" fontId="0" fillId="0" borderId="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2" fillId="0" borderId="0"/>
    <xf numFmtId="0" fontId="21" fillId="0" borderId="0"/>
    <xf numFmtId="0" fontId="2" fillId="0" borderId="0"/>
    <xf numFmtId="0" fontId="21" fillId="0" borderId="0"/>
    <xf numFmtId="0" fontId="21" fillId="0" borderId="0"/>
    <xf numFmtId="0" fontId="2" fillId="0" borderId="0"/>
    <xf numFmtId="0" fontId="2" fillId="0" borderId="0"/>
    <xf numFmtId="0" fontId="22" fillId="0" borderId="0"/>
    <xf numFmtId="0" fontId="21" fillId="0" borderId="0"/>
    <xf numFmtId="0" fontId="21" fillId="0" borderId="0"/>
    <xf numFmtId="0" fontId="21"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1" fillId="0" borderId="0"/>
    <xf numFmtId="0" fontId="21" fillId="0" borderId="0"/>
    <xf numFmtId="0" fontId="21" fillId="0" borderId="0"/>
    <xf numFmtId="0" fontId="2" fillId="0" borderId="0"/>
    <xf numFmtId="0" fontId="2" fillId="0" borderId="0"/>
    <xf numFmtId="0" fontId="22"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 fillId="0" borderId="0"/>
    <xf numFmtId="0" fontId="2" fillId="0" borderId="0"/>
    <xf numFmtId="0" fontId="21" fillId="0" borderId="0"/>
    <xf numFmtId="0" fontId="2" fillId="0" borderId="0"/>
    <xf numFmtId="0" fontId="2" fillId="0" borderId="0"/>
    <xf numFmtId="0" fontId="21" fillId="0" borderId="0"/>
    <xf numFmtId="0" fontId="21"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1" fillId="0" borderId="0"/>
    <xf numFmtId="0" fontId="21" fillId="0" borderId="0"/>
    <xf numFmtId="0" fontId="22" fillId="0" borderId="0"/>
    <xf numFmtId="0" fontId="21" fillId="0" borderId="0"/>
    <xf numFmtId="0" fontId="21" fillId="0" borderId="0"/>
    <xf numFmtId="0" fontId="21" fillId="0" borderId="0"/>
    <xf numFmtId="0" fontId="2" fillId="0" borderId="0"/>
    <xf numFmtId="0" fontId="22" fillId="0" borderId="0"/>
    <xf numFmtId="0" fontId="21" fillId="0" borderId="0"/>
    <xf numFmtId="0" fontId="21" fillId="0" borderId="0"/>
    <xf numFmtId="0" fontId="21" fillId="0" borderId="0"/>
    <xf numFmtId="0" fontId="2" fillId="0" borderId="0"/>
    <xf numFmtId="0" fontId="2" fillId="0" borderId="0"/>
  </cellStyleXfs>
  <cellXfs count="595">
    <xf numFmtId="0" fontId="0" fillId="0" borderId="0" xfId="0"/>
    <xf numFmtId="0" fontId="5" fillId="0" borderId="0" xfId="0" applyFont="1"/>
    <xf numFmtId="0" fontId="5" fillId="0" borderId="0" xfId="0" applyFont="1" applyProtection="1">
      <protection locked="0"/>
    </xf>
    <xf numFmtId="37" fontId="5" fillId="3" borderId="1" xfId="0" applyNumberFormat="1" applyFont="1" applyFill="1" applyBorder="1" applyAlignment="1" applyProtection="1">
      <alignment horizontal="left"/>
    </xf>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37" fontId="5" fillId="3" borderId="0" xfId="0" applyNumberFormat="1" applyFont="1" applyFill="1" applyAlignment="1" applyProtection="1">
      <alignment horizontal="center"/>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37" fontId="8" fillId="3" borderId="2" xfId="0" applyNumberFormat="1" applyFont="1" applyFill="1" applyBorder="1" applyAlignment="1" applyProtection="1">
      <alignment horizontal="center"/>
    </xf>
    <xf numFmtId="0" fontId="5" fillId="3" borderId="0" xfId="0" applyFont="1" applyFill="1" applyAlignment="1" applyProtection="1">
      <alignment horizontal="center"/>
    </xf>
    <xf numFmtId="0" fontId="0" fillId="3" borderId="0" xfId="0" applyFill="1" applyAlignment="1"/>
    <xf numFmtId="0" fontId="5" fillId="4" borderId="6" xfId="0" applyNumberFormat="1" applyFont="1" applyFill="1" applyBorder="1" applyAlignment="1" applyProtection="1">
      <alignment horizontal="left"/>
      <protection locked="0"/>
    </xf>
    <xf numFmtId="37" fontId="5" fillId="3" borderId="7" xfId="0" applyNumberFormat="1" applyFont="1" applyFill="1" applyBorder="1" applyAlignment="1" applyProtection="1">
      <alignment horizontal="left"/>
    </xf>
    <xf numFmtId="0" fontId="5" fillId="0" borderId="0" xfId="0" applyFont="1" applyAlignment="1">
      <alignment vertical="center"/>
    </xf>
    <xf numFmtId="0" fontId="5" fillId="6" borderId="0" xfId="0" applyFont="1" applyFill="1" applyAlignment="1">
      <alignment vertical="center"/>
    </xf>
    <xf numFmtId="37" fontId="11"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2"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4" fillId="3" borderId="8" xfId="0" applyNumberFormat="1"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5" fillId="3" borderId="0" xfId="0" applyFont="1" applyFill="1" applyAlignment="1">
      <alignment vertical="center"/>
    </xf>
    <xf numFmtId="0" fontId="17"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1" fillId="3" borderId="3" xfId="0" applyNumberFormat="1" applyFont="1" applyFill="1" applyBorder="1" applyAlignment="1" applyProtection="1">
      <alignment horizontal="left" vertical="center"/>
    </xf>
    <xf numFmtId="37" fontId="11"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310"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309"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5"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0" fontId="15" fillId="0" borderId="0" xfId="0" applyFont="1" applyAlignment="1" applyProtection="1">
      <alignment vertical="center"/>
    </xf>
    <xf numFmtId="0" fontId="12"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8" fillId="3" borderId="0" xfId="0" applyFont="1" applyFill="1" applyAlignment="1">
      <alignment horizontal="center" vertical="center"/>
    </xf>
    <xf numFmtId="0" fontId="5" fillId="3" borderId="11" xfId="0" applyFont="1" applyFill="1" applyBorder="1" applyAlignment="1">
      <alignment vertical="center"/>
    </xf>
    <xf numFmtId="0" fontId="14" fillId="3" borderId="2" xfId="0" applyFont="1" applyFill="1" applyBorder="1" applyAlignment="1">
      <alignment vertical="center"/>
    </xf>
    <xf numFmtId="0" fontId="14" fillId="3" borderId="11" xfId="0" applyFont="1" applyFill="1" applyBorder="1" applyAlignment="1">
      <alignment horizontal="center" vertical="center"/>
    </xf>
    <xf numFmtId="0" fontId="14" fillId="3" borderId="14" xfId="0" applyFont="1" applyFill="1" applyBorder="1" applyAlignment="1">
      <alignment vertical="center"/>
    </xf>
    <xf numFmtId="0" fontId="14"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4" fillId="3" borderId="15" xfId="0" applyFont="1" applyFill="1" applyBorder="1" applyAlignment="1">
      <alignment vertical="center"/>
    </xf>
    <xf numFmtId="3" fontId="14" fillId="2" borderId="1" xfId="0" applyNumberFormat="1" applyFont="1" applyFill="1" applyBorder="1" applyAlignment="1" applyProtection="1">
      <alignment horizontal="center" vertical="center"/>
      <protection locked="0"/>
    </xf>
    <xf numFmtId="0" fontId="14" fillId="3" borderId="4" xfId="0" applyFont="1" applyFill="1" applyBorder="1" applyAlignment="1">
      <alignment vertical="center"/>
    </xf>
    <xf numFmtId="3" fontId="14" fillId="9" borderId="1"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3" fontId="14" fillId="2" borderId="14"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protection locked="0"/>
    </xf>
    <xf numFmtId="3" fontId="14" fillId="2" borderId="10"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3" fontId="14" fillId="2" borderId="7" xfId="0" applyNumberFormat="1"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locked="0"/>
    </xf>
    <xf numFmtId="3" fontId="14" fillId="9" borderId="3" xfId="0" applyNumberFormat="1" applyFont="1" applyFill="1" applyBorder="1" applyAlignment="1">
      <alignment horizontal="center" vertical="center"/>
    </xf>
    <xf numFmtId="3" fontId="14" fillId="11" borderId="1" xfId="0" applyNumberFormat="1" applyFont="1" applyFill="1" applyBorder="1" applyAlignment="1">
      <alignment horizontal="center" vertical="center"/>
    </xf>
    <xf numFmtId="3" fontId="19"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5" fillId="11" borderId="1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4" borderId="1" xfId="0" applyFont="1" applyFill="1" applyBorder="1" applyAlignment="1" applyProtection="1">
      <alignment horizontal="left" vertical="center"/>
      <protection locked="0"/>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22" fillId="0" borderId="0" xfId="300"/>
    <xf numFmtId="0" fontId="5" fillId="0" borderId="0" xfId="300" applyFont="1" applyAlignment="1">
      <alignment horizontal="left" vertical="center"/>
    </xf>
    <xf numFmtId="49" fontId="5" fillId="2" borderId="0" xfId="300" applyNumberFormat="1" applyFont="1" applyFill="1" applyAlignment="1" applyProtection="1">
      <alignment horizontal="left" vertical="center"/>
      <protection locked="0"/>
    </xf>
    <xf numFmtId="174" fontId="14" fillId="0" borderId="0" xfId="300" applyNumberFormat="1" applyFont="1" applyAlignment="1">
      <alignment horizontal="left" vertical="center"/>
    </xf>
    <xf numFmtId="49" fontId="5" fillId="0" borderId="0" xfId="300" applyNumberFormat="1" applyFont="1" applyAlignment="1">
      <alignment horizontal="left" vertical="center"/>
    </xf>
    <xf numFmtId="0" fontId="14" fillId="0" borderId="0" xfId="300" applyFont="1" applyAlignment="1">
      <alignment horizontal="left" vertical="center"/>
    </xf>
    <xf numFmtId="175" fontId="14" fillId="0" borderId="0" xfId="300" applyNumberFormat="1" applyFont="1" applyAlignment="1">
      <alignment horizontal="left" vertical="center"/>
    </xf>
    <xf numFmtId="0" fontId="5" fillId="2" borderId="0" xfId="300" applyFont="1" applyFill="1" applyAlignment="1" applyProtection="1">
      <alignment horizontal="left" vertical="center"/>
      <protection locked="0"/>
    </xf>
    <xf numFmtId="0" fontId="22" fillId="2" borderId="0" xfId="300" applyFill="1" applyAlignment="1" applyProtection="1">
      <alignment horizontal="left" vertical="center"/>
      <protection locked="0"/>
    </xf>
    <xf numFmtId="0" fontId="8" fillId="3" borderId="0" xfId="0" applyFont="1" applyFill="1" applyAlignment="1" applyProtection="1">
      <alignment horizontal="left" vertical="center"/>
      <protection locked="0"/>
    </xf>
    <xf numFmtId="0" fontId="2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72" applyFont="1" applyFill="1" applyBorder="1" applyProtection="1">
      <protection locked="0"/>
    </xf>
    <xf numFmtId="0" fontId="5" fillId="4" borderId="6" xfId="271" applyFont="1" applyFill="1" applyBorder="1" applyProtection="1">
      <protection locked="0"/>
    </xf>
    <xf numFmtId="0" fontId="5" fillId="4" borderId="6" xfId="274" applyFont="1" applyFill="1" applyBorder="1" applyProtection="1">
      <protection locked="0"/>
    </xf>
    <xf numFmtId="3" fontId="5" fillId="4" borderId="1" xfId="277" applyNumberFormat="1" applyFont="1" applyFill="1" applyBorder="1" applyProtection="1">
      <protection locked="0"/>
    </xf>
    <xf numFmtId="0" fontId="5" fillId="4" borderId="6" xfId="280" applyFont="1" applyFill="1" applyBorder="1" applyProtection="1">
      <protection locked="0"/>
    </xf>
    <xf numFmtId="3" fontId="5" fillId="4" borderId="1" xfId="283"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5"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5"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32"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1"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5"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24" applyNumberFormat="1" applyFont="1" applyFill="1" applyBorder="1" applyAlignment="1" applyProtection="1">
      <alignment horizontal="left" vertical="center"/>
      <protection locked="0"/>
    </xf>
    <xf numFmtId="0" fontId="5" fillId="3" borderId="0" xfId="24"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5"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5" fillId="11" borderId="1" xfId="0" applyNumberFormat="1" applyFont="1" applyFill="1" applyBorder="1" applyAlignment="1" applyProtection="1">
      <alignment horizontal="center" vertical="center"/>
    </xf>
    <xf numFmtId="0" fontId="32" fillId="3" borderId="0" xfId="0" applyFont="1" applyFill="1" applyAlignment="1" applyProtection="1">
      <alignment horizontal="center" vertical="center"/>
    </xf>
    <xf numFmtId="0" fontId="32" fillId="0" borderId="0" xfId="24" applyFont="1" applyAlignment="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3" fontId="32"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2" fillId="3"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xf>
    <xf numFmtId="0" fontId="32"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5" fillId="13" borderId="0" xfId="0" applyFont="1" applyFill="1" applyBorder="1" applyAlignment="1" applyProtection="1">
      <alignment horizontal="center" vertical="center"/>
    </xf>
    <xf numFmtId="0" fontId="2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2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2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1" fontId="5" fillId="9" borderId="3" xfId="0" applyNumberFormat="1"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3" fontId="5" fillId="4" borderId="1" xfId="24" applyNumberFormat="1" applyFont="1" applyFill="1" applyBorder="1" applyAlignment="1" applyProtection="1">
      <alignment horizontal="right"/>
      <protection locked="0"/>
    </xf>
    <xf numFmtId="37" fontId="5" fillId="2" borderId="4" xfId="24" applyNumberFormat="1" applyFont="1" applyFill="1" applyBorder="1" applyAlignment="1" applyProtection="1">
      <alignment horizontal="left"/>
      <protection locked="0"/>
    </xf>
    <xf numFmtId="37" fontId="5" fillId="2" borderId="8" xfId="24" applyNumberFormat="1" applyFont="1" applyFill="1" applyBorder="1" applyAlignment="1" applyProtection="1">
      <alignment horizontal="left"/>
      <protection locked="0"/>
    </xf>
    <xf numFmtId="0" fontId="5" fillId="4" borderId="6" xfId="24" applyFont="1" applyFill="1" applyBorder="1" applyProtection="1">
      <protection locked="0"/>
    </xf>
    <xf numFmtId="0" fontId="5" fillId="0" borderId="0" xfId="301" applyFont="1" applyAlignment="1">
      <alignment horizontal="left" vertical="center"/>
    </xf>
    <xf numFmtId="49" fontId="5" fillId="2" borderId="0" xfId="301" applyNumberFormat="1" applyFont="1" applyFill="1" applyAlignment="1" applyProtection="1">
      <alignment horizontal="left" vertical="center"/>
      <protection locked="0"/>
    </xf>
    <xf numFmtId="0" fontId="5" fillId="2" borderId="0" xfId="301" applyFont="1" applyFill="1" applyAlignment="1" applyProtection="1">
      <alignment horizontal="left" vertical="center"/>
      <protection locked="0"/>
    </xf>
    <xf numFmtId="3" fontId="5" fillId="4" borderId="11" xfId="24" applyNumberFormat="1" applyFont="1" applyFill="1" applyBorder="1" applyAlignment="1" applyProtection="1">
      <alignment horizontal="right"/>
      <protection locked="0"/>
    </xf>
    <xf numFmtId="0" fontId="5" fillId="3" borderId="0" xfId="7" applyNumberFormat="1" applyFont="1" applyFill="1" applyBorder="1" applyAlignment="1" applyProtection="1">
      <alignment horizontal="right" vertical="center"/>
    </xf>
    <xf numFmtId="0" fontId="33" fillId="0" borderId="0" xfId="0" applyFont="1"/>
    <xf numFmtId="0" fontId="34" fillId="0" borderId="0" xfId="301" applyFont="1"/>
    <xf numFmtId="174" fontId="35" fillId="0" borderId="0" xfId="301" applyNumberFormat="1" applyFont="1" applyAlignment="1">
      <alignment horizontal="left" vertical="center"/>
    </xf>
    <xf numFmtId="0" fontId="35" fillId="0" borderId="0" xfId="301" applyNumberFormat="1" applyFont="1" applyAlignment="1">
      <alignment horizontal="left" vertical="center"/>
    </xf>
    <xf numFmtId="1" fontId="35" fillId="0" borderId="0" xfId="301" applyNumberFormat="1" applyFont="1" applyAlignment="1">
      <alignment horizontal="left" vertical="center"/>
    </xf>
    <xf numFmtId="0" fontId="36" fillId="0" borderId="0" xfId="301" applyFont="1" applyAlignment="1">
      <alignment horizontal="left" vertical="center"/>
    </xf>
    <xf numFmtId="49" fontId="5" fillId="0" borderId="0" xfId="30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5"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2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8" fontId="5" fillId="3" borderId="1" xfId="0" applyNumberFormat="1" applyFont="1" applyFill="1" applyBorder="1" applyAlignment="1" applyProtection="1">
      <alignment horizontal="right" vertical="center"/>
    </xf>
    <xf numFmtId="3" fontId="5" fillId="3" borderId="19" xfId="0" applyNumberFormat="1" applyFont="1" applyFill="1" applyBorder="1" applyAlignment="1" applyProtection="1">
      <alignment horizontal="right" vertical="center"/>
    </xf>
    <xf numFmtId="0" fontId="5" fillId="3" borderId="19"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24"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29" fillId="12" borderId="11" xfId="0" applyNumberFormat="1" applyFont="1" applyFill="1" applyBorder="1" applyAlignment="1" applyProtection="1">
      <alignment horizontal="center" vertical="center"/>
    </xf>
    <xf numFmtId="0" fontId="2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29" fillId="13" borderId="11" xfId="0" applyFont="1" applyFill="1" applyBorder="1" applyAlignment="1" applyProtection="1">
      <alignment horizontal="center" vertical="center"/>
    </xf>
    <xf numFmtId="0" fontId="29" fillId="12" borderId="9" xfId="0" applyFont="1" applyFill="1" applyBorder="1" applyAlignment="1" applyProtection="1">
      <alignment vertical="center"/>
    </xf>
    <xf numFmtId="177" fontId="29" fillId="12" borderId="10" xfId="0" applyNumberFormat="1" applyFont="1" applyFill="1" applyBorder="1" applyAlignment="1" applyProtection="1">
      <alignment horizontal="center" vertical="center"/>
      <protection locked="0"/>
    </xf>
    <xf numFmtId="179" fontId="5" fillId="2" borderId="1" xfId="0" applyNumberFormat="1" applyFont="1" applyFill="1" applyBorder="1" applyAlignment="1" applyProtection="1">
      <alignment vertical="center"/>
      <protection locked="0"/>
    </xf>
    <xf numFmtId="179"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37" fontId="3" fillId="3" borderId="15" xfId="0" applyNumberFormat="1" applyFont="1" applyFill="1" applyBorder="1" applyAlignment="1" applyProtection="1">
      <alignment horizontal="left" vertical="center"/>
    </xf>
    <xf numFmtId="171" fontId="2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30" fillId="13" borderId="4" xfId="0" applyFont="1" applyFill="1" applyBorder="1" applyAlignment="1">
      <alignment horizontal="left" vertical="center"/>
    </xf>
    <xf numFmtId="177" fontId="5" fillId="0" borderId="0" xfId="0" applyNumberFormat="1" applyFont="1" applyProtection="1">
      <protection locked="0"/>
    </xf>
    <xf numFmtId="0" fontId="37"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179" fontId="5" fillId="13" borderId="0" xfId="24"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3" fontId="5" fillId="14" borderId="4" xfId="0" applyNumberFormat="1" applyFont="1" applyFill="1" applyBorder="1" applyAlignment="1" applyProtection="1">
      <alignment vertical="center"/>
      <protection locked="0"/>
    </xf>
    <xf numFmtId="0" fontId="5" fillId="3" borderId="4" xfId="0" applyFont="1" applyFill="1" applyBorder="1" applyAlignment="1">
      <alignment horizontal="center" vertical="center" wrapText="1"/>
    </xf>
    <xf numFmtId="0" fontId="5" fillId="0" borderId="0" xfId="0" applyFont="1" applyAlignment="1">
      <alignment horizontal="center" vertical="center" wrapText="1"/>
    </xf>
    <xf numFmtId="37" fontId="11" fillId="3" borderId="0" xfId="0" applyNumberFormat="1" applyFont="1" applyFill="1" applyAlignment="1" applyProtection="1">
      <alignment horizontal="center"/>
    </xf>
    <xf numFmtId="41" fontId="5" fillId="3" borderId="1" xfId="0" applyNumberFormat="1" applyFont="1" applyFill="1" applyBorder="1" applyAlignment="1" applyProtection="1">
      <alignment horizontal="center" vertical="center"/>
    </xf>
    <xf numFmtId="41" fontId="5" fillId="3" borderId="2" xfId="0" applyNumberFormat="1" applyFont="1" applyFill="1" applyBorder="1" applyAlignment="1" applyProtection="1">
      <alignment horizontal="center" vertical="center"/>
    </xf>
    <xf numFmtId="41" fontId="5" fillId="9" borderId="1" xfId="0" applyNumberFormat="1" applyFont="1" applyFill="1" applyBorder="1" applyAlignment="1" applyProtection="1">
      <alignment horizontal="center" vertical="center"/>
    </xf>
    <xf numFmtId="41" fontId="5" fillId="3" borderId="3" xfId="0" applyNumberFormat="1" applyFont="1" applyFill="1" applyBorder="1" applyAlignment="1" applyProtection="1">
      <alignment horizontal="center" vertical="center"/>
    </xf>
    <xf numFmtId="41" fontId="5" fillId="9" borderId="5" xfId="0" applyNumberFormat="1" applyFont="1" applyFill="1" applyBorder="1" applyAlignment="1" applyProtection="1">
      <alignment horizontal="center" vertical="center"/>
    </xf>
    <xf numFmtId="41" fontId="5" fillId="3" borderId="1" xfId="0" applyNumberFormat="1" applyFont="1" applyFill="1" applyBorder="1" applyAlignment="1" applyProtection="1">
      <alignment horizontal="center" vertical="center"/>
      <protection locked="0"/>
    </xf>
    <xf numFmtId="180" fontId="5" fillId="3" borderId="1" xfId="0" applyNumberFormat="1" applyFont="1" applyFill="1" applyBorder="1" applyAlignment="1" applyProtection="1">
      <alignment horizontal="center" vertical="center"/>
    </xf>
    <xf numFmtId="180" fontId="5" fillId="3" borderId="2" xfId="0" applyNumberFormat="1" applyFont="1" applyFill="1" applyBorder="1" applyAlignment="1" applyProtection="1">
      <alignment horizontal="center" vertical="center"/>
    </xf>
    <xf numFmtId="180" fontId="5" fillId="9" borderId="1" xfId="0" applyNumberFormat="1"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0" fontId="0" fillId="0" borderId="0" xfId="0" applyAlignment="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28"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5" fillId="3" borderId="0" xfId="7" applyNumberFormat="1" applyFont="1" applyFill="1" applyBorder="1" applyAlignment="1" applyProtection="1">
      <alignment horizontal="right" vertical="center"/>
    </xf>
    <xf numFmtId="0" fontId="5" fillId="0" borderId="0" xfId="7" applyFont="1" applyAlignment="1" applyProtection="1">
      <alignment horizontal="right" vertical="center"/>
    </xf>
    <xf numFmtId="3" fontId="5" fillId="3" borderId="12" xfId="24" applyNumberFormat="1" applyFont="1" applyFill="1" applyBorder="1" applyAlignment="1" applyProtection="1">
      <alignment horizontal="right" vertical="center"/>
    </xf>
    <xf numFmtId="0" fontId="2" fillId="0" borderId="14" xfId="24" applyBorder="1" applyAlignment="1">
      <alignment horizontal="right" vertical="center"/>
    </xf>
    <xf numFmtId="0" fontId="5" fillId="3" borderId="0" xfId="24" applyFont="1" applyFill="1" applyAlignment="1" applyProtection="1">
      <alignment horizontal="right" vertical="center"/>
    </xf>
    <xf numFmtId="0" fontId="5" fillId="0" borderId="7" xfId="24" applyFont="1" applyBorder="1" applyAlignment="1">
      <alignment horizontal="right" vertical="center"/>
    </xf>
    <xf numFmtId="171" fontId="28" fillId="13" borderId="17" xfId="0" applyNumberFormat="1" applyFont="1" applyFill="1" applyBorder="1" applyAlignment="1" applyProtection="1">
      <alignment horizontal="center"/>
    </xf>
    <xf numFmtId="0" fontId="13" fillId="0" borderId="12" xfId="0" applyFont="1" applyBorder="1" applyAlignment="1"/>
    <xf numFmtId="0" fontId="13" fillId="0" borderId="14" xfId="0" applyFont="1" applyBorder="1" applyAlignment="1"/>
    <xf numFmtId="0" fontId="0" fillId="0" borderId="0" xfId="0" applyFill="1" applyBorder="1" applyAlignment="1">
      <alignment vertical="center"/>
    </xf>
    <xf numFmtId="0" fontId="2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37" fontId="3" fillId="3" borderId="6" xfId="0" applyNumberFormat="1" applyFont="1" applyFill="1" applyBorder="1" applyAlignment="1" applyProtection="1">
      <alignment horizontal="left" vertical="center"/>
    </xf>
    <xf numFmtId="0" fontId="30" fillId="0" borderId="8" xfId="0" applyFont="1" applyBorder="1" applyAlignment="1">
      <alignment horizontal="left" vertical="center"/>
    </xf>
    <xf numFmtId="0" fontId="0" fillId="0" borderId="12" xfId="0" applyBorder="1" applyAlignment="1">
      <alignment horizontal="center" vertical="center"/>
    </xf>
    <xf numFmtId="0" fontId="0" fillId="0" borderId="14" xfId="0" applyBorder="1" applyAlignment="1"/>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1"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1"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1" fillId="13" borderId="12" xfId="0" applyFont="1" applyFill="1" applyBorder="1" applyAlignment="1" applyProtection="1">
      <alignment horizontal="center"/>
    </xf>
    <xf numFmtId="0" fontId="11"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37" fontId="12" fillId="3" borderId="0" xfId="0" applyNumberFormat="1" applyFont="1" applyFill="1" applyAlignment="1" applyProtection="1">
      <alignment horizontal="center" vertical="center"/>
    </xf>
    <xf numFmtId="0" fontId="13"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7" fillId="0" borderId="0" xfId="0" applyFont="1" applyAlignment="1">
      <alignment vertical="center"/>
    </xf>
    <xf numFmtId="37" fontId="11" fillId="3" borderId="0" xfId="0" applyNumberFormat="1" applyFont="1" applyFill="1" applyBorder="1" applyAlignment="1" applyProtection="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300" applyFont="1" applyAlignment="1">
      <alignment horizontal="left" vertical="center" wrapText="1"/>
    </xf>
    <xf numFmtId="0" fontId="22" fillId="0" borderId="0" xfId="300" applyAlignment="1">
      <alignment horizontal="left" vertical="center" wrapText="1"/>
    </xf>
    <xf numFmtId="0" fontId="11" fillId="0" borderId="0" xfId="300" applyFont="1" applyAlignment="1">
      <alignment horizontal="left" vertical="center"/>
    </xf>
  </cellXfs>
  <cellStyles count="311">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2" xfId="64"/>
    <cellStyle name="Normal 18 2 2" xfId="65"/>
    <cellStyle name="Normal 18 2 3" xfId="66"/>
    <cellStyle name="Normal 18 3" xfId="67"/>
    <cellStyle name="Normal 18 4" xfId="68"/>
    <cellStyle name="Normal 18 5" xfId="69"/>
    <cellStyle name="Normal 18 6" xfId="70"/>
    <cellStyle name="Normal 18 7" xfId="71"/>
    <cellStyle name="Normal 19" xfId="72"/>
    <cellStyle name="Normal 19 2" xfId="73"/>
    <cellStyle name="Normal 19 2 2" xfId="74"/>
    <cellStyle name="Normal 19 2 3" xfId="75"/>
    <cellStyle name="Normal 19 3" xfId="76"/>
    <cellStyle name="Normal 19 4" xfId="77"/>
    <cellStyle name="Normal 19 5" xfId="78"/>
    <cellStyle name="Normal 19 6" xfId="79"/>
    <cellStyle name="Normal 2" xfId="80"/>
    <cellStyle name="Normal 2 10" xfId="81"/>
    <cellStyle name="Normal 2 10 10" xfId="82"/>
    <cellStyle name="Normal 2 10 2" xfId="83"/>
    <cellStyle name="Normal 2 10 2 2" xfId="84"/>
    <cellStyle name="Normal 2 10 3" xfId="85"/>
    <cellStyle name="Normal 2 10 3 2" xfId="86"/>
    <cellStyle name="Normal 2 10 4" xfId="87"/>
    <cellStyle name="Normal 2 10 4 2" xfId="88"/>
    <cellStyle name="Normal 2 10 5" xfId="89"/>
    <cellStyle name="Normal 2 10 5 2" xfId="90"/>
    <cellStyle name="Normal 2 10 6" xfId="91"/>
    <cellStyle name="Normal 2 10 6 2" xfId="92"/>
    <cellStyle name="Normal 2 10 7" xfId="93"/>
    <cellStyle name="Normal 2 10 7 2" xfId="94"/>
    <cellStyle name="Normal 2 10 8" xfId="95"/>
    <cellStyle name="Normal 2 10 8 2" xfId="96"/>
    <cellStyle name="Normal 2 10 9" xfId="97"/>
    <cellStyle name="Normal 2 11" xfId="98"/>
    <cellStyle name="Normal 2 11 10" xfId="99"/>
    <cellStyle name="Normal 2 11 2" xfId="100"/>
    <cellStyle name="Normal 2 11 2 2" xfId="101"/>
    <cellStyle name="Normal 2 11 3" xfId="102"/>
    <cellStyle name="Normal 2 11 3 2" xfId="103"/>
    <cellStyle name="Normal 2 11 4" xfId="104"/>
    <cellStyle name="Normal 2 11 4 2" xfId="105"/>
    <cellStyle name="Normal 2 11 5" xfId="106"/>
    <cellStyle name="Normal 2 11 5 2" xfId="107"/>
    <cellStyle name="Normal 2 11 6" xfId="108"/>
    <cellStyle name="Normal 2 11 6 2" xfId="109"/>
    <cellStyle name="Normal 2 11 7" xfId="110"/>
    <cellStyle name="Normal 2 11 7 2" xfId="111"/>
    <cellStyle name="Normal 2 11 8" xfId="112"/>
    <cellStyle name="Normal 2 11 8 2" xfId="113"/>
    <cellStyle name="Normal 2 11 9" xfId="114"/>
    <cellStyle name="Normal 2 12" xfId="115"/>
    <cellStyle name="Normal 2 13" xfId="116"/>
    <cellStyle name="Normal 2 14" xfId="117"/>
    <cellStyle name="Normal 2 15" xfId="118"/>
    <cellStyle name="Normal 2 2" xfId="119"/>
    <cellStyle name="Normal 2 2 10" xfId="120"/>
    <cellStyle name="Normal 2 2 10 2" xfId="121"/>
    <cellStyle name="Normal 2 2 11" xfId="122"/>
    <cellStyle name="Normal 2 2 11 2" xfId="123"/>
    <cellStyle name="Normal 2 2 12" xfId="124"/>
    <cellStyle name="Normal 2 2 12 2" xfId="125"/>
    <cellStyle name="Normal 2 2 13" xfId="126"/>
    <cellStyle name="Normal 2 2 13 2" xfId="127"/>
    <cellStyle name="Normal 2 2 14" xfId="128"/>
    <cellStyle name="Normal 2 2 14 2" xfId="129"/>
    <cellStyle name="Normal 2 2 15" xfId="130"/>
    <cellStyle name="Normal 2 2 15 2" xfId="131"/>
    <cellStyle name="Normal 2 2 16" xfId="132"/>
    <cellStyle name="Normal 2 2 17" xfId="133"/>
    <cellStyle name="Normal 2 2 18" xfId="134"/>
    <cellStyle name="Normal 2 2 19" xfId="135"/>
    <cellStyle name="Normal 2 2 2" xfId="136"/>
    <cellStyle name="Normal 2 2 2 2" xfId="137"/>
    <cellStyle name="Normal 2 2 2 2 2" xfId="138"/>
    <cellStyle name="Normal 2 2 2 3" xfId="139"/>
    <cellStyle name="Normal 2 2 2 3 2" xfId="140"/>
    <cellStyle name="Normal 2 2 2 4" xfId="141"/>
    <cellStyle name="Normal 2 2 2 4 2" xfId="142"/>
    <cellStyle name="Normal 2 2 2 5" xfId="143"/>
    <cellStyle name="Normal 2 2 2 5 2" xfId="144"/>
    <cellStyle name="Normal 2 2 2 6" xfId="145"/>
    <cellStyle name="Normal 2 2 2 6 2" xfId="146"/>
    <cellStyle name="Normal 2 2 2 7" xfId="147"/>
    <cellStyle name="Normal 2 2 2 8" xfId="148"/>
    <cellStyle name="Normal 2 2 20" xfId="149"/>
    <cellStyle name="Normal 2 2 21" xfId="150"/>
    <cellStyle name="Normal 2 2 3" xfId="151"/>
    <cellStyle name="Normal 2 2 3 2" xfId="152"/>
    <cellStyle name="Normal 2 2 4" xfId="153"/>
    <cellStyle name="Normal 2 2 4 2" xfId="154"/>
    <cellStyle name="Normal 2 2 5" xfId="155"/>
    <cellStyle name="Normal 2 2 5 2" xfId="156"/>
    <cellStyle name="Normal 2 2 6" xfId="157"/>
    <cellStyle name="Normal 2 2 6 2" xfId="158"/>
    <cellStyle name="Normal 2 2 7" xfId="159"/>
    <cellStyle name="Normal 2 2 7 2" xfId="160"/>
    <cellStyle name="Normal 2 2 8" xfId="161"/>
    <cellStyle name="Normal 2 2 8 2" xfId="162"/>
    <cellStyle name="Normal 2 2 9" xfId="163"/>
    <cellStyle name="Normal 2 2 9 2" xfId="164"/>
    <cellStyle name="Normal 2 3" xfId="165"/>
    <cellStyle name="Normal 2 3 10" xfId="166"/>
    <cellStyle name="Normal 2 3 11" xfId="167"/>
    <cellStyle name="Normal 2 3 12" xfId="168"/>
    <cellStyle name="Normal 2 3 13" xfId="169"/>
    <cellStyle name="Normal 2 3 14" xfId="170"/>
    <cellStyle name="Normal 2 3 2" xfId="171"/>
    <cellStyle name="Normal 2 3 2 2" xfId="172"/>
    <cellStyle name="Normal 2 3 3" xfId="173"/>
    <cellStyle name="Normal 2 3 3 2" xfId="174"/>
    <cellStyle name="Normal 2 3 4" xfId="175"/>
    <cellStyle name="Normal 2 3 5" xfId="176"/>
    <cellStyle name="Normal 2 3 6" xfId="177"/>
    <cellStyle name="Normal 2 3 7" xfId="178"/>
    <cellStyle name="Normal 2 3 8" xfId="179"/>
    <cellStyle name="Normal 2 3 9" xfId="180"/>
    <cellStyle name="Normal 2 4" xfId="181"/>
    <cellStyle name="Normal 2 4 10" xfId="182"/>
    <cellStyle name="Normal 2 4 11" xfId="183"/>
    <cellStyle name="Normal 2 4 2" xfId="184"/>
    <cellStyle name="Normal 2 4 2 2" xfId="185"/>
    <cellStyle name="Normal 2 4 3" xfId="186"/>
    <cellStyle name="Normal 2 4 3 2" xfId="187"/>
    <cellStyle name="Normal 2 4 4" xfId="188"/>
    <cellStyle name="Normal 2 4 5" xfId="189"/>
    <cellStyle name="Normal 2 4 6" xfId="190"/>
    <cellStyle name="Normal 2 4 7" xfId="191"/>
    <cellStyle name="Normal 2 4 8" xfId="192"/>
    <cellStyle name="Normal 2 4 9" xfId="193"/>
    <cellStyle name="Normal 2 5" xfId="194"/>
    <cellStyle name="Normal 2 5 10" xfId="195"/>
    <cellStyle name="Normal 2 5 11" xfId="196"/>
    <cellStyle name="Normal 2 5 2" xfId="197"/>
    <cellStyle name="Normal 2 5 2 2" xfId="198"/>
    <cellStyle name="Normal 2 5 3" xfId="199"/>
    <cellStyle name="Normal 2 5 3 2" xfId="200"/>
    <cellStyle name="Normal 2 5 4" xfId="201"/>
    <cellStyle name="Normal 2 5 5" xfId="202"/>
    <cellStyle name="Normal 2 5 6" xfId="203"/>
    <cellStyle name="Normal 2 5 7" xfId="204"/>
    <cellStyle name="Normal 2 5 8" xfId="205"/>
    <cellStyle name="Normal 2 5 9" xfId="206"/>
    <cellStyle name="Normal 2 6" xfId="207"/>
    <cellStyle name="Normal 2 6 10" xfId="208"/>
    <cellStyle name="Normal 2 6 11" xfId="209"/>
    <cellStyle name="Normal 2 6 2" xfId="210"/>
    <cellStyle name="Normal 2 6 2 2" xfId="211"/>
    <cellStyle name="Normal 2 6 3" xfId="212"/>
    <cellStyle name="Normal 2 6 3 2" xfId="213"/>
    <cellStyle name="Normal 2 6 4" xfId="214"/>
    <cellStyle name="Normal 2 6 5" xfId="215"/>
    <cellStyle name="Normal 2 6 6" xfId="216"/>
    <cellStyle name="Normal 2 6 7" xfId="217"/>
    <cellStyle name="Normal 2 6 8" xfId="218"/>
    <cellStyle name="Normal 2 6 9" xfId="219"/>
    <cellStyle name="Normal 2 7" xfId="220"/>
    <cellStyle name="Normal 2 7 10" xfId="221"/>
    <cellStyle name="Normal 2 7 2" xfId="222"/>
    <cellStyle name="Normal 2 7 2 2" xfId="223"/>
    <cellStyle name="Normal 2 7 3" xfId="224"/>
    <cellStyle name="Normal 2 7 3 2" xfId="225"/>
    <cellStyle name="Normal 2 7 4" xfId="226"/>
    <cellStyle name="Normal 2 7 4 2" xfId="227"/>
    <cellStyle name="Normal 2 7 5" xfId="228"/>
    <cellStyle name="Normal 2 7 5 2" xfId="229"/>
    <cellStyle name="Normal 2 7 6" xfId="230"/>
    <cellStyle name="Normal 2 7 6 2" xfId="231"/>
    <cellStyle name="Normal 2 7 7" xfId="232"/>
    <cellStyle name="Normal 2 7 7 2" xfId="233"/>
    <cellStyle name="Normal 2 7 8" xfId="234"/>
    <cellStyle name="Normal 2 7 8 2" xfId="235"/>
    <cellStyle name="Normal 2 7 9" xfId="236"/>
    <cellStyle name="Normal 2 8" xfId="237"/>
    <cellStyle name="Normal 2 8 10" xfId="238"/>
    <cellStyle name="Normal 2 8 2" xfId="239"/>
    <cellStyle name="Normal 2 8 2 2" xfId="240"/>
    <cellStyle name="Normal 2 8 3" xfId="241"/>
    <cellStyle name="Normal 2 8 3 2" xfId="242"/>
    <cellStyle name="Normal 2 8 4" xfId="243"/>
    <cellStyle name="Normal 2 8 4 2" xfId="244"/>
    <cellStyle name="Normal 2 8 5" xfId="245"/>
    <cellStyle name="Normal 2 8 5 2" xfId="246"/>
    <cellStyle name="Normal 2 8 6" xfId="247"/>
    <cellStyle name="Normal 2 8 6 2" xfId="248"/>
    <cellStyle name="Normal 2 8 7" xfId="249"/>
    <cellStyle name="Normal 2 8 7 2" xfId="250"/>
    <cellStyle name="Normal 2 8 8" xfId="251"/>
    <cellStyle name="Normal 2 8 8 2" xfId="252"/>
    <cellStyle name="Normal 2 8 9" xfId="253"/>
    <cellStyle name="Normal 2 9" xfId="254"/>
    <cellStyle name="Normal 2 9 10" xfId="255"/>
    <cellStyle name="Normal 2 9 2" xfId="256"/>
    <cellStyle name="Normal 2 9 2 2" xfId="257"/>
    <cellStyle name="Normal 2 9 3" xfId="258"/>
    <cellStyle name="Normal 2 9 3 2" xfId="259"/>
    <cellStyle name="Normal 2 9 4" xfId="260"/>
    <cellStyle name="Normal 2 9 4 2" xfId="261"/>
    <cellStyle name="Normal 2 9 5" xfId="262"/>
    <cellStyle name="Normal 2 9 5 2" xfId="263"/>
    <cellStyle name="Normal 2 9 6" xfId="264"/>
    <cellStyle name="Normal 2 9 6 2" xfId="265"/>
    <cellStyle name="Normal 2 9 7" xfId="266"/>
    <cellStyle name="Normal 2 9 7 2" xfId="267"/>
    <cellStyle name="Normal 2 9 8" xfId="268"/>
    <cellStyle name="Normal 2 9 8 2" xfId="269"/>
    <cellStyle name="Normal 2 9 9" xfId="270"/>
    <cellStyle name="Normal 20" xfId="271"/>
    <cellStyle name="Normal 20 2" xfId="272"/>
    <cellStyle name="Normal 20 3" xfId="273"/>
    <cellStyle name="Normal 22" xfId="274"/>
    <cellStyle name="Normal 22 2" xfId="275"/>
    <cellStyle name="Normal 22 3" xfId="276"/>
    <cellStyle name="Normal 23" xfId="277"/>
    <cellStyle name="Normal 23 2" xfId="278"/>
    <cellStyle name="Normal 23 3" xfId="279"/>
    <cellStyle name="Normal 24" xfId="280"/>
    <cellStyle name="Normal 24 2" xfId="281"/>
    <cellStyle name="Normal 24 3" xfId="282"/>
    <cellStyle name="Normal 25" xfId="283"/>
    <cellStyle name="Normal 25 2" xfId="284"/>
    <cellStyle name="Normal 25 3" xfId="285"/>
    <cellStyle name="Normal 26" xfId="286"/>
    <cellStyle name="Normal 3" xfId="287"/>
    <cellStyle name="Normal 3 2" xfId="288"/>
    <cellStyle name="Normal 3 3" xfId="289"/>
    <cellStyle name="Normal 3 4" xfId="290"/>
    <cellStyle name="Normal 3 5" xfId="291"/>
    <cellStyle name="Normal 3 6" xfId="292"/>
    <cellStyle name="Normal 3 7" xfId="293"/>
    <cellStyle name="Normal 4" xfId="294"/>
    <cellStyle name="Normal 4 2" xfId="295"/>
    <cellStyle name="Normal 5 2" xfId="296"/>
    <cellStyle name="Normal 5 3" xfId="297"/>
    <cellStyle name="Normal 6" xfId="298"/>
    <cellStyle name="Normal 6 2" xfId="299"/>
    <cellStyle name="Normal 7" xfId="300"/>
    <cellStyle name="Normal 7 2" xfId="301"/>
    <cellStyle name="Normal 7 3" xfId="302"/>
    <cellStyle name="Normal 7 4" xfId="303"/>
    <cellStyle name="Normal 8 2" xfId="304"/>
    <cellStyle name="Normal 9" xfId="305"/>
    <cellStyle name="Normal 9 2" xfId="306"/>
    <cellStyle name="Normal 9 3" xfId="307"/>
    <cellStyle name="Normal 9 4" xfId="308"/>
    <cellStyle name="Normal_debt" xfId="309"/>
    <cellStyle name="Normal_lpform" xfId="310"/>
  </cellStyles>
  <dxfs count="72">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219075</xdr:colOff>
      <xdr:row>109</xdr:row>
      <xdr:rowOff>180975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221075" cy="209454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219075</xdr:colOff>
      <xdr:row>109</xdr:row>
      <xdr:rowOff>180975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221075" cy="209454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tabSelected="1" zoomScaleNormal="100" workbookViewId="0">
      <selection activeCell="F24" sqref="F24"/>
    </sheetView>
  </sheetViews>
  <sheetFormatPr defaultRowHeight="15" customHeight="1"/>
  <cols>
    <col min="1" max="1" width="24.44140625" style="124" customWidth="1"/>
    <col min="2" max="2" width="11.33203125" style="124" customWidth="1"/>
    <col min="3" max="3" width="5.77734375" style="124" customWidth="1"/>
    <col min="4" max="4" width="13.88671875" style="124" customWidth="1"/>
    <col min="5" max="5" width="14" style="124" customWidth="1"/>
    <col min="6" max="6" width="13" style="124" customWidth="1"/>
    <col min="7" max="16384" width="8.88671875" style="124"/>
  </cols>
  <sheetData>
    <row r="1" spans="1:6" ht="15" customHeight="1">
      <c r="A1" s="122"/>
      <c r="B1" s="122"/>
      <c r="C1" s="122"/>
      <c r="D1" s="122"/>
      <c r="E1" s="122"/>
      <c r="F1" s="123">
        <f>inputPrYr!$C$5</f>
        <v>2013</v>
      </c>
    </row>
    <row r="2" spans="1:6" ht="15" customHeight="1">
      <c r="A2" s="27"/>
      <c r="B2" s="27"/>
      <c r="C2" s="29" t="s">
        <v>138</v>
      </c>
      <c r="D2" s="27"/>
      <c r="E2" s="27"/>
      <c r="F2" s="125"/>
    </row>
    <row r="3" spans="1:6" s="28" customFormat="1" ht="15" customHeight="1">
      <c r="A3" s="526" t="str">
        <f>CONCATENATE("To the Clerk of ",inputPrYr!D3,", State of Kansas")</f>
        <v>To the Clerk of Greeley County, State of Kansas</v>
      </c>
      <c r="B3" s="527"/>
      <c r="C3" s="527"/>
      <c r="D3" s="527"/>
      <c r="E3" s="527"/>
      <c r="F3" s="527"/>
    </row>
    <row r="4" spans="1:6" s="28" customFormat="1" ht="15" customHeight="1">
      <c r="A4" s="37" t="s">
        <v>253</v>
      </c>
      <c r="B4" s="36"/>
      <c r="C4" s="36"/>
      <c r="D4" s="36"/>
      <c r="E4" s="36"/>
      <c r="F4" s="36"/>
    </row>
    <row r="5" spans="1:6" s="28" customFormat="1" ht="15" customHeight="1">
      <c r="A5" s="27"/>
      <c r="B5" s="27"/>
      <c r="C5" s="343" t="str">
        <f>(inputPrYr!D2)</f>
        <v>City of Horace</v>
      </c>
      <c r="D5" s="27"/>
      <c r="E5" s="27"/>
      <c r="F5" s="27"/>
    </row>
    <row r="6" spans="1:6" s="28" customFormat="1" ht="15" customHeight="1">
      <c r="A6" s="37" t="s">
        <v>56</v>
      </c>
      <c r="B6" s="36"/>
      <c r="C6" s="36"/>
      <c r="D6" s="36"/>
      <c r="E6" s="36"/>
      <c r="F6" s="36"/>
    </row>
    <row r="7" spans="1:6" s="28" customFormat="1" ht="15" customHeight="1">
      <c r="A7" s="37" t="s">
        <v>57</v>
      </c>
      <c r="B7" s="36"/>
      <c r="C7" s="36"/>
      <c r="D7" s="36"/>
      <c r="E7" s="36"/>
      <c r="F7" s="36"/>
    </row>
    <row r="8" spans="1:6" s="28" customFormat="1" ht="15" customHeight="1">
      <c r="A8" s="37" t="str">
        <f>CONCATENATE("maximum expenditure for the various funds for the year ",D11,"; and")</f>
        <v>maximum expenditure for the various funds for the year 2013; and</v>
      </c>
      <c r="B8" s="36"/>
      <c r="C8" s="36"/>
      <c r="D8" s="36"/>
      <c r="E8" s="36"/>
      <c r="F8" s="36"/>
    </row>
    <row r="9" spans="1:6" s="28" customFormat="1" ht="15" customHeight="1">
      <c r="A9" s="37" t="str">
        <f>CONCATENATE("(3) the Amount(s) of ",F1-1," Ad Valorem Tax are within statutory limitations.")</f>
        <v>(3) the Amount(s) of 2012 Ad Valorem Tax are within statutory limitations.</v>
      </c>
      <c r="B9" s="36"/>
      <c r="C9" s="36"/>
      <c r="D9" s="36"/>
      <c r="E9" s="36"/>
      <c r="F9" s="36"/>
    </row>
    <row r="10" spans="1:6" ht="15" customHeight="1">
      <c r="A10" s="127"/>
      <c r="B10" s="128"/>
      <c r="C10" s="128"/>
      <c r="D10" s="129"/>
      <c r="E10" s="128"/>
      <c r="F10" s="128"/>
    </row>
    <row r="11" spans="1:6" ht="15" customHeight="1">
      <c r="A11" s="27"/>
      <c r="B11" s="27"/>
      <c r="C11" s="130"/>
      <c r="D11" s="131">
        <f>inputPrYr!$C$5</f>
        <v>2013</v>
      </c>
      <c r="E11" s="132" t="s">
        <v>82</v>
      </c>
      <c r="F11" s="133"/>
    </row>
    <row r="12" spans="1:6" ht="16.5" customHeight="1">
      <c r="A12" s="128"/>
      <c r="B12" s="27"/>
      <c r="C12" s="134"/>
      <c r="D12" s="136"/>
      <c r="E12" s="528" t="str">
        <f>CONCATENATE("Amount of ",$F$1-1," Ad Valorem Tax")</f>
        <v>Amount of 2012 Ad Valorem Tax</v>
      </c>
      <c r="F12" s="136" t="s">
        <v>59</v>
      </c>
    </row>
    <row r="13" spans="1:6" ht="14.25" customHeight="1">
      <c r="A13" s="27"/>
      <c r="B13" s="27"/>
      <c r="C13" s="136" t="s">
        <v>60</v>
      </c>
      <c r="D13" s="137" t="s">
        <v>29</v>
      </c>
      <c r="E13" s="529"/>
      <c r="F13" s="137" t="s">
        <v>61</v>
      </c>
    </row>
    <row r="14" spans="1:6" ht="14.25" customHeight="1">
      <c r="A14" s="138" t="s">
        <v>62</v>
      </c>
      <c r="B14" s="66"/>
      <c r="C14" s="139" t="s">
        <v>63</v>
      </c>
      <c r="D14" s="139" t="s">
        <v>263</v>
      </c>
      <c r="E14" s="530"/>
      <c r="F14" s="139" t="s">
        <v>65</v>
      </c>
    </row>
    <row r="15" spans="1:6" ht="15" customHeight="1">
      <c r="A15" s="140" t="s">
        <v>219</v>
      </c>
      <c r="B15" s="141">
        <f>inputPrYr!$C$5</f>
        <v>2013</v>
      </c>
      <c r="C15" s="142">
        <v>2</v>
      </c>
      <c r="D15" s="59"/>
      <c r="E15" s="59"/>
      <c r="F15" s="143"/>
    </row>
    <row r="16" spans="1:6" ht="15" customHeight="1">
      <c r="A16" s="135" t="s">
        <v>303</v>
      </c>
      <c r="B16" s="144"/>
      <c r="C16" s="142">
        <v>3</v>
      </c>
      <c r="D16" s="59"/>
      <c r="E16" s="59"/>
      <c r="F16" s="130"/>
    </row>
    <row r="17" spans="1:7" ht="15" customHeight="1">
      <c r="A17" s="140" t="s">
        <v>204</v>
      </c>
      <c r="B17" s="79"/>
      <c r="C17" s="145">
        <v>4</v>
      </c>
      <c r="D17" s="59"/>
      <c r="E17" s="59"/>
      <c r="F17" s="130"/>
    </row>
    <row r="18" spans="1:7" ht="15" customHeight="1">
      <c r="A18" s="140" t="s">
        <v>66</v>
      </c>
      <c r="B18" s="79"/>
      <c r="C18" s="145">
        <v>5</v>
      </c>
      <c r="D18" s="59"/>
      <c r="E18" s="59"/>
      <c r="F18" s="130"/>
    </row>
    <row r="19" spans="1:7" ht="15" customHeight="1">
      <c r="A19" s="140" t="s">
        <v>67</v>
      </c>
      <c r="B19" s="79"/>
      <c r="C19" s="145">
        <v>6</v>
      </c>
      <c r="D19" s="59"/>
      <c r="E19" s="59"/>
      <c r="F19" s="130"/>
      <c r="G19" s="146"/>
    </row>
    <row r="20" spans="1:7" ht="15" customHeight="1">
      <c r="A20" s="238" t="str">
        <f>IF(inputPrYr!D19="","","Computation to Determine State Library Grant")</f>
        <v/>
      </c>
      <c r="B20" s="66"/>
      <c r="C20" s="145" t="str">
        <f>IF(inputPrYr!D19="","",#REF!)</f>
        <v/>
      </c>
      <c r="D20" s="59"/>
      <c r="E20" s="59"/>
      <c r="F20" s="130"/>
      <c r="G20" s="146"/>
    </row>
    <row r="21" spans="1:7" ht="15" customHeight="1">
      <c r="A21" s="147" t="s">
        <v>68</v>
      </c>
      <c r="B21" s="148" t="s">
        <v>69</v>
      </c>
      <c r="C21" s="149"/>
      <c r="D21" s="59"/>
      <c r="E21" s="59"/>
      <c r="F21" s="130"/>
    </row>
    <row r="22" spans="1:7" ht="15" customHeight="1">
      <c r="A22" s="48" t="s">
        <v>48</v>
      </c>
      <c r="B22" s="150" t="str">
        <f>inputPrYr!C17</f>
        <v>12-101a</v>
      </c>
      <c r="C22" s="142">
        <f>IF(general!C61&gt;0,general!C61,"")</f>
        <v>7</v>
      </c>
      <c r="D22" s="339">
        <f>IF((general!$E$51)&lt;&gt;0,general!$E$51,"")</f>
        <v>40000</v>
      </c>
      <c r="E22" s="459">
        <f>IF((general!$E$58)&lt;&gt;0,(general!$E$58),0)</f>
        <v>17250</v>
      </c>
      <c r="F22" s="463">
        <f>IF($F$32=0,"",ROUND(E22/$F$32*1000,3))</f>
        <v>50.320999999999998</v>
      </c>
    </row>
    <row r="23" spans="1:7" ht="15" customHeight="1">
      <c r="A23" s="71" t="str">
        <f>IF((inputPrYr!$B21&gt;"  "),(inputPrYr!$B21),"  ")</f>
        <v>Social Security</v>
      </c>
      <c r="B23" s="150" t="str">
        <f>IF((inputPrYr!$C21&gt;"  "),(inputPrYr!$C21),"  ")</f>
        <v>40-2305</v>
      </c>
      <c r="C23" s="142">
        <f>IF(SocSecurity!C68&gt;0,SocSecurity!C68," ")</f>
        <v>8</v>
      </c>
      <c r="D23" s="339">
        <f>IF((SocSecurity!$E$27)&lt;&gt;0,(SocSecurity!$E$27),"")</f>
        <v>2500</v>
      </c>
      <c r="E23" s="459">
        <f>IF((SocSecurity!$E$34)&lt;&gt;0,(SocSecurity!$E$34),0)</f>
        <v>1334</v>
      </c>
      <c r="F23" s="463">
        <v>3.8919999999999999</v>
      </c>
    </row>
    <row r="24" spans="1:7" ht="15" customHeight="1">
      <c r="A24" s="71" t="str">
        <f>IF((inputPrYr!$B22&gt;"  "),(inputPrYr!$B22),"  ")</f>
        <v xml:space="preserve">  </v>
      </c>
      <c r="B24" s="150" t="str">
        <f>IF((inputPrYr!$C22&gt;"  "),(inputPrYr!$C22),"  ")</f>
        <v xml:space="preserve">  </v>
      </c>
      <c r="C24" s="142">
        <f>IF(SocSecurity!C68&gt;0,SocSecurity!C68," ")</f>
        <v>8</v>
      </c>
      <c r="D24" s="339"/>
      <c r="E24" s="459"/>
      <c r="F24" s="463">
        <f>IF($F$32=0,"",ROUND(E24/$F$32*1000,3))</f>
        <v>0</v>
      </c>
    </row>
    <row r="25" spans="1:7" ht="15" customHeight="1">
      <c r="A25" s="152" t="str">
        <f>IF((inputPrYr!$B28&gt;"  "),(inputPrYr!$B28),"  ")</f>
        <v>Special Highway</v>
      </c>
      <c r="B25" s="79"/>
      <c r="C25" s="145">
        <f>IF('SpecHwy  Water'!C66&gt;0,'SpecHwy  Water'!C66," ")</f>
        <v>9</v>
      </c>
      <c r="D25" s="339">
        <f>IF(('SpecHwy  Water'!$E$24)&lt;&gt;0,('SpecHwy  Water'!$E$24),"")</f>
        <v>3000</v>
      </c>
      <c r="E25" s="197"/>
      <c r="F25" s="149"/>
    </row>
    <row r="26" spans="1:7" ht="15" customHeight="1">
      <c r="A26" s="152" t="str">
        <f>IF((inputPrYr!$B29&gt;"  "),(inputPrYr!$B29),"  ")</f>
        <v>Water Utility</v>
      </c>
      <c r="B26" s="79"/>
      <c r="C26" s="145">
        <f>IF('SpecHwy  Water'!C66&gt;0,'SpecHwy  Water'!C66," ")</f>
        <v>9</v>
      </c>
      <c r="D26" s="339">
        <f>IF(('SpecHwy  Water'!$E$60)&lt;&gt;0,('SpecHwy  Water'!$E$60),"")</f>
        <v>41582</v>
      </c>
      <c r="E26" s="197"/>
      <c r="F26" s="149"/>
    </row>
    <row r="27" spans="1:7" ht="15" customHeight="1">
      <c r="A27" s="153" t="str">
        <f>IF((inputPrYr!$B30&gt;"  "),(inputPrYr!$B30),"  ")</f>
        <v>Sewer Utility</v>
      </c>
      <c r="B27" s="79"/>
      <c r="C27" s="145">
        <f>IF('Sewer  WaterDebt'!C68&gt;0,'Sewer  WaterDebt'!C68," ")</f>
        <v>10</v>
      </c>
      <c r="D27" s="339">
        <f>IF(('Sewer  WaterDebt'!$E$30)&lt;&gt;0,('Sewer  WaterDebt'!$E$30),"")</f>
        <v>6000</v>
      </c>
      <c r="E27" s="197"/>
      <c r="F27" s="149"/>
    </row>
    <row r="28" spans="1:7" ht="15" customHeight="1">
      <c r="A28" s="153" t="str">
        <f>IF((inputPrYr!$B31&gt;"  "),(inputPrYr!$B31),"  ")</f>
        <v>Water Utility Debt Service</v>
      </c>
      <c r="B28" s="79"/>
      <c r="C28" s="145">
        <f>IF('Sewer  WaterDebt'!C68&gt;0,'Sewer  WaterDebt'!C68," ")</f>
        <v>10</v>
      </c>
      <c r="D28" s="339">
        <f>IF(('Sewer  WaterDebt'!$E$62)&lt;&gt;0,('Sewer  WaterDebt'!$E$62),"")</f>
        <v>4600</v>
      </c>
      <c r="E28" s="197"/>
      <c r="F28" s="149"/>
    </row>
    <row r="29" spans="1:7" ht="15" customHeight="1" thickBot="1">
      <c r="A29" s="152" t="str">
        <f>IF((inputPrYr!$B38&gt;"  "),(nonbud!$A3),"  ")</f>
        <v>Non-Budgeted Funds</v>
      </c>
      <c r="B29" s="79"/>
      <c r="C29" s="145">
        <f>IF(nonbud!F33&gt;0,nonbud!F33," ")</f>
        <v>11</v>
      </c>
      <c r="D29" s="460"/>
      <c r="E29" s="461"/>
      <c r="F29" s="429"/>
    </row>
    <row r="30" spans="1:7" ht="15" customHeight="1">
      <c r="A30" s="249" t="s">
        <v>269</v>
      </c>
      <c r="B30" s="78"/>
      <c r="C30" s="342" t="s">
        <v>70</v>
      </c>
      <c r="D30" s="462">
        <f>SUM(D22:D28)</f>
        <v>97682</v>
      </c>
      <c r="E30" s="462">
        <f>SUM(E22:E28)</f>
        <v>18584</v>
      </c>
      <c r="F30" s="428">
        <f>IF(SUM(F22:F29)=0,"",SUM(F22:F29))</f>
        <v>54.213000000000001</v>
      </c>
    </row>
    <row r="31" spans="1:7" ht="15" customHeight="1">
      <c r="A31" s="349" t="s">
        <v>21</v>
      </c>
      <c r="B31" s="348"/>
      <c r="C31" s="347"/>
      <c r="D31" s="346"/>
      <c r="E31" s="345" t="str">
        <f>IF(E30&gt;computation!J40,"Yes","No")</f>
        <v>No</v>
      </c>
      <c r="F31" s="341" t="s">
        <v>209</v>
      </c>
    </row>
    <row r="32" spans="1:7" ht="15" customHeight="1">
      <c r="A32" s="135" t="s">
        <v>10</v>
      </c>
      <c r="B32" s="144"/>
      <c r="C32" s="137">
        <f>summ!D44</f>
        <v>12</v>
      </c>
      <c r="D32" s="155"/>
      <c r="E32" s="27"/>
      <c r="F32" s="344">
        <v>342802</v>
      </c>
    </row>
    <row r="33" spans="1:6" ht="15" customHeight="1">
      <c r="A33" s="48" t="s">
        <v>43</v>
      </c>
      <c r="B33" s="49"/>
      <c r="C33" s="142"/>
      <c r="D33" s="155"/>
      <c r="E33" s="27"/>
      <c r="F33" s="533" t="str">
        <f>CONCATENATE("Nov 1, ",F1-1," Total Assessed Valuation")</f>
        <v>Nov 1, 2012 Total Assessed Valuation</v>
      </c>
    </row>
    <row r="34" spans="1:6" ht="15" customHeight="1">
      <c r="A34" s="377"/>
      <c r="B34" s="375"/>
      <c r="C34" s="378"/>
      <c r="D34" s="379"/>
      <c r="E34" s="380"/>
      <c r="F34" s="534"/>
    </row>
    <row r="35" spans="1:6" ht="15" customHeight="1">
      <c r="A35" s="32" t="s">
        <v>71</v>
      </c>
      <c r="B35" s="59"/>
      <c r="C35" s="156"/>
      <c r="D35" s="59"/>
      <c r="E35" s="27"/>
      <c r="F35" s="27"/>
    </row>
    <row r="36" spans="1:6" ht="15" customHeight="1">
      <c r="A36" s="305" t="s">
        <v>313</v>
      </c>
      <c r="B36" s="27"/>
      <c r="C36" s="27"/>
      <c r="D36" s="375"/>
      <c r="E36" s="376"/>
      <c r="F36" s="27"/>
    </row>
    <row r="37" spans="1:6" ht="16.5" customHeight="1">
      <c r="A37" s="157" t="s">
        <v>314</v>
      </c>
      <c r="B37" s="27"/>
      <c r="C37" s="391" t="s">
        <v>287</v>
      </c>
      <c r="D37" s="59"/>
      <c r="E37" s="391"/>
      <c r="F37" s="391"/>
    </row>
    <row r="38" spans="1:6" ht="16.5" customHeight="1">
      <c r="A38" s="27" t="s">
        <v>216</v>
      </c>
      <c r="B38" s="59"/>
      <c r="C38" s="59"/>
      <c r="D38" s="59"/>
      <c r="E38" s="59"/>
      <c r="F38" s="59"/>
    </row>
    <row r="39" spans="1:6" ht="15" customHeight="1">
      <c r="A39" s="305" t="s">
        <v>315</v>
      </c>
      <c r="B39" s="304"/>
      <c r="C39" s="391" t="s">
        <v>287</v>
      </c>
      <c r="D39" s="59"/>
      <c r="E39" s="59"/>
      <c r="F39" s="59"/>
    </row>
    <row r="40" spans="1:6" ht="15" customHeight="1">
      <c r="A40" s="157" t="s">
        <v>316</v>
      </c>
      <c r="B40" s="59"/>
      <c r="C40" s="62"/>
      <c r="D40" s="59"/>
      <c r="E40" s="59"/>
      <c r="F40" s="59"/>
    </row>
    <row r="41" spans="1:6" ht="15" customHeight="1">
      <c r="A41" s="59" t="s">
        <v>302</v>
      </c>
      <c r="B41" s="27"/>
      <c r="C41" s="391" t="s">
        <v>287</v>
      </c>
      <c r="D41" s="59"/>
      <c r="E41" s="464"/>
      <c r="F41" s="464"/>
    </row>
    <row r="42" spans="1:6" ht="15" customHeight="1">
      <c r="A42" s="305" t="s">
        <v>317</v>
      </c>
      <c r="B42" s="32"/>
      <c r="C42" s="59"/>
      <c r="D42" s="59"/>
      <c r="E42" s="464"/>
      <c r="F42" s="464"/>
    </row>
    <row r="43" spans="1:6" ht="15" customHeight="1">
      <c r="A43" s="304"/>
      <c r="B43" s="27"/>
      <c r="C43" s="391" t="s">
        <v>287</v>
      </c>
      <c r="D43" s="59"/>
      <c r="E43" s="464"/>
      <c r="F43" s="464"/>
    </row>
    <row r="44" spans="1:6" ht="15" customHeight="1">
      <c r="A44" s="27"/>
      <c r="B44" s="27"/>
      <c r="C44" s="59"/>
      <c r="D44" s="59"/>
      <c r="E44" s="464"/>
      <c r="F44" s="464"/>
    </row>
    <row r="45" spans="1:6" ht="15" customHeight="1">
      <c r="A45" s="33" t="s">
        <v>9</v>
      </c>
      <c r="B45" s="158">
        <f>inputPrYr!$C$5-1</f>
        <v>2012</v>
      </c>
      <c r="C45" s="391" t="s">
        <v>287</v>
      </c>
      <c r="D45" s="59"/>
      <c r="E45" s="464"/>
      <c r="F45" s="464"/>
    </row>
    <row r="46" spans="1:6" ht="15" customHeight="1">
      <c r="A46" s="27"/>
      <c r="B46" s="27"/>
      <c r="C46" s="464"/>
      <c r="D46" s="464"/>
      <c r="E46" s="465"/>
      <c r="F46" s="466"/>
    </row>
    <row r="47" spans="1:6" ht="15" customHeight="1">
      <c r="A47" s="433"/>
      <c r="B47" s="27"/>
      <c r="C47" s="391" t="s">
        <v>287</v>
      </c>
      <c r="D47" s="59"/>
      <c r="E47" s="464"/>
      <c r="F47" s="464"/>
    </row>
    <row r="48" spans="1:6" ht="15" customHeight="1">
      <c r="A48" s="46" t="s">
        <v>73</v>
      </c>
      <c r="B48" s="27"/>
      <c r="C48" s="531" t="s">
        <v>72</v>
      </c>
      <c r="D48" s="532"/>
      <c r="E48" s="532"/>
      <c r="F48" s="532"/>
    </row>
    <row r="49" spans="1:6" ht="15" customHeight="1">
      <c r="A49" s="24"/>
      <c r="B49" s="160"/>
    </row>
    <row r="51" spans="1:6" ht="15" customHeight="1">
      <c r="D51" s="161"/>
    </row>
    <row r="52" spans="1:6" ht="15" customHeight="1">
      <c r="A52" s="24"/>
      <c r="B52" s="24"/>
      <c r="C52" s="24"/>
      <c r="D52" s="24"/>
      <c r="E52" s="24"/>
      <c r="F52" s="24"/>
    </row>
    <row r="53" spans="1:6" ht="15" customHeight="1">
      <c r="A53" s="24"/>
      <c r="B53" s="24"/>
      <c r="C53" s="24"/>
      <c r="D53" s="24"/>
      <c r="E53" s="24"/>
      <c r="F53" s="24"/>
    </row>
    <row r="54" spans="1:6" ht="15" customHeight="1">
      <c r="A54" s="24"/>
    </row>
    <row r="55" spans="1:6" ht="15" customHeight="1">
      <c r="A55" s="24"/>
    </row>
    <row r="56" spans="1:6" ht="15" customHeight="1">
      <c r="D56" s="351"/>
    </row>
    <row r="63" spans="1:6" ht="15" hidden="1" customHeight="1"/>
  </sheetData>
  <mergeCells count="4">
    <mergeCell ref="A3:F3"/>
    <mergeCell ref="E12:E14"/>
    <mergeCell ref="C48:F48"/>
    <mergeCell ref="F33:F34"/>
  </mergeCells>
  <phoneticPr fontId="0" type="noConversion"/>
  <pageMargins left="1" right="0.5" top="1" bottom="0.5" header="0.5" footer="0.5"/>
  <pageSetup scale="90" orientation="portrait" blackAndWhite="1" r:id="rId1"/>
  <headerFooter alignWithMargins="0">
    <oddHeader xml:space="preserve">&amp;RState of Kansas
City
</oddHeader>
    <oddFooter>&amp;CPage No. 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E66"/>
  <sheetViews>
    <sheetView topLeftCell="A28" zoomScaleNormal="100" workbookViewId="0">
      <selection activeCell="G59" sqref="G59"/>
    </sheetView>
  </sheetViews>
  <sheetFormatPr defaultRowHeight="15.75"/>
  <cols>
    <col min="1" max="1" width="2.44140625" style="28" customWidth="1"/>
    <col min="2" max="2" width="31.109375" style="28" customWidth="1"/>
    <col min="3" max="4" width="15.77734375" style="28" customWidth="1"/>
    <col min="5" max="5" width="16.109375" style="28" customWidth="1"/>
    <col min="6" max="16384" width="8.88671875" style="28"/>
  </cols>
  <sheetData>
    <row r="1" spans="2:5">
      <c r="B1" s="162" t="str">
        <f>(inputPrYr!D2)</f>
        <v>City of Horace</v>
      </c>
      <c r="C1" s="27"/>
      <c r="D1" s="27"/>
      <c r="E1" s="123">
        <f>inputPrYr!$C$5</f>
        <v>2013</v>
      </c>
    </row>
    <row r="2" spans="2:5">
      <c r="B2" s="27"/>
      <c r="C2" s="27"/>
      <c r="D2" s="27"/>
      <c r="E2" s="178"/>
    </row>
    <row r="3" spans="2:5">
      <c r="B3" s="44" t="s">
        <v>142</v>
      </c>
      <c r="C3" s="289"/>
      <c r="D3" s="289"/>
      <c r="E3" s="290"/>
    </row>
    <row r="4" spans="2:5">
      <c r="B4" s="32" t="s">
        <v>82</v>
      </c>
      <c r="C4" s="497" t="s">
        <v>288</v>
      </c>
      <c r="D4" s="498" t="s">
        <v>289</v>
      </c>
      <c r="E4" s="136" t="s">
        <v>290</v>
      </c>
    </row>
    <row r="5" spans="2:5">
      <c r="B5" s="364" t="str">
        <f>(inputPrYr!B28)</f>
        <v>Special Highway</v>
      </c>
      <c r="C5" s="291" t="str">
        <f>CONCATENATE("Actual for ",$E$1-2,"")</f>
        <v>Actual for 2011</v>
      </c>
      <c r="D5" s="327" t="str">
        <f>CONCATENATE("Estimate for ",$E$1-1,"")</f>
        <v>Estimate for 2012</v>
      </c>
      <c r="E5" s="189" t="str">
        <f>CONCATENATE("Year for ",$E$1,"")</f>
        <v>Year for 2013</v>
      </c>
    </row>
    <row r="6" spans="2:5">
      <c r="B6" s="140" t="s">
        <v>198</v>
      </c>
      <c r="C6" s="50">
        <v>817</v>
      </c>
      <c r="D6" s="151">
        <f>C25</f>
        <v>398</v>
      </c>
      <c r="E6" s="151">
        <f>D25</f>
        <v>1180</v>
      </c>
    </row>
    <row r="7" spans="2:5">
      <c r="B7" s="238" t="s">
        <v>200</v>
      </c>
      <c r="C7" s="151"/>
      <c r="D7" s="151"/>
      <c r="E7" s="151"/>
    </row>
    <row r="8" spans="2:5">
      <c r="B8" s="298" t="s">
        <v>98</v>
      </c>
      <c r="C8" s="50">
        <v>2452</v>
      </c>
      <c r="D8" s="151">
        <f>inputOth!E47</f>
        <v>1810</v>
      </c>
      <c r="E8" s="151">
        <f>inputOth!E45</f>
        <v>1820</v>
      </c>
    </row>
    <row r="9" spans="2:5">
      <c r="B9" s="298" t="s">
        <v>232</v>
      </c>
      <c r="C9" s="50"/>
      <c r="D9" s="151">
        <f>inputOth!E48</f>
        <v>0</v>
      </c>
      <c r="E9" s="151">
        <f>inputOth!E46</f>
        <v>0</v>
      </c>
    </row>
    <row r="10" spans="2:5">
      <c r="B10" s="252"/>
      <c r="C10" s="50"/>
      <c r="D10" s="50"/>
      <c r="E10" s="50"/>
    </row>
    <row r="11" spans="2:5">
      <c r="B11" s="252"/>
      <c r="C11" s="50"/>
      <c r="D11" s="50"/>
      <c r="E11" s="50"/>
    </row>
    <row r="12" spans="2:5">
      <c r="B12" s="293" t="s">
        <v>89</v>
      </c>
      <c r="C12" s="50"/>
      <c r="D12" s="50"/>
      <c r="E12" s="50"/>
    </row>
    <row r="13" spans="2:5">
      <c r="B13" s="296" t="s">
        <v>176</v>
      </c>
      <c r="C13" s="50"/>
      <c r="D13" s="50"/>
      <c r="E13" s="50"/>
    </row>
    <row r="14" spans="2:5">
      <c r="B14" s="296" t="s">
        <v>258</v>
      </c>
      <c r="C14" s="365" t="str">
        <f>IF(C15*0.1&lt;C13,"Exceed 10% Rule","")</f>
        <v/>
      </c>
      <c r="D14" s="294" t="str">
        <f>IF(D15*0.1&lt;D13,"Exceed 10% Rule","")</f>
        <v/>
      </c>
      <c r="E14" s="294" t="str">
        <f>IF(E15*0.1&lt;E13,"Exceed 10% Rule","")</f>
        <v/>
      </c>
    </row>
    <row r="15" spans="2:5">
      <c r="B15" s="249" t="s">
        <v>90</v>
      </c>
      <c r="C15" s="295">
        <f>SUM(C8:C13)</f>
        <v>2452</v>
      </c>
      <c r="D15" s="295">
        <f>SUM(D8:D13)</f>
        <v>1810</v>
      </c>
      <c r="E15" s="295">
        <f>SUM(E8:E13)</f>
        <v>1820</v>
      </c>
    </row>
    <row r="16" spans="2:5">
      <c r="B16" s="249" t="s">
        <v>91</v>
      </c>
      <c r="C16" s="295">
        <f>C6+C15</f>
        <v>3269</v>
      </c>
      <c r="D16" s="295">
        <f>D6+D15</f>
        <v>2208</v>
      </c>
      <c r="E16" s="295">
        <f>E6+E15</f>
        <v>3000</v>
      </c>
    </row>
    <row r="17" spans="2:5">
      <c r="B17" s="140" t="s">
        <v>92</v>
      </c>
      <c r="C17" s="151"/>
      <c r="D17" s="151"/>
      <c r="E17" s="151"/>
    </row>
    <row r="18" spans="2:5">
      <c r="B18" s="252" t="s">
        <v>338</v>
      </c>
      <c r="C18" s="50">
        <v>2871</v>
      </c>
      <c r="D18" s="50">
        <v>1028</v>
      </c>
      <c r="E18" s="50">
        <v>3000</v>
      </c>
    </row>
    <row r="19" spans="2:5">
      <c r="B19" s="318"/>
      <c r="C19" s="50"/>
      <c r="D19" s="50"/>
      <c r="E19" s="50"/>
    </row>
    <row r="20" spans="2:5">
      <c r="B20" s="252"/>
      <c r="C20" s="50"/>
      <c r="D20" s="50"/>
      <c r="E20" s="50"/>
    </row>
    <row r="21" spans="2:5">
      <c r="B21" s="252"/>
      <c r="C21" s="50"/>
      <c r="D21" s="50"/>
      <c r="E21" s="50"/>
    </row>
    <row r="22" spans="2:5">
      <c r="B22" s="153" t="s">
        <v>176</v>
      </c>
      <c r="C22" s="50"/>
      <c r="D22" s="50"/>
      <c r="E22" s="50"/>
    </row>
    <row r="23" spans="2:5">
      <c r="B23" s="49" t="s">
        <v>257</v>
      </c>
      <c r="C23" s="365" t="str">
        <f>IF(C24*0.1&lt;C22,"Exceed 10% Rule","")</f>
        <v/>
      </c>
      <c r="D23" s="294" t="str">
        <f>IF(D24*0.1&lt;D22,"Exceed 10% Rule","")</f>
        <v/>
      </c>
      <c r="E23" s="294" t="str">
        <f>IF(E24*0.1&lt;E22,"Exceed 10% Rule","")</f>
        <v/>
      </c>
    </row>
    <row r="24" spans="2:5">
      <c r="B24" s="249" t="s">
        <v>93</v>
      </c>
      <c r="C24" s="295">
        <f>SUM(C18:C22)</f>
        <v>2871</v>
      </c>
      <c r="D24" s="295">
        <f>SUM(D18:D22)</f>
        <v>1028</v>
      </c>
      <c r="E24" s="295">
        <f>SUM(E18:E22)</f>
        <v>3000</v>
      </c>
    </row>
    <row r="25" spans="2:5">
      <c r="B25" s="140" t="s">
        <v>199</v>
      </c>
      <c r="C25" s="57">
        <f>C16-C24</f>
        <v>398</v>
      </c>
      <c r="D25" s="57">
        <f>D16-D24</f>
        <v>1180</v>
      </c>
      <c r="E25" s="57">
        <f>E16-E24</f>
        <v>0</v>
      </c>
    </row>
    <row r="26" spans="2:5">
      <c r="B26" s="171" t="str">
        <f>CONCATENATE("",E1-2,"/",E1-1," Budget Authority Amount:")</f>
        <v>2011/2012 Budget Authority Amount:</v>
      </c>
      <c r="C26" s="181">
        <f>inputOth!B62</f>
        <v>9000</v>
      </c>
      <c r="D26" s="181">
        <f>inputPrYr!D28</f>
        <v>5000</v>
      </c>
      <c r="E26" s="372" t="str">
        <f>IF(E25&lt;0,"See Tab E","")</f>
        <v/>
      </c>
    </row>
    <row r="27" spans="2:5">
      <c r="B27" s="171"/>
      <c r="C27" s="254" t="str">
        <f>IF(C24&gt;C26,"See Tab A","")</f>
        <v/>
      </c>
      <c r="D27" s="254" t="str">
        <f>IF(D24&gt;D26,"See Tab C","")</f>
        <v/>
      </c>
      <c r="E27" s="169"/>
    </row>
    <row r="28" spans="2:5">
      <c r="B28" s="171"/>
      <c r="C28" s="254" t="str">
        <f>IF(C25&lt;0,"See Tab B","")</f>
        <v/>
      </c>
      <c r="D28" s="254" t="str">
        <f>IF(D25&lt;0,"See Tab D","")</f>
        <v/>
      </c>
      <c r="E28" s="169"/>
    </row>
    <row r="29" spans="2:5">
      <c r="B29" s="27"/>
      <c r="C29" s="169"/>
      <c r="D29" s="169"/>
      <c r="E29" s="169"/>
    </row>
    <row r="30" spans="2:5">
      <c r="B30" s="32" t="s">
        <v>82</v>
      </c>
      <c r="C30" s="497" t="s">
        <v>288</v>
      </c>
      <c r="D30" s="498" t="s">
        <v>289</v>
      </c>
      <c r="E30" s="136" t="s">
        <v>290</v>
      </c>
    </row>
    <row r="31" spans="2:5">
      <c r="B31" s="363" t="str">
        <f>(inputPrYr!B29)</f>
        <v>Water Utility</v>
      </c>
      <c r="C31" s="291" t="str">
        <f>CONCATENATE("Actual for ",$E$1-2,"")</f>
        <v>Actual for 2011</v>
      </c>
      <c r="D31" s="327" t="str">
        <f>CONCATENATE("Estimate for ",$E$1-1,"")</f>
        <v>Estimate for 2012</v>
      </c>
      <c r="E31" s="189" t="str">
        <f>CONCATENATE("Year for ",$E$1,"")</f>
        <v>Year for 2013</v>
      </c>
    </row>
    <row r="32" spans="2:5">
      <c r="B32" s="140" t="s">
        <v>198</v>
      </c>
      <c r="C32" s="50">
        <v>4685</v>
      </c>
      <c r="D32" s="151">
        <f>C61</f>
        <v>6576</v>
      </c>
      <c r="E32" s="151">
        <f>D61</f>
        <v>6744</v>
      </c>
    </row>
    <row r="33" spans="2:5">
      <c r="B33" s="140" t="s">
        <v>200</v>
      </c>
      <c r="C33" s="151"/>
      <c r="D33" s="151"/>
      <c r="E33" s="151"/>
    </row>
    <row r="34" spans="2:5">
      <c r="B34" s="252" t="s">
        <v>99</v>
      </c>
      <c r="C34" s="50">
        <v>39019</v>
      </c>
      <c r="D34" s="50">
        <v>38000</v>
      </c>
      <c r="E34" s="50">
        <v>40000</v>
      </c>
    </row>
    <row r="35" spans="2:5">
      <c r="B35" s="252" t="s">
        <v>339</v>
      </c>
      <c r="C35" s="50">
        <v>-2962</v>
      </c>
      <c r="D35" s="50">
        <v>-3000</v>
      </c>
      <c r="E35" s="50">
        <v>-3000</v>
      </c>
    </row>
    <row r="36" spans="2:5">
      <c r="B36" s="252"/>
      <c r="C36" s="50"/>
      <c r="D36" s="50"/>
      <c r="E36" s="50"/>
    </row>
    <row r="37" spans="2:5">
      <c r="B37" s="252"/>
      <c r="C37" s="50"/>
      <c r="D37" s="50"/>
      <c r="E37" s="50"/>
    </row>
    <row r="38" spans="2:5">
      <c r="B38" s="252"/>
      <c r="C38" s="50"/>
      <c r="D38" s="50"/>
      <c r="E38" s="50"/>
    </row>
    <row r="39" spans="2:5">
      <c r="B39" s="252"/>
      <c r="C39" s="50"/>
      <c r="D39" s="50"/>
      <c r="E39" s="50"/>
    </row>
    <row r="40" spans="2:5">
      <c r="B40" s="293" t="s">
        <v>89</v>
      </c>
      <c r="C40" s="50"/>
      <c r="D40" s="50"/>
      <c r="E40" s="50"/>
    </row>
    <row r="41" spans="2:5">
      <c r="B41" s="296" t="s">
        <v>176</v>
      </c>
      <c r="C41" s="50"/>
      <c r="D41" s="50"/>
      <c r="E41" s="50"/>
    </row>
    <row r="42" spans="2:5">
      <c r="B42" s="296" t="s">
        <v>32</v>
      </c>
      <c r="C42" s="365" t="str">
        <f>IF(C43*0.1&lt;C41,"Exceed 10% Rule","")</f>
        <v/>
      </c>
      <c r="D42" s="294" t="str">
        <f>IF(D43*0.1&lt;D41,"Exceed 10% Rule","")</f>
        <v/>
      </c>
      <c r="E42" s="294" t="str">
        <f>IF(E43*0.1&lt;E41,"Exceed 10% Rule","")</f>
        <v/>
      </c>
    </row>
    <row r="43" spans="2:5">
      <c r="B43" s="249" t="s">
        <v>90</v>
      </c>
      <c r="C43" s="295">
        <f>SUM(C34:C41)</f>
        <v>36057</v>
      </c>
      <c r="D43" s="295">
        <f>SUM(D34:D41)</f>
        <v>35000</v>
      </c>
      <c r="E43" s="295">
        <f>SUM(E34:E41)</f>
        <v>37000</v>
      </c>
    </row>
    <row r="44" spans="2:5">
      <c r="B44" s="249" t="s">
        <v>91</v>
      </c>
      <c r="C44" s="295">
        <f>C32+C43</f>
        <v>40742</v>
      </c>
      <c r="D44" s="295">
        <f>D32+D43</f>
        <v>41576</v>
      </c>
      <c r="E44" s="295">
        <f>E32+E43</f>
        <v>43744</v>
      </c>
    </row>
    <row r="45" spans="2:5">
      <c r="B45" s="140" t="s">
        <v>92</v>
      </c>
      <c r="C45" s="151"/>
      <c r="D45" s="151"/>
      <c r="E45" s="151"/>
    </row>
    <row r="46" spans="2:5">
      <c r="B46" s="252" t="s">
        <v>340</v>
      </c>
      <c r="C46" s="50">
        <f>1438+102</f>
        <v>1540</v>
      </c>
      <c r="D46" s="50">
        <v>500</v>
      </c>
      <c r="E46" s="50">
        <v>3000</v>
      </c>
    </row>
    <row r="47" spans="2:5">
      <c r="B47" s="439" t="s">
        <v>330</v>
      </c>
      <c r="C47" s="50">
        <v>1559</v>
      </c>
      <c r="D47" s="50">
        <v>2000</v>
      </c>
      <c r="E47" s="50">
        <v>2000</v>
      </c>
    </row>
    <row r="48" spans="2:5">
      <c r="B48" s="439" t="s">
        <v>341</v>
      </c>
      <c r="C48" s="50">
        <v>175</v>
      </c>
      <c r="D48" s="50">
        <v>1000</v>
      </c>
      <c r="E48" s="50">
        <v>1000</v>
      </c>
    </row>
    <row r="49" spans="2:5">
      <c r="B49" s="439" t="s">
        <v>342</v>
      </c>
      <c r="C49" s="50"/>
      <c r="D49" s="50"/>
      <c r="E49" s="50"/>
    </row>
    <row r="50" spans="2:5">
      <c r="B50" s="439" t="s">
        <v>343</v>
      </c>
      <c r="C50" s="50">
        <v>24704</v>
      </c>
      <c r="D50" s="50">
        <v>25000</v>
      </c>
      <c r="E50" s="50">
        <v>28000</v>
      </c>
    </row>
    <row r="51" spans="2:5">
      <c r="B51" s="439" t="s">
        <v>361</v>
      </c>
      <c r="C51" s="50">
        <v>612</v>
      </c>
      <c r="D51" s="50">
        <v>750</v>
      </c>
      <c r="E51" s="50">
        <v>1000</v>
      </c>
    </row>
    <row r="52" spans="2:5">
      <c r="B52" s="439" t="s">
        <v>344</v>
      </c>
      <c r="C52" s="50"/>
      <c r="D52" s="50"/>
      <c r="E52" s="50">
        <v>1000</v>
      </c>
    </row>
    <row r="53" spans="2:5">
      <c r="B53" s="439" t="s">
        <v>345</v>
      </c>
      <c r="C53" s="50">
        <v>494</v>
      </c>
      <c r="D53" s="50">
        <v>500</v>
      </c>
      <c r="E53" s="50">
        <v>500</v>
      </c>
    </row>
    <row r="54" spans="2:5">
      <c r="B54" s="439" t="s">
        <v>346</v>
      </c>
      <c r="C54" s="50">
        <v>462</v>
      </c>
      <c r="D54" s="50">
        <v>462</v>
      </c>
      <c r="E54" s="50">
        <v>462</v>
      </c>
    </row>
    <row r="55" spans="2:5">
      <c r="B55" s="439" t="s">
        <v>347</v>
      </c>
      <c r="C55" s="50">
        <v>4620</v>
      </c>
      <c r="D55" s="50">
        <v>4620</v>
      </c>
      <c r="E55" s="50">
        <v>4620</v>
      </c>
    </row>
    <row r="56" spans="2:5">
      <c r="B56" s="439"/>
      <c r="C56" s="50"/>
      <c r="D56" s="50"/>
      <c r="E56" s="50"/>
    </row>
    <row r="57" spans="2:5">
      <c r="B57" s="319"/>
      <c r="C57" s="50"/>
      <c r="D57" s="50"/>
      <c r="E57" s="50"/>
    </row>
    <row r="58" spans="2:5">
      <c r="B58" s="153" t="s">
        <v>176</v>
      </c>
      <c r="C58" s="50"/>
      <c r="D58" s="50"/>
      <c r="E58" s="50"/>
    </row>
    <row r="59" spans="2:5">
      <c r="B59" s="153" t="s">
        <v>33</v>
      </c>
      <c r="C59" s="365" t="str">
        <f>IF(C60*0.1&lt;C58,"Exceed 10% Rule","")</f>
        <v/>
      </c>
      <c r="D59" s="294" t="str">
        <f>IF(D60*0.1&lt;D58,"Exceed 10% Rule","")</f>
        <v/>
      </c>
      <c r="E59" s="294" t="str">
        <f>IF(E60*0.1&lt;E58,"Exceed 10% Rule","")</f>
        <v/>
      </c>
    </row>
    <row r="60" spans="2:5">
      <c r="B60" s="249" t="s">
        <v>93</v>
      </c>
      <c r="C60" s="295">
        <f>SUM(C46:C58)</f>
        <v>34166</v>
      </c>
      <c r="D60" s="295">
        <f>SUM(D46:D58)</f>
        <v>34832</v>
      </c>
      <c r="E60" s="295">
        <f>SUM(E46:E58)</f>
        <v>41582</v>
      </c>
    </row>
    <row r="61" spans="2:5">
      <c r="B61" s="140" t="s">
        <v>199</v>
      </c>
      <c r="C61" s="57">
        <f>C44-C60</f>
        <v>6576</v>
      </c>
      <c r="D61" s="57">
        <f>D44-D60</f>
        <v>6744</v>
      </c>
      <c r="E61" s="57">
        <f>E44-E60</f>
        <v>2162</v>
      </c>
    </row>
    <row r="62" spans="2:5">
      <c r="B62" s="171" t="str">
        <f>CONCATENATE("",E1-2,"/",E1-1," Budget Authority Amount:")</f>
        <v>2011/2012 Budget Authority Amount:</v>
      </c>
      <c r="C62" s="181">
        <f>inputOth!B63</f>
        <v>38732</v>
      </c>
      <c r="D62" s="181">
        <f>inputPrYr!D29</f>
        <v>40892</v>
      </c>
      <c r="E62" s="372" t="str">
        <f>IF(E61&lt;0,"See Tab E","")</f>
        <v/>
      </c>
    </row>
    <row r="63" spans="2:5">
      <c r="B63" s="171"/>
      <c r="C63" s="254" t="str">
        <f>IF(C60&gt;C62,"See Tab A","")</f>
        <v/>
      </c>
      <c r="D63" s="254" t="str">
        <f>IF(D60&gt;D62,"See Tab C","")</f>
        <v/>
      </c>
      <c r="E63" s="27"/>
    </row>
    <row r="64" spans="2:5">
      <c r="B64" s="171"/>
      <c r="C64" s="254" t="str">
        <f>IF(C61&lt;0,"See Tab B","")</f>
        <v/>
      </c>
      <c r="D64" s="254" t="str">
        <f>IF(D61&lt;0,"See Tab D","")</f>
        <v/>
      </c>
      <c r="E64" s="27"/>
    </row>
    <row r="65" spans="2:5">
      <c r="B65" s="27"/>
      <c r="C65" s="27"/>
      <c r="D65" s="27"/>
      <c r="E65" s="27"/>
    </row>
    <row r="66" spans="2:5">
      <c r="B66" s="178" t="s">
        <v>96</v>
      </c>
      <c r="C66" s="256">
        <v>9</v>
      </c>
      <c r="D66" s="27"/>
      <c r="E66" s="27"/>
    </row>
  </sheetData>
  <sheetProtection sheet="1"/>
  <phoneticPr fontId="0" type="noConversion"/>
  <conditionalFormatting sqref="C13">
    <cfRule type="cellIs" dxfId="40" priority="9" stopIfTrue="1" operator="greaterThan">
      <formula>$C$15*0.1</formula>
    </cfRule>
  </conditionalFormatting>
  <conditionalFormatting sqref="C41">
    <cfRule type="cellIs" dxfId="39" priority="10" stopIfTrue="1" operator="greaterThan">
      <formula>$C$43*0.1</formula>
    </cfRule>
  </conditionalFormatting>
  <conditionalFormatting sqref="D13">
    <cfRule type="cellIs" dxfId="38" priority="11" stopIfTrue="1" operator="greaterThan">
      <formula>$D$15*0.1</formula>
    </cfRule>
  </conditionalFormatting>
  <conditionalFormatting sqref="E13">
    <cfRule type="cellIs" dxfId="37" priority="12" stopIfTrue="1" operator="greaterThan">
      <formula>$E$15*0.1</formula>
    </cfRule>
  </conditionalFormatting>
  <conditionalFormatting sqref="D41">
    <cfRule type="cellIs" dxfId="36" priority="13" stopIfTrue="1" operator="greaterThan">
      <formula>$D$43*0.1</formula>
    </cfRule>
  </conditionalFormatting>
  <conditionalFormatting sqref="E41">
    <cfRule type="cellIs" dxfId="35" priority="14" stopIfTrue="1" operator="greaterThan">
      <formula>$E$43*0.1</formula>
    </cfRule>
  </conditionalFormatting>
  <conditionalFormatting sqref="C22">
    <cfRule type="cellIs" dxfId="34" priority="15" stopIfTrue="1" operator="greaterThan">
      <formula>$C$24*0.1</formula>
    </cfRule>
  </conditionalFormatting>
  <conditionalFormatting sqref="D22">
    <cfRule type="cellIs" dxfId="33" priority="16" stopIfTrue="1" operator="greaterThan">
      <formula>$D$24*0.1</formula>
    </cfRule>
  </conditionalFormatting>
  <conditionalFormatting sqref="E22">
    <cfRule type="cellIs" dxfId="32" priority="17" stopIfTrue="1" operator="greaterThan">
      <formula>$E$24*0.1</formula>
    </cfRule>
  </conditionalFormatting>
  <conditionalFormatting sqref="C58">
    <cfRule type="cellIs" dxfId="31" priority="18" stopIfTrue="1" operator="greaterThan">
      <formula>$C$60*0.1</formula>
    </cfRule>
  </conditionalFormatting>
  <conditionalFormatting sqref="D58">
    <cfRule type="cellIs" dxfId="30" priority="19" stopIfTrue="1" operator="greaterThan">
      <formula>$D$60*0.1</formula>
    </cfRule>
  </conditionalFormatting>
  <conditionalFormatting sqref="E58">
    <cfRule type="cellIs" dxfId="29" priority="20" stopIfTrue="1" operator="greaterThan">
      <formula>$E$60*0.1</formula>
    </cfRule>
  </conditionalFormatting>
  <conditionalFormatting sqref="E25 C61">
    <cfRule type="cellIs" dxfId="28" priority="21" stopIfTrue="1" operator="lessThan">
      <formula>0</formula>
    </cfRule>
  </conditionalFormatting>
  <conditionalFormatting sqref="D60">
    <cfRule type="cellIs" dxfId="27" priority="22" stopIfTrue="1" operator="greaterThan">
      <formula>$D$62</formula>
    </cfRule>
  </conditionalFormatting>
  <conditionalFormatting sqref="E61">
    <cfRule type="cellIs" dxfId="26" priority="23" stopIfTrue="1" operator="lessThan">
      <formula>0</formula>
    </cfRule>
  </conditionalFormatting>
  <conditionalFormatting sqref="D25">
    <cfRule type="cellIs" dxfId="25" priority="6" stopIfTrue="1" operator="lessThan">
      <formula>0</formula>
    </cfRule>
    <cfRule type="cellIs" dxfId="24" priority="8" stopIfTrue="1" operator="lessThan">
      <formula>0</formula>
    </cfRule>
  </conditionalFormatting>
  <conditionalFormatting sqref="D61">
    <cfRule type="cellIs" dxfId="23" priority="7" stopIfTrue="1" operator="lessThan">
      <formula>0</formula>
    </cfRule>
  </conditionalFormatting>
  <conditionalFormatting sqref="C25">
    <cfRule type="cellIs" dxfId="22" priority="5" stopIfTrue="1" operator="lessThan">
      <formula>0</formula>
    </cfRule>
  </conditionalFormatting>
  <conditionalFormatting sqref="D24">
    <cfRule type="cellIs" dxfId="21" priority="3" stopIfTrue="1" operator="greaterThan">
      <formula>$D$26</formula>
    </cfRule>
  </conditionalFormatting>
  <conditionalFormatting sqref="C24">
    <cfRule type="cellIs" dxfId="20" priority="2" stopIfTrue="1" operator="greaterThan">
      <formula>$C$26</formula>
    </cfRule>
  </conditionalFormatting>
  <conditionalFormatting sqref="C60">
    <cfRule type="cellIs" dxfId="19" priority="1" stopIfTrue="1" operator="greaterThan">
      <formula>$C$62</formula>
    </cfRule>
  </conditionalFormatting>
  <pageMargins left="0.5" right="0.5" top="1" bottom="0.5" header="0.5" footer="0.5"/>
  <pageSetup scale="74" orientation="portrait" blackAndWhite="1" r:id="rId1"/>
  <headerFooter alignWithMargins="0">
    <oddHeader xml:space="preserve">&amp;RState of Kansas
City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E68"/>
  <sheetViews>
    <sheetView topLeftCell="A25" zoomScaleNormal="100" workbookViewId="0"/>
  </sheetViews>
  <sheetFormatPr defaultRowHeight="15.75"/>
  <cols>
    <col min="1" max="1" width="2.44140625" style="28" customWidth="1"/>
    <col min="2" max="2" width="31.109375" style="28" customWidth="1"/>
    <col min="3" max="4" width="15.77734375" style="28" customWidth="1"/>
    <col min="5" max="5" width="16.21875" style="28" customWidth="1"/>
    <col min="6" max="16384" width="8.88671875" style="28"/>
  </cols>
  <sheetData>
    <row r="1" spans="2:5">
      <c r="B1" s="162" t="str">
        <f>(inputPrYr!D2)</f>
        <v>City of Horace</v>
      </c>
      <c r="C1" s="27"/>
      <c r="D1" s="27"/>
      <c r="E1" s="123">
        <f>inputPrYr!$C$5</f>
        <v>2013</v>
      </c>
    </row>
    <row r="2" spans="2:5">
      <c r="B2" s="27"/>
      <c r="C2" s="27"/>
      <c r="D2" s="27"/>
      <c r="E2" s="178"/>
    </row>
    <row r="3" spans="2:5">
      <c r="B3" s="44" t="s">
        <v>142</v>
      </c>
      <c r="C3" s="134"/>
      <c r="D3" s="134"/>
      <c r="E3" s="125"/>
    </row>
    <row r="4" spans="2:5">
      <c r="B4" s="32" t="s">
        <v>82</v>
      </c>
      <c r="C4" s="497" t="s">
        <v>288</v>
      </c>
      <c r="D4" s="498" t="s">
        <v>289</v>
      </c>
      <c r="E4" s="136" t="s">
        <v>290</v>
      </c>
    </row>
    <row r="5" spans="2:5">
      <c r="B5" s="364" t="str">
        <f>(inputPrYr!B30)</f>
        <v>Sewer Utility</v>
      </c>
      <c r="C5" s="291" t="str">
        <f>CONCATENATE("Actual for ",$E$1-2,"")</f>
        <v>Actual for 2011</v>
      </c>
      <c r="D5" s="327" t="str">
        <f>CONCATENATE("Estimate for ",$E$1-1,"")</f>
        <v>Estimate for 2012</v>
      </c>
      <c r="E5" s="189" t="str">
        <f>CONCATENATE("Year for ",$E$1,"")</f>
        <v>Year for 2013</v>
      </c>
    </row>
    <row r="6" spans="2:5">
      <c r="B6" s="140" t="s">
        <v>198</v>
      </c>
      <c r="C6" s="50">
        <v>3076</v>
      </c>
      <c r="D6" s="151">
        <f>C31</f>
        <v>3703</v>
      </c>
      <c r="E6" s="151">
        <f>D31</f>
        <v>3703</v>
      </c>
    </row>
    <row r="7" spans="2:5">
      <c r="B7" s="238" t="s">
        <v>200</v>
      </c>
      <c r="C7" s="151"/>
      <c r="D7" s="151"/>
      <c r="E7" s="151"/>
    </row>
    <row r="8" spans="2:5">
      <c r="B8" s="252"/>
      <c r="C8" s="50"/>
      <c r="D8" s="50"/>
      <c r="E8" s="50"/>
    </row>
    <row r="9" spans="2:5">
      <c r="B9" s="252" t="s">
        <v>99</v>
      </c>
      <c r="C9" s="50">
        <v>2962</v>
      </c>
      <c r="D9" s="50">
        <v>3000</v>
      </c>
      <c r="E9" s="50">
        <v>3000</v>
      </c>
    </row>
    <row r="10" spans="2:5">
      <c r="B10" s="252"/>
      <c r="C10" s="50"/>
      <c r="D10" s="50"/>
      <c r="E10" s="50"/>
    </row>
    <row r="11" spans="2:5">
      <c r="B11" s="252"/>
      <c r="C11" s="50"/>
      <c r="D11" s="50"/>
      <c r="E11" s="50"/>
    </row>
    <row r="12" spans="2:5">
      <c r="B12" s="293" t="s">
        <v>89</v>
      </c>
      <c r="C12" s="50"/>
      <c r="D12" s="50"/>
      <c r="E12" s="50"/>
    </row>
    <row r="13" spans="2:5">
      <c r="B13" s="296" t="s">
        <v>176</v>
      </c>
      <c r="C13" s="50"/>
      <c r="D13" s="50"/>
      <c r="E13" s="50"/>
    </row>
    <row r="14" spans="2:5">
      <c r="B14" s="296" t="s">
        <v>258</v>
      </c>
      <c r="C14" s="365" t="str">
        <f>IF(C15*0.1&lt;C13,"Exceed 10% Rule","")</f>
        <v/>
      </c>
      <c r="D14" s="294" t="str">
        <f>IF(D15*0.1&lt;D13,"Exceed 10% Rule","")</f>
        <v/>
      </c>
      <c r="E14" s="294" t="str">
        <f>IF(E15*0.1&lt;E13,"Exceed 10% Rule","")</f>
        <v/>
      </c>
    </row>
    <row r="15" spans="2:5">
      <c r="B15" s="249" t="s">
        <v>90</v>
      </c>
      <c r="C15" s="295">
        <f>SUM(C8:C13)</f>
        <v>2962</v>
      </c>
      <c r="D15" s="295">
        <f>SUM(D8:D13)</f>
        <v>3000</v>
      </c>
      <c r="E15" s="295">
        <f>SUM(E8:E13)</f>
        <v>3000</v>
      </c>
    </row>
    <row r="16" spans="2:5">
      <c r="B16" s="249" t="s">
        <v>91</v>
      </c>
      <c r="C16" s="295">
        <f>C6+C15</f>
        <v>6038</v>
      </c>
      <c r="D16" s="295">
        <f>D6+D15</f>
        <v>6703</v>
      </c>
      <c r="E16" s="295">
        <f>E6+E15</f>
        <v>6703</v>
      </c>
    </row>
    <row r="17" spans="2:5">
      <c r="B17" s="140" t="s">
        <v>92</v>
      </c>
      <c r="C17" s="151"/>
      <c r="D17" s="151"/>
      <c r="E17" s="151"/>
    </row>
    <row r="18" spans="2:5">
      <c r="B18" s="320" t="s">
        <v>348</v>
      </c>
      <c r="C18" s="50">
        <v>335</v>
      </c>
      <c r="D18" s="321">
        <v>1000</v>
      </c>
      <c r="E18" s="50">
        <v>4000</v>
      </c>
    </row>
    <row r="19" spans="2:5">
      <c r="B19" s="320" t="s">
        <v>349</v>
      </c>
      <c r="C19" s="50">
        <v>2000</v>
      </c>
      <c r="D19" s="321">
        <v>2000</v>
      </c>
      <c r="E19" s="50">
        <v>2000</v>
      </c>
    </row>
    <row r="20" spans="2:5">
      <c r="B20" s="320"/>
      <c r="C20" s="50"/>
      <c r="D20" s="321"/>
      <c r="E20" s="50"/>
    </row>
    <row r="21" spans="2:5">
      <c r="B21" s="320"/>
      <c r="C21" s="50"/>
      <c r="D21" s="321"/>
      <c r="E21" s="50"/>
    </row>
    <row r="22" spans="2:5">
      <c r="B22" s="320"/>
      <c r="C22" s="50"/>
      <c r="D22" s="321"/>
      <c r="E22" s="50"/>
    </row>
    <row r="23" spans="2:5">
      <c r="B23" s="320"/>
      <c r="C23" s="50"/>
      <c r="D23" s="321"/>
      <c r="E23" s="50"/>
    </row>
    <row r="24" spans="2:5">
      <c r="B24" s="320"/>
      <c r="C24" s="50"/>
      <c r="D24" s="321"/>
      <c r="E24" s="50"/>
    </row>
    <row r="25" spans="2:5">
      <c r="B25" s="320"/>
      <c r="C25" s="50"/>
      <c r="D25" s="321"/>
      <c r="E25" s="50"/>
    </row>
    <row r="26" spans="2:5">
      <c r="B26" s="320"/>
      <c r="C26" s="50"/>
      <c r="D26" s="321"/>
      <c r="E26" s="50"/>
    </row>
    <row r="27" spans="2:5">
      <c r="B27" s="320"/>
      <c r="C27" s="50"/>
      <c r="D27" s="321"/>
      <c r="E27" s="50"/>
    </row>
    <row r="28" spans="2:5">
      <c r="B28" s="153" t="s">
        <v>176</v>
      </c>
      <c r="C28" s="50"/>
      <c r="D28" s="321"/>
      <c r="E28" s="50"/>
    </row>
    <row r="29" spans="2:5">
      <c r="B29" s="153" t="s">
        <v>257</v>
      </c>
      <c r="C29" s="365" t="str">
        <f>IF(C30*0.1&lt;C28,"Exceed 10% Rule","")</f>
        <v/>
      </c>
      <c r="D29" s="294" t="str">
        <f>IF(D30*0.1&lt;D28,"Exceed 10% Rule","")</f>
        <v/>
      </c>
      <c r="E29" s="294" t="str">
        <f>IF(E30*0.1&lt;E28,"Exceed 10% Rule","")</f>
        <v/>
      </c>
    </row>
    <row r="30" spans="2:5">
      <c r="B30" s="249" t="s">
        <v>93</v>
      </c>
      <c r="C30" s="295">
        <f>SUM(C18:C28)</f>
        <v>2335</v>
      </c>
      <c r="D30" s="295">
        <f>SUM(D18:D28)</f>
        <v>3000</v>
      </c>
      <c r="E30" s="295">
        <f>SUM(E18:E28)</f>
        <v>6000</v>
      </c>
    </row>
    <row r="31" spans="2:5">
      <c r="B31" s="140" t="s">
        <v>199</v>
      </c>
      <c r="C31" s="57">
        <f>C16-C30</f>
        <v>3703</v>
      </c>
      <c r="D31" s="57">
        <f>D16-D30</f>
        <v>3703</v>
      </c>
      <c r="E31" s="57">
        <f>E16-E30</f>
        <v>703</v>
      </c>
    </row>
    <row r="32" spans="2:5">
      <c r="B32" s="171" t="str">
        <f>CONCATENATE("",E1-2,"/",E1-1," Budget Authority Amount:")</f>
        <v>2011/2012 Budget Authority Amount:</v>
      </c>
      <c r="C32" s="181">
        <f>inputOth!B64</f>
        <v>5500</v>
      </c>
      <c r="D32" s="181">
        <f>inputPrYr!D30</f>
        <v>6000</v>
      </c>
      <c r="E32" s="372" t="str">
        <f>IF(E31&lt;0,"See Tab E","")</f>
        <v/>
      </c>
    </row>
    <row r="33" spans="2:5">
      <c r="B33" s="171"/>
      <c r="C33" s="254" t="str">
        <f>IF(C30&gt;C32,"See Tab A","")</f>
        <v/>
      </c>
      <c r="D33" s="254" t="str">
        <f>IF(D30&gt;D32,"See Tab C","")</f>
        <v/>
      </c>
      <c r="E33" s="297"/>
    </row>
    <row r="34" spans="2:5">
      <c r="B34" s="171"/>
      <c r="C34" s="254" t="str">
        <f>IF(C31&lt;0,"See Tab B","")</f>
        <v/>
      </c>
      <c r="D34" s="254" t="str">
        <f>IF(D31&lt;0,"See Tab D","")</f>
        <v/>
      </c>
      <c r="E34" s="297"/>
    </row>
    <row r="35" spans="2:5">
      <c r="B35" s="27"/>
      <c r="C35" s="297"/>
      <c r="D35" s="297"/>
      <c r="E35" s="297"/>
    </row>
    <row r="36" spans="2:5">
      <c r="B36" s="27"/>
      <c r="C36" s="297"/>
      <c r="D36" s="297"/>
      <c r="E36" s="297"/>
    </row>
    <row r="37" spans="2:5">
      <c r="B37" s="32" t="s">
        <v>82</v>
      </c>
      <c r="C37" s="497" t="s">
        <v>288</v>
      </c>
      <c r="D37" s="498" t="s">
        <v>289</v>
      </c>
      <c r="E37" s="136" t="s">
        <v>290</v>
      </c>
    </row>
    <row r="38" spans="2:5">
      <c r="B38" s="364" t="str">
        <f>(inputPrYr!B31)</f>
        <v>Water Utility Debt Service</v>
      </c>
      <c r="C38" s="291" t="str">
        <f>CONCATENATE("Actual for ",$E$1-2,"")</f>
        <v>Actual for 2011</v>
      </c>
      <c r="D38" s="327" t="str">
        <f>CONCATENATE("Estimate for ",$E$1-1,"")</f>
        <v>Estimate for 2012</v>
      </c>
      <c r="E38" s="189" t="str">
        <f>CONCATENATE("Year for ",$E$1,"")</f>
        <v>Year for 2013</v>
      </c>
    </row>
    <row r="39" spans="2:5">
      <c r="B39" s="140" t="s">
        <v>198</v>
      </c>
      <c r="C39" s="50">
        <v>792</v>
      </c>
      <c r="D39" s="151">
        <f>C63</f>
        <v>787</v>
      </c>
      <c r="E39" s="151">
        <f>D63</f>
        <v>763</v>
      </c>
    </row>
    <row r="40" spans="2:5">
      <c r="B40" s="238" t="s">
        <v>200</v>
      </c>
      <c r="C40" s="151"/>
      <c r="D40" s="151"/>
      <c r="E40" s="151"/>
    </row>
    <row r="41" spans="2:5">
      <c r="B41" s="252"/>
      <c r="C41" s="50"/>
      <c r="D41" s="50"/>
      <c r="E41" s="50"/>
    </row>
    <row r="42" spans="2:5">
      <c r="B42" s="252" t="s">
        <v>350</v>
      </c>
      <c r="C42" s="50">
        <v>4620</v>
      </c>
      <c r="D42" s="50">
        <v>4620</v>
      </c>
      <c r="E42" s="50">
        <v>4620</v>
      </c>
    </row>
    <row r="43" spans="2:5">
      <c r="B43" s="252"/>
      <c r="C43" s="50"/>
      <c r="D43" s="50"/>
      <c r="E43" s="50"/>
    </row>
    <row r="44" spans="2:5">
      <c r="B44" s="252"/>
      <c r="C44" s="50"/>
      <c r="D44" s="50"/>
      <c r="E44" s="50"/>
    </row>
    <row r="45" spans="2:5">
      <c r="B45" s="293" t="s">
        <v>89</v>
      </c>
      <c r="C45" s="50"/>
      <c r="D45" s="50"/>
      <c r="E45" s="50"/>
    </row>
    <row r="46" spans="2:5">
      <c r="B46" s="296" t="s">
        <v>176</v>
      </c>
      <c r="C46" s="50"/>
      <c r="D46" s="50"/>
      <c r="E46" s="50"/>
    </row>
    <row r="47" spans="2:5">
      <c r="B47" s="296" t="s">
        <v>258</v>
      </c>
      <c r="C47" s="365" t="str">
        <f>IF(C48*0.1&lt;C46,"Exceed 10% Rule","")</f>
        <v/>
      </c>
      <c r="D47" s="294" t="str">
        <f>IF(D48*0.1&lt;D46,"Exceed 10% Rule","")</f>
        <v/>
      </c>
      <c r="E47" s="294" t="str">
        <f>IF(E48*0.1&lt;E46,"Exceed 10% Rule","")</f>
        <v/>
      </c>
    </row>
    <row r="48" spans="2:5">
      <c r="B48" s="249" t="s">
        <v>90</v>
      </c>
      <c r="C48" s="295">
        <f>SUM(C41:C46)</f>
        <v>4620</v>
      </c>
      <c r="D48" s="295">
        <f>SUM(D41:D46)</f>
        <v>4620</v>
      </c>
      <c r="E48" s="295">
        <f>SUM(E41:E46)</f>
        <v>4620</v>
      </c>
    </row>
    <row r="49" spans="2:5">
      <c r="B49" s="249" t="s">
        <v>91</v>
      </c>
      <c r="C49" s="295">
        <f>C39+C48</f>
        <v>5412</v>
      </c>
      <c r="D49" s="295">
        <f>D39+D48</f>
        <v>5407</v>
      </c>
      <c r="E49" s="295">
        <f>E39+E48</f>
        <v>5383</v>
      </c>
    </row>
    <row r="50" spans="2:5">
      <c r="B50" s="140" t="s">
        <v>92</v>
      </c>
      <c r="C50" s="151"/>
      <c r="D50" s="151"/>
      <c r="E50" s="151"/>
    </row>
    <row r="51" spans="2:5">
      <c r="B51" s="322" t="s">
        <v>130</v>
      </c>
      <c r="C51" s="50">
        <v>1400</v>
      </c>
      <c r="D51" s="50">
        <v>1500</v>
      </c>
      <c r="E51" s="50">
        <v>1500</v>
      </c>
    </row>
    <row r="52" spans="2:5">
      <c r="B52" s="322" t="s">
        <v>128</v>
      </c>
      <c r="C52" s="50">
        <v>3225</v>
      </c>
      <c r="D52" s="323">
        <v>3144</v>
      </c>
      <c r="E52" s="50">
        <v>3100</v>
      </c>
    </row>
    <row r="53" spans="2:5">
      <c r="B53" s="322" t="s">
        <v>351</v>
      </c>
      <c r="C53" s="50"/>
      <c r="D53" s="323"/>
      <c r="E53" s="50"/>
    </row>
    <row r="54" spans="2:5">
      <c r="B54" s="252"/>
      <c r="C54" s="50"/>
      <c r="D54" s="323"/>
      <c r="E54" s="50"/>
    </row>
    <row r="55" spans="2:5">
      <c r="B55" s="252"/>
      <c r="C55" s="50"/>
      <c r="D55" s="50"/>
      <c r="E55" s="50"/>
    </row>
    <row r="56" spans="2:5">
      <c r="B56" s="252"/>
      <c r="C56" s="50"/>
      <c r="D56" s="50"/>
      <c r="E56" s="50"/>
    </row>
    <row r="57" spans="2:5">
      <c r="B57" s="252"/>
      <c r="C57" s="50"/>
      <c r="D57" s="50"/>
      <c r="E57" s="50"/>
    </row>
    <row r="58" spans="2:5">
      <c r="B58" s="252"/>
      <c r="C58" s="50"/>
      <c r="D58" s="50"/>
      <c r="E58" s="50"/>
    </row>
    <row r="59" spans="2:5">
      <c r="B59" s="252"/>
      <c r="C59" s="50"/>
      <c r="D59" s="50"/>
      <c r="E59" s="50"/>
    </row>
    <row r="60" spans="2:5">
      <c r="B60" s="153" t="s">
        <v>176</v>
      </c>
      <c r="C60" s="50"/>
      <c r="D60" s="292"/>
      <c r="E60" s="292"/>
    </row>
    <row r="61" spans="2:5">
      <c r="B61" s="153" t="s">
        <v>257</v>
      </c>
      <c r="C61" s="365" t="str">
        <f>IF(C62*0.1&lt;C60,"Exceed 10% Rule","")</f>
        <v/>
      </c>
      <c r="D61" s="294" t="str">
        <f>IF(D62*0.1&lt;D60,"Exceed 10% Rule","")</f>
        <v/>
      </c>
      <c r="E61" s="294" t="str">
        <f>IF(E62*0.1&lt;E60,"Exceed 10% Rule","")</f>
        <v/>
      </c>
    </row>
    <row r="62" spans="2:5">
      <c r="B62" s="249" t="s">
        <v>93</v>
      </c>
      <c r="C62" s="295">
        <f>SUM(C51:C60)</f>
        <v>4625</v>
      </c>
      <c r="D62" s="295">
        <f>SUM(D51:D60)</f>
        <v>4644</v>
      </c>
      <c r="E62" s="295">
        <f>SUM(E51:E60)</f>
        <v>4600</v>
      </c>
    </row>
    <row r="63" spans="2:5">
      <c r="B63" s="140" t="s">
        <v>199</v>
      </c>
      <c r="C63" s="57">
        <f>C49-C62</f>
        <v>787</v>
      </c>
      <c r="D63" s="57">
        <f>D49-D62</f>
        <v>763</v>
      </c>
      <c r="E63" s="57">
        <f>E49-E62</f>
        <v>783</v>
      </c>
    </row>
    <row r="64" spans="2:5">
      <c r="B64" s="171" t="str">
        <f>CONCATENATE("",E1-2,"/",E1-1," Budget Authority Amount:")</f>
        <v>2011/2012 Budget Authority Amount:</v>
      </c>
      <c r="C64" s="181">
        <f>inputOth!B65</f>
        <v>4875</v>
      </c>
      <c r="D64" s="181">
        <f>inputPrYr!D31</f>
        <v>5000</v>
      </c>
      <c r="E64" s="372" t="str">
        <f>IF(E63&lt;0,"See Tab E","")</f>
        <v/>
      </c>
    </row>
    <row r="65" spans="2:5">
      <c r="B65" s="171"/>
      <c r="C65" s="254" t="str">
        <f>IF(C62&gt;C64,"See Tab A","")</f>
        <v/>
      </c>
      <c r="D65" s="254" t="str">
        <f>IF(D62&gt;D64,"See Tab C","")</f>
        <v/>
      </c>
      <c r="E65" s="27"/>
    </row>
    <row r="66" spans="2:5">
      <c r="B66" s="171"/>
      <c r="C66" s="254" t="str">
        <f>IF(C63&lt;0,"See Tab B","")</f>
        <v/>
      </c>
      <c r="D66" s="254" t="str">
        <f>IF(D63&lt;0,"See Tab D","")</f>
        <v/>
      </c>
      <c r="E66" s="27"/>
    </row>
    <row r="67" spans="2:5">
      <c r="B67" s="27"/>
      <c r="C67" s="27"/>
      <c r="D67" s="27"/>
      <c r="E67" s="27"/>
    </row>
    <row r="68" spans="2:5">
      <c r="B68" s="178" t="s">
        <v>96</v>
      </c>
      <c r="C68" s="256">
        <v>10</v>
      </c>
      <c r="D68" s="27"/>
      <c r="E68" s="27"/>
    </row>
  </sheetData>
  <sheetProtection sheet="1"/>
  <phoneticPr fontId="0" type="noConversion"/>
  <conditionalFormatting sqref="C13">
    <cfRule type="cellIs" dxfId="18" priority="4" stopIfTrue="1" operator="greaterThan">
      <formula>$C$15*0.1</formula>
    </cfRule>
  </conditionalFormatting>
  <conditionalFormatting sqref="D13">
    <cfRule type="cellIs" dxfId="17" priority="5" stopIfTrue="1" operator="greaterThan">
      <formula>$D$15*0.1</formula>
    </cfRule>
  </conditionalFormatting>
  <conditionalFormatting sqref="E13">
    <cfRule type="cellIs" dxfId="16" priority="6" stopIfTrue="1" operator="greaterThan">
      <formula>$E$15*0.1</formula>
    </cfRule>
  </conditionalFormatting>
  <conditionalFormatting sqref="C46">
    <cfRule type="cellIs" dxfId="15" priority="7" stopIfTrue="1" operator="greaterThan">
      <formula>$C$48*0.1</formula>
    </cfRule>
  </conditionalFormatting>
  <conditionalFormatting sqref="D46">
    <cfRule type="cellIs" dxfId="14" priority="8" stopIfTrue="1" operator="greaterThan">
      <formula>$D$48*0.1</formula>
    </cfRule>
  </conditionalFormatting>
  <conditionalFormatting sqref="E46">
    <cfRule type="cellIs" dxfId="13" priority="9" stopIfTrue="1" operator="greaterThan">
      <formula>$E$48*0.1</formula>
    </cfRule>
  </conditionalFormatting>
  <conditionalFormatting sqref="C60">
    <cfRule type="cellIs" dxfId="12" priority="10" stopIfTrue="1" operator="greaterThan">
      <formula>$C$62*0.1</formula>
    </cfRule>
  </conditionalFormatting>
  <conditionalFormatting sqref="D60">
    <cfRule type="cellIs" dxfId="11" priority="11" stopIfTrue="1" operator="greaterThan">
      <formula>$D$62*0.1</formula>
    </cfRule>
  </conditionalFormatting>
  <conditionalFormatting sqref="E60">
    <cfRule type="cellIs" dxfId="10" priority="12" stopIfTrue="1" operator="greaterThan">
      <formula>$E$62*0.1</formula>
    </cfRule>
  </conditionalFormatting>
  <conditionalFormatting sqref="C28">
    <cfRule type="cellIs" dxfId="9" priority="13" stopIfTrue="1" operator="greaterThan">
      <formula>$C$30*0.1</formula>
    </cfRule>
  </conditionalFormatting>
  <conditionalFormatting sqref="D28">
    <cfRule type="cellIs" dxfId="8" priority="14" stopIfTrue="1" operator="greaterThan">
      <formula>$D$30*0.1</formula>
    </cfRule>
  </conditionalFormatting>
  <conditionalFormatting sqref="E28">
    <cfRule type="cellIs" dxfId="7" priority="15" stopIfTrue="1" operator="greaterThan">
      <formula>$E$30*0.1</formula>
    </cfRule>
  </conditionalFormatting>
  <conditionalFormatting sqref="C31 C63 E31 E63">
    <cfRule type="cellIs" dxfId="6" priority="16" stopIfTrue="1" operator="lessThan">
      <formula>0</formula>
    </cfRule>
  </conditionalFormatting>
  <conditionalFormatting sqref="D30">
    <cfRule type="cellIs" dxfId="5" priority="17" stopIfTrue="1" operator="greaterThan">
      <formula>$D$32</formula>
    </cfRule>
  </conditionalFormatting>
  <conditionalFormatting sqref="C62">
    <cfRule type="cellIs" dxfId="4" priority="18" stopIfTrue="1" operator="greaterThan">
      <formula>$C$64</formula>
    </cfRule>
  </conditionalFormatting>
  <conditionalFormatting sqref="D62">
    <cfRule type="cellIs" dxfId="3" priority="19" stopIfTrue="1" operator="greaterThan">
      <formula>$D$64</formula>
    </cfRule>
  </conditionalFormatting>
  <conditionalFormatting sqref="D31">
    <cfRule type="cellIs" dxfId="2" priority="3" stopIfTrue="1" operator="lessThan">
      <formula>0</formula>
    </cfRule>
  </conditionalFormatting>
  <conditionalFormatting sqref="D63">
    <cfRule type="cellIs" dxfId="1" priority="2" stopIfTrue="1" operator="lessThan">
      <formula>0</formula>
    </cfRule>
  </conditionalFormatting>
  <conditionalFormatting sqref="C30">
    <cfRule type="cellIs" dxfId="0" priority="1" stopIfTrue="1" operator="greaterThan">
      <formula>$C$32</formula>
    </cfRule>
  </conditionalFormatting>
  <pageMargins left="0.5" right="0.5" top="1" bottom="0.5" header="0.5" footer="0.5"/>
  <pageSetup scale="71" orientation="portrait" blackAndWhite="1" r:id="rId1"/>
  <headerFooter alignWithMargins="0">
    <oddHeader xml:space="preserve">&amp;RState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Normal="100" workbookViewId="0"/>
  </sheetViews>
  <sheetFormatPr defaultRowHeight="15.75"/>
  <cols>
    <col min="1" max="1" width="11.5546875" style="24" customWidth="1"/>
    <col min="2" max="2" width="7.44140625" style="24" customWidth="1"/>
    <col min="3" max="3" width="11.5546875" style="24" customWidth="1"/>
    <col min="4" max="4" width="7.44140625" style="24" customWidth="1"/>
    <col min="5" max="5" width="11.5546875" style="24" customWidth="1"/>
    <col min="6" max="6" width="7.44140625" style="24" customWidth="1"/>
    <col min="7" max="7" width="11.5546875" style="24" customWidth="1"/>
    <col min="8" max="8" width="7.44140625" style="24" customWidth="1"/>
    <col min="9" max="9" width="11.5546875" style="24" customWidth="1"/>
    <col min="10" max="16384" width="8.88671875" style="24"/>
  </cols>
  <sheetData>
    <row r="1" spans="1:11">
      <c r="A1" s="90" t="str">
        <f>inputPrYr!$D$2</f>
        <v>City of Horace</v>
      </c>
      <c r="B1" s="177"/>
      <c r="C1" s="92"/>
      <c r="D1" s="92"/>
      <c r="E1" s="92"/>
      <c r="F1" s="257" t="s">
        <v>19</v>
      </c>
      <c r="G1" s="92"/>
      <c r="H1" s="92"/>
      <c r="I1" s="92"/>
      <c r="J1" s="92"/>
      <c r="K1" s="92">
        <f>inputPrYr!$C$5</f>
        <v>2013</v>
      </c>
    </row>
    <row r="2" spans="1:11">
      <c r="A2" s="92"/>
      <c r="B2" s="92"/>
      <c r="C2" s="92"/>
      <c r="D2" s="92"/>
      <c r="E2" s="92"/>
      <c r="F2" s="258" t="str">
        <f>CONCATENATE("(Only the actual budget year for ",K1-2," is to be shown)")</f>
        <v>(Only the actual budget year for 2011 is to be shown)</v>
      </c>
      <c r="G2" s="92"/>
      <c r="H2" s="92"/>
      <c r="I2" s="92"/>
      <c r="J2" s="92"/>
      <c r="K2" s="92"/>
    </row>
    <row r="3" spans="1:11">
      <c r="A3" s="92" t="s">
        <v>18</v>
      </c>
      <c r="B3" s="92"/>
      <c r="C3" s="92"/>
      <c r="D3" s="92"/>
      <c r="E3" s="92"/>
      <c r="F3" s="177"/>
      <c r="G3" s="92"/>
      <c r="H3" s="92"/>
      <c r="I3" s="92"/>
      <c r="J3" s="92"/>
      <c r="K3" s="92"/>
    </row>
    <row r="4" spans="1:11">
      <c r="A4" s="92" t="s">
        <v>11</v>
      </c>
      <c r="B4" s="92"/>
      <c r="C4" s="92" t="s">
        <v>12</v>
      </c>
      <c r="D4" s="92"/>
      <c r="E4" s="92" t="s">
        <v>13</v>
      </c>
      <c r="F4" s="177"/>
      <c r="G4" s="92" t="s">
        <v>14</v>
      </c>
      <c r="H4" s="92"/>
      <c r="I4" s="92" t="s">
        <v>15</v>
      </c>
      <c r="J4" s="92"/>
      <c r="K4" s="92"/>
    </row>
    <row r="5" spans="1:11" s="515" customFormat="1" ht="31.5" customHeight="1">
      <c r="A5" s="565" t="str">
        <f>inputPrYr!B38</f>
        <v>Water Utility Bond Reserve</v>
      </c>
      <c r="B5" s="566"/>
      <c r="C5" s="565" t="str">
        <f>inputPrYr!B39</f>
        <v>Sewer Replacement Reserve</v>
      </c>
      <c r="D5" s="566"/>
      <c r="E5" s="565">
        <f>inputPrYr!B40</f>
        <v>0</v>
      </c>
      <c r="F5" s="566"/>
      <c r="G5" s="565">
        <f>inputPrYr!B41</f>
        <v>0</v>
      </c>
      <c r="H5" s="566"/>
      <c r="I5" s="565">
        <f>inputPrYr!B42</f>
        <v>0</v>
      </c>
      <c r="J5" s="566"/>
      <c r="K5" s="514"/>
    </row>
    <row r="6" spans="1:11">
      <c r="A6" s="260" t="s">
        <v>16</v>
      </c>
      <c r="B6" s="261"/>
      <c r="C6" s="262" t="s">
        <v>16</v>
      </c>
      <c r="D6" s="263"/>
      <c r="E6" s="262" t="s">
        <v>16</v>
      </c>
      <c r="F6" s="264"/>
      <c r="G6" s="262" t="s">
        <v>16</v>
      </c>
      <c r="H6" s="259"/>
      <c r="I6" s="262" t="s">
        <v>16</v>
      </c>
      <c r="J6" s="92"/>
      <c r="K6" s="265" t="s">
        <v>52</v>
      </c>
    </row>
    <row r="7" spans="1:11">
      <c r="A7" s="266" t="s">
        <v>36</v>
      </c>
      <c r="B7" s="267">
        <v>8976</v>
      </c>
      <c r="C7" s="268" t="s">
        <v>36</v>
      </c>
      <c r="D7" s="267">
        <v>22075</v>
      </c>
      <c r="E7" s="268" t="s">
        <v>36</v>
      </c>
      <c r="F7" s="267"/>
      <c r="G7" s="268" t="s">
        <v>36</v>
      </c>
      <c r="H7" s="267"/>
      <c r="I7" s="268" t="s">
        <v>36</v>
      </c>
      <c r="J7" s="267"/>
      <c r="K7" s="269">
        <f>SUM(B7+D7+F7+H7+J7)</f>
        <v>31051</v>
      </c>
    </row>
    <row r="8" spans="1:11">
      <c r="A8" s="270" t="s">
        <v>200</v>
      </c>
      <c r="B8" s="271"/>
      <c r="C8" s="270" t="s">
        <v>200</v>
      </c>
      <c r="D8" s="272"/>
      <c r="E8" s="270" t="s">
        <v>200</v>
      </c>
      <c r="F8" s="177"/>
      <c r="G8" s="270" t="s">
        <v>200</v>
      </c>
      <c r="H8" s="92"/>
      <c r="I8" s="270" t="s">
        <v>200</v>
      </c>
      <c r="J8" s="92"/>
      <c r="K8" s="177"/>
    </row>
    <row r="9" spans="1:11">
      <c r="A9" s="273" t="s">
        <v>352</v>
      </c>
      <c r="B9" s="267"/>
      <c r="C9" s="273" t="s">
        <v>352</v>
      </c>
      <c r="D9" s="267"/>
      <c r="E9" s="273"/>
      <c r="F9" s="267"/>
      <c r="G9" s="273"/>
      <c r="H9" s="267"/>
      <c r="I9" s="273"/>
      <c r="J9" s="267"/>
      <c r="K9" s="177"/>
    </row>
    <row r="10" spans="1:11">
      <c r="A10" s="273" t="s">
        <v>353</v>
      </c>
      <c r="B10" s="267">
        <v>462</v>
      </c>
      <c r="C10" s="273" t="s">
        <v>353</v>
      </c>
      <c r="D10" s="267"/>
      <c r="E10" s="273"/>
      <c r="F10" s="267"/>
      <c r="G10" s="273"/>
      <c r="H10" s="267"/>
      <c r="I10" s="273"/>
      <c r="J10" s="267"/>
      <c r="K10" s="177"/>
    </row>
    <row r="11" spans="1:11">
      <c r="A11" s="273" t="s">
        <v>354</v>
      </c>
      <c r="B11" s="267"/>
      <c r="C11" s="273" t="s">
        <v>354</v>
      </c>
      <c r="D11" s="275">
        <v>2000</v>
      </c>
      <c r="E11" s="274"/>
      <c r="F11" s="267"/>
      <c r="G11" s="274"/>
      <c r="H11" s="267"/>
      <c r="I11" s="276"/>
      <c r="J11" s="267"/>
      <c r="K11" s="177"/>
    </row>
    <row r="12" spans="1:11">
      <c r="A12" s="273"/>
      <c r="B12" s="277"/>
      <c r="C12" s="273"/>
      <c r="D12" s="278"/>
      <c r="E12" s="279"/>
      <c r="F12" s="267"/>
      <c r="G12" s="279"/>
      <c r="H12" s="267"/>
      <c r="I12" s="279"/>
      <c r="J12" s="267"/>
      <c r="K12" s="177"/>
    </row>
    <row r="13" spans="1:11">
      <c r="A13" s="280"/>
      <c r="B13" s="281"/>
      <c r="C13" s="282"/>
      <c r="D13" s="278"/>
      <c r="E13" s="282"/>
      <c r="F13" s="267"/>
      <c r="G13" s="282"/>
      <c r="H13" s="267"/>
      <c r="I13" s="276"/>
      <c r="J13" s="267"/>
      <c r="K13" s="177"/>
    </row>
    <row r="14" spans="1:11">
      <c r="A14" s="273"/>
      <c r="B14" s="267"/>
      <c r="C14" s="279"/>
      <c r="D14" s="278"/>
      <c r="E14" s="279"/>
      <c r="F14" s="267"/>
      <c r="G14" s="279"/>
      <c r="H14" s="267"/>
      <c r="I14" s="279"/>
      <c r="J14" s="267"/>
      <c r="K14" s="177"/>
    </row>
    <row r="15" spans="1:11">
      <c r="A15" s="273"/>
      <c r="B15" s="267"/>
      <c r="C15" s="279"/>
      <c r="D15" s="278"/>
      <c r="E15" s="279"/>
      <c r="F15" s="267"/>
      <c r="G15" s="279"/>
      <c r="H15" s="267"/>
      <c r="I15" s="279"/>
      <c r="J15" s="267"/>
      <c r="K15" s="177"/>
    </row>
    <row r="16" spans="1:11">
      <c r="A16" s="273"/>
      <c r="B16" s="281"/>
      <c r="C16" s="273"/>
      <c r="D16" s="278"/>
      <c r="E16" s="273"/>
      <c r="F16" s="267"/>
      <c r="G16" s="279"/>
      <c r="H16" s="267"/>
      <c r="I16" s="273"/>
      <c r="J16" s="267"/>
      <c r="K16" s="177"/>
    </row>
    <row r="17" spans="1:12">
      <c r="A17" s="270" t="s">
        <v>90</v>
      </c>
      <c r="B17" s="269">
        <f>SUM(B9:B16)</f>
        <v>462</v>
      </c>
      <c r="C17" s="270" t="s">
        <v>90</v>
      </c>
      <c r="D17" s="269">
        <f>SUM(D9:D16)</f>
        <v>2000</v>
      </c>
      <c r="E17" s="270" t="s">
        <v>90</v>
      </c>
      <c r="F17" s="283">
        <f>SUM(F9:F16)</f>
        <v>0</v>
      </c>
      <c r="G17" s="270" t="s">
        <v>90</v>
      </c>
      <c r="H17" s="269">
        <f>SUM(H9:H16)</f>
        <v>0</v>
      </c>
      <c r="I17" s="270" t="s">
        <v>90</v>
      </c>
      <c r="J17" s="269">
        <f>SUM(J9:J16)</f>
        <v>0</v>
      </c>
      <c r="K17" s="269">
        <f>SUM(B17+D17+F17+H17+J17)</f>
        <v>2462</v>
      </c>
    </row>
    <row r="18" spans="1:12">
      <c r="A18" s="270" t="s">
        <v>91</v>
      </c>
      <c r="B18" s="269">
        <f>SUM(B7+B17)</f>
        <v>9438</v>
      </c>
      <c r="C18" s="270" t="s">
        <v>91</v>
      </c>
      <c r="D18" s="269">
        <f>SUM(D7+D17)</f>
        <v>24075</v>
      </c>
      <c r="E18" s="270" t="s">
        <v>91</v>
      </c>
      <c r="F18" s="269">
        <f>SUM(F7+F17)</f>
        <v>0</v>
      </c>
      <c r="G18" s="270" t="s">
        <v>91</v>
      </c>
      <c r="H18" s="269">
        <f>SUM(H7+H17)</f>
        <v>0</v>
      </c>
      <c r="I18" s="270" t="s">
        <v>91</v>
      </c>
      <c r="J18" s="269">
        <f>SUM(J7+J17)</f>
        <v>0</v>
      </c>
      <c r="K18" s="269">
        <f>SUM(B18+D18+F18+H18+J18)</f>
        <v>33513</v>
      </c>
    </row>
    <row r="19" spans="1:12">
      <c r="A19" s="270" t="s">
        <v>92</v>
      </c>
      <c r="B19" s="271"/>
      <c r="C19" s="270" t="s">
        <v>92</v>
      </c>
      <c r="D19" s="272"/>
      <c r="E19" s="270" t="s">
        <v>92</v>
      </c>
      <c r="F19" s="177"/>
      <c r="G19" s="270" t="s">
        <v>92</v>
      </c>
      <c r="H19" s="92"/>
      <c r="I19" s="270" t="s">
        <v>92</v>
      </c>
      <c r="J19" s="92"/>
      <c r="K19" s="177"/>
    </row>
    <row r="20" spans="1:12">
      <c r="A20" s="273"/>
      <c r="B20" s="267"/>
      <c r="C20" s="279" t="s">
        <v>355</v>
      </c>
      <c r="D20" s="267"/>
      <c r="E20" s="279"/>
      <c r="F20" s="267"/>
      <c r="G20" s="279"/>
      <c r="H20" s="267"/>
      <c r="I20" s="279"/>
      <c r="J20" s="267"/>
      <c r="K20" s="177"/>
    </row>
    <row r="21" spans="1:12">
      <c r="A21" s="273"/>
      <c r="B21" s="267"/>
      <c r="C21" s="279" t="s">
        <v>356</v>
      </c>
      <c r="D21" s="267"/>
      <c r="E21" s="279"/>
      <c r="F21" s="267"/>
      <c r="G21" s="279"/>
      <c r="H21" s="267"/>
      <c r="I21" s="279"/>
      <c r="J21" s="267"/>
      <c r="K21" s="177"/>
    </row>
    <row r="22" spans="1:12">
      <c r="A22" s="273"/>
      <c r="B22" s="267"/>
      <c r="C22" s="282" t="s">
        <v>357</v>
      </c>
      <c r="D22" s="267"/>
      <c r="E22" s="282"/>
      <c r="F22" s="267"/>
      <c r="G22" s="282"/>
      <c r="H22" s="267"/>
      <c r="I22" s="276"/>
      <c r="J22" s="267"/>
      <c r="K22" s="177"/>
    </row>
    <row r="23" spans="1:12">
      <c r="A23" s="273"/>
      <c r="B23" s="267"/>
      <c r="C23" s="279"/>
      <c r="D23" s="267"/>
      <c r="E23" s="279"/>
      <c r="F23" s="267"/>
      <c r="G23" s="279"/>
      <c r="H23" s="267"/>
      <c r="I23" s="279"/>
      <c r="J23" s="267"/>
      <c r="K23" s="177"/>
    </row>
    <row r="24" spans="1:12">
      <c r="A24" s="273"/>
      <c r="B24" s="267"/>
      <c r="C24" s="282"/>
      <c r="D24" s="267"/>
      <c r="E24" s="282"/>
      <c r="F24" s="267"/>
      <c r="G24" s="282"/>
      <c r="H24" s="267"/>
      <c r="I24" s="276"/>
      <c r="J24" s="267"/>
      <c r="K24" s="177"/>
    </row>
    <row r="25" spans="1:12">
      <c r="A25" s="273"/>
      <c r="B25" s="267"/>
      <c r="C25" s="279"/>
      <c r="D25" s="267"/>
      <c r="E25" s="279"/>
      <c r="F25" s="267"/>
      <c r="G25" s="279"/>
      <c r="H25" s="267"/>
      <c r="I25" s="279"/>
      <c r="J25" s="267"/>
      <c r="K25" s="177"/>
    </row>
    <row r="26" spans="1:12">
      <c r="A26" s="273"/>
      <c r="B26" s="267"/>
      <c r="C26" s="279"/>
      <c r="D26" s="267"/>
      <c r="E26" s="279"/>
      <c r="F26" s="267"/>
      <c r="G26" s="279"/>
      <c r="H26" s="267"/>
      <c r="I26" s="279"/>
      <c r="J26" s="267"/>
      <c r="K26" s="177"/>
    </row>
    <row r="27" spans="1:12">
      <c r="A27" s="273"/>
      <c r="B27" s="267"/>
      <c r="C27" s="273"/>
      <c r="D27" s="267"/>
      <c r="E27" s="273"/>
      <c r="F27" s="267"/>
      <c r="G27" s="279"/>
      <c r="H27" s="267"/>
      <c r="I27" s="279"/>
      <c r="J27" s="267"/>
      <c r="K27" s="177"/>
    </row>
    <row r="28" spans="1:12">
      <c r="A28" s="270" t="s">
        <v>93</v>
      </c>
      <c r="B28" s="269">
        <f>SUM(B20:B27)</f>
        <v>0</v>
      </c>
      <c r="C28" s="270" t="s">
        <v>93</v>
      </c>
      <c r="D28" s="269">
        <f>SUM(D20:D27)</f>
        <v>0</v>
      </c>
      <c r="E28" s="270" t="s">
        <v>93</v>
      </c>
      <c r="F28" s="283">
        <f>SUM(F20:F27)</f>
        <v>0</v>
      </c>
      <c r="G28" s="270" t="s">
        <v>93</v>
      </c>
      <c r="H28" s="283">
        <f>SUM(H20:H27)</f>
        <v>0</v>
      </c>
      <c r="I28" s="270" t="s">
        <v>93</v>
      </c>
      <c r="J28" s="269">
        <f>SUM(J20:J27)</f>
        <v>0</v>
      </c>
      <c r="K28" s="269">
        <f>SUM(B28+D28+F28+H28+J28)</f>
        <v>0</v>
      </c>
    </row>
    <row r="29" spans="1:12">
      <c r="A29" s="270" t="s">
        <v>17</v>
      </c>
      <c r="B29" s="269">
        <f>SUM(B18-B28)</f>
        <v>9438</v>
      </c>
      <c r="C29" s="270" t="s">
        <v>17</v>
      </c>
      <c r="D29" s="269">
        <f>SUM(D18-D28)</f>
        <v>24075</v>
      </c>
      <c r="E29" s="270" t="s">
        <v>17</v>
      </c>
      <c r="F29" s="269">
        <f>SUM(F18-F28)</f>
        <v>0</v>
      </c>
      <c r="G29" s="270" t="s">
        <v>17</v>
      </c>
      <c r="H29" s="269">
        <f>SUM(H18-H28)</f>
        <v>0</v>
      </c>
      <c r="I29" s="270" t="s">
        <v>17</v>
      </c>
      <c r="J29" s="269">
        <f>SUM(J18-J28)</f>
        <v>0</v>
      </c>
      <c r="K29" s="284">
        <f>SUM(B29+D29+F29+H29+J29)</f>
        <v>33513</v>
      </c>
      <c r="L29" s="24" t="s">
        <v>22</v>
      </c>
    </row>
    <row r="30" spans="1:12">
      <c r="A30" s="270"/>
      <c r="B30" s="285" t="str">
        <f>IF(B29&lt;0,"See Tab B","")</f>
        <v/>
      </c>
      <c r="C30" s="270"/>
      <c r="D30" s="285" t="str">
        <f>IF(D29&lt;0,"See Tab B","")</f>
        <v/>
      </c>
      <c r="E30" s="270"/>
      <c r="F30" s="285" t="str">
        <f>IF(F29&lt;0,"See Tab B","")</f>
        <v/>
      </c>
      <c r="G30" s="92"/>
      <c r="H30" s="285" t="str">
        <f>IF(H29&lt;0,"See Tab B","")</f>
        <v/>
      </c>
      <c r="I30" s="92"/>
      <c r="J30" s="285" t="str">
        <f>IF(J29&lt;0,"See Tab B","")</f>
        <v/>
      </c>
      <c r="K30" s="284">
        <f>SUM(K7+K17-K28)</f>
        <v>33513</v>
      </c>
      <c r="L30" s="24" t="s">
        <v>22</v>
      </c>
    </row>
    <row r="31" spans="1:12">
      <c r="A31" s="92"/>
      <c r="B31" s="286"/>
      <c r="C31" s="92"/>
      <c r="D31" s="177"/>
      <c r="E31" s="92"/>
      <c r="F31" s="92"/>
      <c r="G31" s="25" t="s">
        <v>23</v>
      </c>
      <c r="H31" s="25"/>
      <c r="I31" s="25"/>
      <c r="J31" s="25"/>
      <c r="K31" s="92"/>
    </row>
    <row r="32" spans="1:12">
      <c r="A32" s="92"/>
      <c r="B32" s="286"/>
      <c r="C32" s="92"/>
      <c r="D32" s="92"/>
      <c r="E32" s="92"/>
      <c r="F32" s="92"/>
      <c r="G32" s="92"/>
      <c r="H32" s="92"/>
      <c r="I32" s="92"/>
      <c r="J32" s="92"/>
      <c r="K32" s="92"/>
    </row>
    <row r="33" spans="1:11">
      <c r="A33" s="92"/>
      <c r="B33" s="286"/>
      <c r="C33" s="92"/>
      <c r="D33" s="92"/>
      <c r="E33" s="287" t="s">
        <v>96</v>
      </c>
      <c r="F33" s="256">
        <v>11</v>
      </c>
      <c r="G33" s="92"/>
      <c r="H33" s="92"/>
      <c r="I33" s="92"/>
      <c r="J33" s="92"/>
      <c r="K33" s="92"/>
    </row>
    <row r="34" spans="1:11">
      <c r="B34" s="288"/>
    </row>
    <row r="35" spans="1:11">
      <c r="B35" s="288"/>
    </row>
    <row r="36" spans="1:11">
      <c r="B36" s="288"/>
    </row>
    <row r="37" spans="1:11">
      <c r="B37" s="288"/>
    </row>
    <row r="38" spans="1:11">
      <c r="B38" s="288"/>
    </row>
    <row r="39" spans="1:11">
      <c r="B39" s="288"/>
    </row>
    <row r="40" spans="1:11">
      <c r="B40" s="288"/>
    </row>
    <row r="41" spans="1:11">
      <c r="B41" s="288"/>
    </row>
  </sheetData>
  <mergeCells count="5">
    <mergeCell ref="I5:J5"/>
    <mergeCell ref="A5:B5"/>
    <mergeCell ref="C5:D5"/>
    <mergeCell ref="E5:F5"/>
    <mergeCell ref="G5:H5"/>
  </mergeCells>
  <phoneticPr fontId="10" type="noConversion"/>
  <pageMargins left="0.75" right="0.75" top="1" bottom="1" header="0.5" footer="0.5"/>
  <pageSetup scale="82" orientation="landscape" blackAndWhite="1"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70"/>
  <sheetViews>
    <sheetView zoomScaleNormal="100" workbookViewId="0"/>
  </sheetViews>
  <sheetFormatPr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4"/>
      <c r="B1" s="4"/>
      <c r="C1" s="4"/>
      <c r="D1" s="4"/>
      <c r="E1" s="4"/>
      <c r="F1" s="4"/>
      <c r="G1" s="4"/>
      <c r="H1" s="18">
        <f>inputPrYr!$C$5</f>
        <v>2013</v>
      </c>
    </row>
    <row r="2" spans="1:8">
      <c r="A2" s="568" t="s">
        <v>139</v>
      </c>
      <c r="B2" s="568"/>
      <c r="C2" s="568"/>
      <c r="D2" s="568"/>
      <c r="E2" s="568"/>
      <c r="F2" s="568"/>
      <c r="G2" s="568"/>
      <c r="H2" s="568"/>
    </row>
    <row r="3" spans="1:8">
      <c r="A3" s="4"/>
      <c r="B3" s="4"/>
      <c r="C3" s="4"/>
      <c r="D3" s="4"/>
      <c r="E3" s="4"/>
      <c r="F3" s="4"/>
      <c r="G3" s="4"/>
      <c r="H3" s="4"/>
    </row>
    <row r="4" spans="1:8">
      <c r="A4" s="567" t="s">
        <v>100</v>
      </c>
      <c r="B4" s="567"/>
      <c r="C4" s="567"/>
      <c r="D4" s="567"/>
      <c r="E4" s="567"/>
      <c r="F4" s="567"/>
      <c r="G4" s="567"/>
      <c r="H4" s="567"/>
    </row>
    <row r="5" spans="1:8">
      <c r="A5" s="569" t="str">
        <f>inputPrYr!D2</f>
        <v>City of Horace</v>
      </c>
      <c r="B5" s="569"/>
      <c r="C5" s="569"/>
      <c r="D5" s="569"/>
      <c r="E5" s="569"/>
      <c r="F5" s="569"/>
      <c r="G5" s="569"/>
      <c r="H5" s="569"/>
    </row>
    <row r="6" spans="1:8">
      <c r="A6" s="516"/>
      <c r="B6" s="516"/>
      <c r="C6" s="516"/>
      <c r="D6" s="516"/>
      <c r="E6" s="516"/>
      <c r="F6" s="516"/>
      <c r="G6" s="516"/>
      <c r="H6" s="516"/>
    </row>
    <row r="7" spans="1:8">
      <c r="A7" s="570" t="str">
        <f>CONCATENATE("will meet on ",inputBudSum!B7," at ",inputBudSum!B9," at ",inputBudSum!B11," for the purpose of hearing and")</f>
        <v>will meet on August _________, 2012 at 7:00 p.m. at City Hall for the purpose of hearing and</v>
      </c>
      <c r="B7" s="570"/>
      <c r="C7" s="570"/>
      <c r="D7" s="570"/>
      <c r="E7" s="570"/>
      <c r="F7" s="570"/>
      <c r="G7" s="570"/>
      <c r="H7" s="570"/>
    </row>
    <row r="8" spans="1:8">
      <c r="A8" s="567" t="s">
        <v>246</v>
      </c>
      <c r="B8" s="567"/>
      <c r="C8" s="567"/>
      <c r="D8" s="567"/>
      <c r="E8" s="567"/>
      <c r="F8" s="567"/>
      <c r="G8" s="567"/>
      <c r="H8" s="567"/>
    </row>
    <row r="9" spans="1:8">
      <c r="A9" s="567" t="str">
        <f>CONCATENATE("Detailed budget information is available at ",inputBudSum!B14," and will be available at this hearing.")</f>
        <v>Detailed budget information is available at City Hall and will be available at this hearing.</v>
      </c>
      <c r="B9" s="567"/>
      <c r="C9" s="567"/>
      <c r="D9" s="567"/>
      <c r="E9" s="567"/>
      <c r="F9" s="567"/>
      <c r="G9" s="567"/>
      <c r="H9" s="567"/>
    </row>
    <row r="10" spans="1:8">
      <c r="A10" s="12" t="s">
        <v>140</v>
      </c>
      <c r="B10" s="7"/>
      <c r="C10" s="7"/>
      <c r="D10" s="7"/>
      <c r="E10" s="7"/>
      <c r="F10" s="7"/>
      <c r="G10" s="7"/>
      <c r="H10" s="7"/>
    </row>
    <row r="11" spans="1:8">
      <c r="A11" s="13" t="str">
        <f>CONCATENATE("Proposed Budget ",H1," Expenditures and Amount of ",D14," Ad Valorem Tax establish the maximum limits of the ",H1," budget.")</f>
        <v>Proposed Budget 2013 Expenditures and Amount of Current Year Estimate for 2012 Ad Valorem Tax establish the maximum limits of the 2013 budget.</v>
      </c>
      <c r="B11" s="14"/>
      <c r="C11" s="14"/>
      <c r="D11" s="14"/>
      <c r="E11" s="14"/>
      <c r="F11" s="14"/>
      <c r="G11" s="14"/>
      <c r="H11" s="14"/>
    </row>
    <row r="12" spans="1:8">
      <c r="A12" s="6" t="s">
        <v>207</v>
      </c>
      <c r="B12" s="7"/>
      <c r="C12" s="7"/>
      <c r="D12" s="7"/>
      <c r="E12" s="7"/>
      <c r="F12" s="7"/>
      <c r="G12" s="7"/>
      <c r="H12" s="7"/>
    </row>
    <row r="13" spans="1:8">
      <c r="A13" s="4"/>
      <c r="B13" s="15"/>
      <c r="C13" s="15"/>
      <c r="D13" s="15"/>
      <c r="E13" s="15"/>
      <c r="F13" s="15"/>
      <c r="G13" s="15"/>
      <c r="H13" s="15"/>
    </row>
    <row r="14" spans="1:8">
      <c r="A14" s="4"/>
      <c r="B14" s="499" t="str">
        <f>CONCATENATE("Prior Year Actual for ",H1-2,"")</f>
        <v>Prior Year Actual for 2011</v>
      </c>
      <c r="C14" s="133"/>
      <c r="D14" s="499" t="str">
        <f>CONCATENATE("Current Year Estimate for ",H1-1,"")</f>
        <v>Current Year Estimate for 2012</v>
      </c>
      <c r="E14" s="133"/>
      <c r="F14" s="500" t="str">
        <f>CONCATENATE("Proposed Budget for ",H1,"")</f>
        <v>Proposed Budget for 2013</v>
      </c>
      <c r="G14" s="501"/>
      <c r="H14" s="133"/>
    </row>
    <row r="15" spans="1:8" ht="22.5" customHeight="1">
      <c r="A15" s="4"/>
      <c r="B15" s="8"/>
      <c r="C15" s="8" t="s">
        <v>97</v>
      </c>
      <c r="D15" s="8"/>
      <c r="E15" s="8" t="s">
        <v>97</v>
      </c>
      <c r="F15" s="8" t="s">
        <v>29</v>
      </c>
      <c r="G15" s="19" t="str">
        <f>CONCATENATE("Amount of ",H1-1,"")</f>
        <v>Amount of 2012</v>
      </c>
      <c r="H15" s="8" t="s">
        <v>3</v>
      </c>
    </row>
    <row r="16" spans="1:8" ht="17.25" customHeight="1">
      <c r="A16" s="16" t="s">
        <v>101</v>
      </c>
      <c r="B16" s="9" t="s">
        <v>64</v>
      </c>
      <c r="C16" s="9" t="s">
        <v>102</v>
      </c>
      <c r="D16" s="9" t="s">
        <v>2</v>
      </c>
      <c r="E16" s="9" t="s">
        <v>102</v>
      </c>
      <c r="F16" s="9" t="s">
        <v>263</v>
      </c>
      <c r="G16" s="11" t="s">
        <v>83</v>
      </c>
      <c r="H16" s="9" t="s">
        <v>102</v>
      </c>
    </row>
    <row r="17" spans="1:13">
      <c r="A17" s="48" t="s">
        <v>48</v>
      </c>
      <c r="B17" s="517">
        <f>IF((general!$C$51)&lt;&gt;0,general!$C$51,"  ")</f>
        <v>33921</v>
      </c>
      <c r="C17" s="523">
        <f>IF(inputPrYr!D47&gt;0,inputPrYr!D47,"  ")</f>
        <v>49.267000000000003</v>
      </c>
      <c r="D17" s="517">
        <f>IF((general!$D$51)&lt;&gt;0,general!$D$51,"  ")</f>
        <v>30500</v>
      </c>
      <c r="E17" s="523">
        <f>IF(inputOth!D21&gt;0,inputOth!D21,"  ")</f>
        <v>50.988999999999997</v>
      </c>
      <c r="F17" s="517">
        <f>IF((general!$E$51)&lt;&gt;0,general!$E$51,"  ")</f>
        <v>40000</v>
      </c>
      <c r="G17" s="517">
        <f>IF((general!$E$58)&lt;&gt;0,(general!$E$58),"  ")</f>
        <v>17250</v>
      </c>
      <c r="H17" s="523">
        <f>IF((general!E58&gt;0),ROUND(G17/$F$28*1000,3),"  ")</f>
        <v>50.014000000000003</v>
      </c>
    </row>
    <row r="18" spans="1:13">
      <c r="A18" s="71" t="str">
        <f>IF((inputPrYr!$B21&gt;"  "),(inputPrYr!$B21),"  ")</f>
        <v>Social Security</v>
      </c>
      <c r="B18" s="517">
        <f>IF((SocSecurity!$C$27)&lt;&gt;0,(SocSecurity!$C$27),"  ")</f>
        <v>1703</v>
      </c>
      <c r="C18" s="523">
        <f>IF(inputPrYr!D50&gt;0,inputPrYr!D50,"  ")</f>
        <v>3.8690000000000002</v>
      </c>
      <c r="D18" s="517">
        <f>IF((SocSecurity!$D$27)&lt;&gt;0,(SocSecurity!$D$27),"  ")</f>
        <v>2000</v>
      </c>
      <c r="E18" s="523">
        <f>IF(inputOth!D24&gt;0,inputOth!D24,"  ")</f>
        <v>2.6360000000000001</v>
      </c>
      <c r="F18" s="517">
        <f>IF((SocSecurity!$E$27)&lt;&gt;0,(SocSecurity!$E$27),"  ")</f>
        <v>2500</v>
      </c>
      <c r="G18" s="517">
        <f>IF((SocSecurity!$E$34)&lt;&gt;0,(SocSecurity!$E$34),"  ")</f>
        <v>1334</v>
      </c>
      <c r="H18" s="523">
        <f>IF(SocSecurity!E34&gt;0,ROUND(G18/$F$28*1000,3),"  ")</f>
        <v>3.8679999999999999</v>
      </c>
    </row>
    <row r="19" spans="1:13">
      <c r="A19" s="71" t="str">
        <f>IF((inputPrYr!$B28&gt;"  "),(inputPrYr!$B28),"  ")</f>
        <v>Special Highway</v>
      </c>
      <c r="B19" s="517">
        <f>IF(('SpecHwy  Water'!$C$24)&lt;&gt;0,('SpecHwy  Water'!$C$24),"  ")</f>
        <v>2871</v>
      </c>
      <c r="C19" s="523"/>
      <c r="D19" s="517">
        <f>IF(('SpecHwy  Water'!$D$24)&lt;&gt;0,('SpecHwy  Water'!$D$24),"  ")</f>
        <v>1028</v>
      </c>
      <c r="E19" s="523"/>
      <c r="F19" s="517">
        <f>IF(('SpecHwy  Water'!$E$24)&lt;&gt;0,('SpecHwy  Water'!$E$24),"  ")</f>
        <v>3000</v>
      </c>
      <c r="G19" s="517"/>
      <c r="H19" s="523"/>
    </row>
    <row r="20" spans="1:13">
      <c r="A20" s="71" t="str">
        <f>IF((inputPrYr!$B29&gt;"  "),(inputPrYr!$B29),"  ")</f>
        <v>Water Utility</v>
      </c>
      <c r="B20" s="517">
        <f>IF(('SpecHwy  Water'!$C$60)&lt;&gt;0,('SpecHwy  Water'!$C$60),"  ")</f>
        <v>34166</v>
      </c>
      <c r="C20" s="523"/>
      <c r="D20" s="517">
        <f>IF(('SpecHwy  Water'!$D$60)&lt;&gt;0,('SpecHwy  Water'!$D$60),"  ")</f>
        <v>34832</v>
      </c>
      <c r="E20" s="523"/>
      <c r="F20" s="517">
        <f>IF(('SpecHwy  Water'!$E$60)&lt;&gt;0,('SpecHwy  Water'!$E$60),"  ")</f>
        <v>41582</v>
      </c>
      <c r="G20" s="517"/>
      <c r="H20" s="523"/>
    </row>
    <row r="21" spans="1:13">
      <c r="A21" s="71" t="str">
        <f>IF((inputPrYr!$B30&gt;"  "),(inputPrYr!$B30),"  ")</f>
        <v>Sewer Utility</v>
      </c>
      <c r="B21" s="517">
        <f>IF(('Sewer  WaterDebt'!$C$30) &lt;&gt;0,('Sewer  WaterDebt'!$C$30),"")</f>
        <v>2335</v>
      </c>
      <c r="C21" s="523"/>
      <c r="D21" s="517">
        <f>IF(('Sewer  WaterDebt'!$D$30) &lt;&gt;0,('Sewer  WaterDebt'!$D$30),"")</f>
        <v>3000</v>
      </c>
      <c r="E21" s="523"/>
      <c r="F21" s="517">
        <f>IF(('Sewer  WaterDebt'!$E$30) &lt;&gt;0,('Sewer  WaterDebt'!$E$30),"")</f>
        <v>6000</v>
      </c>
      <c r="G21" s="517"/>
      <c r="H21" s="523"/>
      <c r="J21" s="571" t="str">
        <f>CONCATENATE("Estimated Value Of One Mill For ",H1,"")</f>
        <v>Estimated Value Of One Mill For 2013</v>
      </c>
      <c r="K21" s="574"/>
      <c r="L21" s="574"/>
      <c r="M21" s="575"/>
    </row>
    <row r="22" spans="1:13">
      <c r="A22" s="71" t="str">
        <f>IF((inputPrYr!$B31&gt;"  "),(inputPrYr!$B31),"  ")</f>
        <v>Water Utility Debt Service</v>
      </c>
      <c r="B22" s="517">
        <f>IF(('Sewer  WaterDebt'!$C$62) &lt;&gt;0,('Sewer  WaterDebt'!$C$62),"")</f>
        <v>4625</v>
      </c>
      <c r="C22" s="523"/>
      <c r="D22" s="517">
        <f>IF(('Sewer  WaterDebt'!$D$62) &lt;&gt;0,('Sewer  WaterDebt'!$D$62),"")</f>
        <v>4644</v>
      </c>
      <c r="E22" s="523"/>
      <c r="F22" s="517">
        <f>IF(('Sewer  WaterDebt'!$E$62) &lt;&gt;0,('Sewer  WaterDebt'!$E$62),"")</f>
        <v>4600</v>
      </c>
      <c r="G22" s="517"/>
      <c r="H22" s="523"/>
      <c r="J22" s="410"/>
      <c r="K22" s="411"/>
      <c r="L22" s="411"/>
      <c r="M22" s="412"/>
    </row>
    <row r="23" spans="1:13">
      <c r="A23" s="71" t="str">
        <f>IF((inputPrYr!$B38&gt;"  "),(nonbud!$A3),"  ")</f>
        <v>Non-Budgeted Funds</v>
      </c>
      <c r="B23" s="518" t="str">
        <f>IF((nonbud!$K$28)&lt;&gt;0,(nonbud!$K$28),"  ")</f>
        <v xml:space="preserve">  </v>
      </c>
      <c r="C23" s="524"/>
      <c r="D23" s="518"/>
      <c r="E23" s="524"/>
      <c r="F23" s="518"/>
      <c r="G23" s="518"/>
      <c r="H23" s="524"/>
      <c r="J23" s="413" t="s">
        <v>266</v>
      </c>
      <c r="K23" s="414"/>
      <c r="L23" s="414"/>
      <c r="M23" s="415">
        <f>ROUND(F28/1000,0)</f>
        <v>345</v>
      </c>
    </row>
    <row r="24" spans="1:13">
      <c r="A24" s="3" t="s">
        <v>269</v>
      </c>
      <c r="B24" s="519">
        <f>SUM(B17:B23)</f>
        <v>79621</v>
      </c>
      <c r="C24" s="525">
        <f>SUM(C17:C18)</f>
        <v>53.136000000000003</v>
      </c>
      <c r="D24" s="519">
        <f>SUM(D17:D23)</f>
        <v>76004</v>
      </c>
      <c r="E24" s="525">
        <f>SUM(E17:E18)</f>
        <v>53.625</v>
      </c>
      <c r="F24" s="519">
        <f>SUM(F17:F23)</f>
        <v>97682</v>
      </c>
      <c r="G24" s="519">
        <f>SUM(G17:G18)</f>
        <v>18584</v>
      </c>
      <c r="H24" s="525">
        <f>SUM(H17:H23)</f>
        <v>53.882000000000005</v>
      </c>
    </row>
    <row r="25" spans="1:13">
      <c r="A25" s="5" t="s">
        <v>103</v>
      </c>
      <c r="B25" s="520">
        <f>Transfers!$C$15</f>
        <v>7082</v>
      </c>
      <c r="C25" s="502"/>
      <c r="D25" s="520">
        <f>Transfers!$D$15</f>
        <v>7082</v>
      </c>
      <c r="E25" s="503"/>
      <c r="F25" s="520">
        <f>Transfers!$E$15</f>
        <v>7082</v>
      </c>
      <c r="G25" s="454"/>
      <c r="H25" s="504"/>
      <c r="J25" s="571" t="str">
        <f>CONCATENATE("Want The Mill Rate The Same As For ",H1-1,"?")</f>
        <v>Want The Mill Rate The Same As For 2012?</v>
      </c>
      <c r="K25" s="576"/>
      <c r="L25" s="576"/>
      <c r="M25" s="577"/>
    </row>
    <row r="26" spans="1:13" ht="16.5" thickBot="1">
      <c r="A26" s="23" t="s">
        <v>104</v>
      </c>
      <c r="B26" s="521">
        <f>B24-B25</f>
        <v>72539</v>
      </c>
      <c r="C26" s="27"/>
      <c r="D26" s="521">
        <f>D24-D25</f>
        <v>68922</v>
      </c>
      <c r="E26" s="27"/>
      <c r="F26" s="521">
        <f>F24-F25</f>
        <v>90600</v>
      </c>
      <c r="G26" s="27"/>
      <c r="H26" s="27"/>
      <c r="J26" s="417"/>
      <c r="K26" s="411"/>
      <c r="L26" s="411"/>
      <c r="M26" s="418"/>
    </row>
    <row r="27" spans="1:13" ht="16.5" thickTop="1">
      <c r="A27" s="5" t="s">
        <v>105</v>
      </c>
      <c r="B27" s="520">
        <f>inputPrYr!E56</f>
        <v>17462</v>
      </c>
      <c r="C27" s="505"/>
      <c r="D27" s="520">
        <f>inputPrYr!E25</f>
        <v>18069</v>
      </c>
      <c r="E27" s="506"/>
      <c r="F27" s="507" t="s">
        <v>70</v>
      </c>
      <c r="G27" s="508"/>
      <c r="H27" s="508"/>
      <c r="J27" s="417" t="str">
        <f>CONCATENATE("",H1-1," Mill Rate Was:")</f>
        <v>2012 Mill Rate Was:</v>
      </c>
      <c r="K27" s="411"/>
      <c r="L27" s="411"/>
      <c r="M27" s="419">
        <f>E24</f>
        <v>53.625</v>
      </c>
    </row>
    <row r="28" spans="1:13">
      <c r="A28" s="5" t="s">
        <v>106</v>
      </c>
      <c r="B28" s="517">
        <f>inputPrYr!E57</f>
        <v>333696</v>
      </c>
      <c r="C28" s="203"/>
      <c r="D28" s="517">
        <f>inputOth!E30</f>
        <v>336958</v>
      </c>
      <c r="E28" s="180"/>
      <c r="F28" s="517">
        <f>inputOth!E7</f>
        <v>344902</v>
      </c>
      <c r="G28" s="508"/>
      <c r="H28" s="508"/>
      <c r="J28" s="420" t="str">
        <f>CONCATENATE("",H1," Tax Levy Fund Expenditures Must Be ")</f>
        <v xml:space="preserve">2013 Tax Levy Fund Expenditures Must Be </v>
      </c>
      <c r="K28" s="421"/>
      <c r="L28" s="421"/>
      <c r="M28" s="418"/>
    </row>
    <row r="29" spans="1:13">
      <c r="A29" s="432"/>
      <c r="B29" s="454"/>
      <c r="C29" s="453"/>
      <c r="D29" s="454"/>
      <c r="E29" s="453"/>
      <c r="F29" s="297"/>
      <c r="G29" s="453"/>
      <c r="H29" s="509"/>
      <c r="J29" s="420" t="str">
        <f>IF(M36&lt;0,"Increased By:","")</f>
        <v/>
      </c>
      <c r="K29" s="421"/>
      <c r="L29" s="421"/>
      <c r="M29" s="434">
        <f>IF(M36&lt;0,M36*-1,0)</f>
        <v>0</v>
      </c>
    </row>
    <row r="30" spans="1:13">
      <c r="A30" s="5" t="s">
        <v>107</v>
      </c>
      <c r="B30" s="454"/>
      <c r="C30" s="453"/>
      <c r="D30" s="454"/>
      <c r="E30" s="453"/>
      <c r="F30" s="454"/>
      <c r="G30" s="508"/>
      <c r="H30" s="508"/>
      <c r="J30" s="422" t="str">
        <f>IF(M36&gt;0,"Reduced By:","")</f>
        <v>Reduced By:</v>
      </c>
      <c r="K30" s="423"/>
      <c r="L30" s="423"/>
      <c r="M30" s="435">
        <f>IF(M36&gt;0,M36*-1,0)</f>
        <v>-89</v>
      </c>
    </row>
    <row r="31" spans="1:13">
      <c r="A31" s="5" t="s">
        <v>108</v>
      </c>
      <c r="B31" s="510">
        <f>$H$1-3</f>
        <v>2010</v>
      </c>
      <c r="C31" s="27"/>
      <c r="D31" s="510">
        <f>$H$1-2</f>
        <v>2011</v>
      </c>
      <c r="E31" s="27"/>
      <c r="F31" s="510">
        <f>$H$1-1</f>
        <v>2012</v>
      </c>
      <c r="G31" s="27"/>
      <c r="H31" s="27"/>
      <c r="J31" s="424"/>
      <c r="K31" s="424"/>
      <c r="L31" s="424"/>
      <c r="M31" s="424"/>
    </row>
    <row r="32" spans="1:13">
      <c r="A32" s="5" t="s">
        <v>109</v>
      </c>
      <c r="B32" s="517">
        <f>inputPrYr!D60</f>
        <v>0</v>
      </c>
      <c r="C32" s="27"/>
      <c r="D32" s="517">
        <f>inputPrYr!E60</f>
        <v>0</v>
      </c>
      <c r="E32" s="27"/>
      <c r="F32" s="517">
        <f>debt!G15</f>
        <v>0</v>
      </c>
      <c r="G32" s="27"/>
      <c r="H32" s="27"/>
      <c r="J32" s="571" t="str">
        <f>CONCATENATE("Impact On Keeping The Same Mill Rate As For ",H1-1,"")</f>
        <v>Impact On Keeping The Same Mill Rate As For 2012</v>
      </c>
      <c r="K32" s="574"/>
      <c r="L32" s="574"/>
      <c r="M32" s="575"/>
    </row>
    <row r="33" spans="1:13">
      <c r="A33" s="5" t="s">
        <v>110</v>
      </c>
      <c r="B33" s="517">
        <f>inputPrYr!D61</f>
        <v>56200</v>
      </c>
      <c r="C33" s="27"/>
      <c r="D33" s="517">
        <f>inputPrYr!E61</f>
        <v>54900</v>
      </c>
      <c r="E33" s="27"/>
      <c r="F33" s="517">
        <f>debt!G22</f>
        <v>53500</v>
      </c>
      <c r="G33" s="27"/>
      <c r="H33" s="27"/>
      <c r="I33" s="374"/>
      <c r="J33" s="417"/>
      <c r="K33" s="411"/>
      <c r="L33" s="411"/>
      <c r="M33" s="418"/>
    </row>
    <row r="34" spans="1:13">
      <c r="A34" s="17" t="s">
        <v>129</v>
      </c>
      <c r="B34" s="517">
        <f>inputPrYr!D62</f>
        <v>0</v>
      </c>
      <c r="C34" s="27"/>
      <c r="D34" s="517">
        <f>inputPrYr!E62</f>
        <v>0</v>
      </c>
      <c r="E34" s="27"/>
      <c r="F34" s="522">
        <f>debt!G30</f>
        <v>0</v>
      </c>
      <c r="G34" s="27"/>
      <c r="H34" s="27"/>
      <c r="J34" s="417" t="str">
        <f>CONCATENATE("",H1," Ad Valorem Tax Revenue:")</f>
        <v>2013 Ad Valorem Tax Revenue:</v>
      </c>
      <c r="K34" s="411"/>
      <c r="L34" s="411"/>
      <c r="M34" s="412">
        <f>G24</f>
        <v>18584</v>
      </c>
    </row>
    <row r="35" spans="1:13">
      <c r="A35" s="5" t="s">
        <v>208</v>
      </c>
      <c r="B35" s="517">
        <f>inputPrYr!D63</f>
        <v>0</v>
      </c>
      <c r="C35" s="27"/>
      <c r="D35" s="517">
        <f>inputPrYr!E63</f>
        <v>0</v>
      </c>
      <c r="E35" s="27"/>
      <c r="F35" s="517">
        <f>lpform!G20</f>
        <v>0</v>
      </c>
      <c r="G35" s="27"/>
      <c r="H35" s="27"/>
      <c r="J35" s="417" t="str">
        <f>CONCATENATE("",H1-1," Ad Valorem Tax Revenue:")</f>
        <v>2012 Ad Valorem Tax Revenue:</v>
      </c>
      <c r="K35" s="411"/>
      <c r="L35" s="411"/>
      <c r="M35" s="425">
        <f>ROUND(F28*M27/1000,0)</f>
        <v>18495</v>
      </c>
    </row>
    <row r="36" spans="1:13" ht="16.5" thickBot="1">
      <c r="A36" s="5" t="s">
        <v>111</v>
      </c>
      <c r="B36" s="521">
        <f>SUM(B32:B35)</f>
        <v>56200</v>
      </c>
      <c r="C36" s="27"/>
      <c r="D36" s="521">
        <f>SUM(D32:D35)</f>
        <v>54900</v>
      </c>
      <c r="E36" s="27"/>
      <c r="F36" s="521">
        <f>SUM(F32:F35)</f>
        <v>53500</v>
      </c>
      <c r="G36" s="27"/>
      <c r="H36" s="27"/>
      <c r="J36" s="422" t="s">
        <v>267</v>
      </c>
      <c r="K36" s="423"/>
      <c r="L36" s="423"/>
      <c r="M36" s="415">
        <f>M34-M35</f>
        <v>89</v>
      </c>
    </row>
    <row r="37" spans="1:13" ht="16.5" thickTop="1">
      <c r="A37" s="5" t="s">
        <v>112</v>
      </c>
      <c r="B37" s="4"/>
      <c r="C37" s="4"/>
      <c r="D37" s="4"/>
      <c r="E37" s="4"/>
      <c r="F37" s="4"/>
      <c r="G37" s="4"/>
      <c r="H37" s="4"/>
      <c r="I37" s="408"/>
      <c r="J37" s="416"/>
      <c r="K37" s="416"/>
      <c r="L37" s="416"/>
      <c r="M37" s="424"/>
    </row>
    <row r="38" spans="1:13">
      <c r="A38" s="4"/>
      <c r="B38" s="4"/>
      <c r="C38" s="4"/>
      <c r="D38" s="4"/>
      <c r="E38" s="4"/>
      <c r="F38" s="4"/>
      <c r="G38" s="4"/>
      <c r="H38" s="4"/>
      <c r="J38" s="571" t="s">
        <v>268</v>
      </c>
      <c r="K38" s="572"/>
      <c r="L38" s="572"/>
      <c r="M38" s="573"/>
    </row>
    <row r="39" spans="1:13">
      <c r="A39" s="4"/>
      <c r="B39" s="4"/>
      <c r="C39" s="4"/>
      <c r="D39" s="4"/>
      <c r="E39" s="4"/>
      <c r="F39" s="4"/>
      <c r="G39" s="4"/>
      <c r="H39" s="4"/>
      <c r="J39" s="417"/>
      <c r="K39" s="411"/>
      <c r="L39" s="411"/>
      <c r="M39" s="418"/>
    </row>
    <row r="40" spans="1:13">
      <c r="A40" s="578" t="str">
        <f>inputBudSum!B3</f>
        <v>Karen Piper</v>
      </c>
      <c r="B40" s="579"/>
      <c r="C40" s="401"/>
      <c r="D40" s="4"/>
      <c r="E40" s="4"/>
      <c r="F40" s="4"/>
      <c r="G40" s="4"/>
      <c r="H40" s="4"/>
      <c r="J40" s="417" t="str">
        <f>CONCATENATE("Current ",H1," Estimated Mill Rate:")</f>
        <v>Current 2013 Estimated Mill Rate:</v>
      </c>
      <c r="K40" s="411"/>
      <c r="L40" s="411"/>
      <c r="M40" s="419">
        <f>H24</f>
        <v>53.882000000000005</v>
      </c>
    </row>
    <row r="41" spans="1:13">
      <c r="A41" s="32" t="str">
        <f>CONCATENATE("City Official Title: ",inputBudSum!B5,"")</f>
        <v>City Official Title: City Clerk</v>
      </c>
      <c r="B41" s="400"/>
      <c r="C41" s="399"/>
      <c r="D41" s="4"/>
      <c r="E41" s="4"/>
      <c r="F41" s="4"/>
      <c r="G41" s="4"/>
      <c r="H41" s="4"/>
      <c r="J41" s="417" t="str">
        <f>CONCATENATE("Desired ",H1," Mill Rate:")</f>
        <v>Desired 2013 Mill Rate:</v>
      </c>
      <c r="K41" s="411"/>
      <c r="L41" s="411"/>
      <c r="M41" s="409">
        <v>0</v>
      </c>
    </row>
    <row r="42" spans="1:13">
      <c r="A42" s="10"/>
      <c r="B42" s="20"/>
      <c r="C42" s="21"/>
      <c r="D42" s="4"/>
      <c r="E42" s="4"/>
      <c r="F42" s="4"/>
      <c r="G42" s="4"/>
      <c r="H42" s="4"/>
      <c r="J42" s="417" t="str">
        <f>CONCATENATE("",H1," Ad Valorem Tax:")</f>
        <v>2013 Ad Valorem Tax:</v>
      </c>
      <c r="K42" s="411"/>
      <c r="L42" s="411"/>
      <c r="M42" s="425">
        <f>ROUND(F28*M41/1000,0)</f>
        <v>0</v>
      </c>
    </row>
    <row r="43" spans="1:13">
      <c r="A43" s="4"/>
      <c r="B43" s="4"/>
      <c r="C43" s="4"/>
      <c r="D43" s="4"/>
      <c r="E43" s="4"/>
      <c r="F43" s="4"/>
      <c r="G43" s="4"/>
      <c r="H43" s="4"/>
      <c r="J43" s="422" t="str">
        <f>CONCATENATE("",H1," Tax Levy Fund Exp. Changed By:")</f>
        <v>2013 Tax Levy Fund Exp. Changed By:</v>
      </c>
      <c r="K43" s="423"/>
      <c r="L43" s="423"/>
      <c r="M43" s="415">
        <f>IF(M41=0,0,(M42-G24))</f>
        <v>0</v>
      </c>
    </row>
    <row r="44" spans="1:13">
      <c r="A44" s="4"/>
      <c r="B44" s="4"/>
      <c r="C44" s="171" t="s">
        <v>113</v>
      </c>
      <c r="D44" s="256">
        <v>12</v>
      </c>
      <c r="E44" s="4"/>
      <c r="F44" s="4"/>
      <c r="G44" s="4"/>
      <c r="H44" s="4"/>
    </row>
    <row r="45" spans="1:13">
      <c r="A45" s="1"/>
      <c r="B45" s="1"/>
      <c r="C45" s="1"/>
      <c r="D45" s="1"/>
      <c r="E45" s="1"/>
      <c r="F45" s="1"/>
      <c r="G45" s="1"/>
      <c r="H45" s="1"/>
    </row>
    <row r="54" spans="9:13">
      <c r="I54" s="1"/>
      <c r="J54" s="1"/>
      <c r="K54" s="1"/>
      <c r="L54" s="1"/>
      <c r="M54" s="1"/>
    </row>
    <row r="58" spans="9:13">
      <c r="K58" s="485"/>
    </row>
    <row r="85" spans="1:9">
      <c r="A85" s="1"/>
      <c r="B85" s="1"/>
      <c r="C85" s="1"/>
      <c r="D85" s="1"/>
      <c r="E85" s="1"/>
      <c r="F85" s="1"/>
      <c r="G85" s="1"/>
      <c r="H85" s="1"/>
    </row>
    <row r="94" spans="1:9">
      <c r="I94" s="1"/>
    </row>
    <row r="96" spans="1:9">
      <c r="A96" s="1"/>
      <c r="B96" s="1"/>
      <c r="C96" s="1"/>
      <c r="D96" s="1"/>
      <c r="E96" s="1"/>
      <c r="F96" s="1"/>
      <c r="G96" s="1"/>
      <c r="H96" s="1"/>
    </row>
    <row r="118" spans="1:15">
      <c r="A118" s="1"/>
      <c r="B118" s="1"/>
      <c r="C118" s="1"/>
      <c r="D118" s="1"/>
      <c r="E118" s="1"/>
      <c r="F118" s="1"/>
      <c r="G118" s="1"/>
      <c r="H118" s="1"/>
    </row>
    <row r="126" spans="1:15">
      <c r="I126" s="1"/>
      <c r="J126" s="1"/>
      <c r="K126" s="1"/>
      <c r="L126" s="1"/>
      <c r="M126" s="1"/>
      <c r="N126" s="1"/>
      <c r="O126" s="1"/>
    </row>
    <row r="162" spans="1:17">
      <c r="A162" s="1"/>
      <c r="B162" s="1"/>
      <c r="C162" s="1"/>
      <c r="D162" s="1"/>
      <c r="E162" s="1"/>
      <c r="F162" s="1"/>
      <c r="G162" s="1"/>
      <c r="H162" s="1"/>
    </row>
    <row r="170" spans="1:17">
      <c r="I170" s="1"/>
      <c r="J170" s="1"/>
      <c r="K170" s="1"/>
      <c r="L170" s="1"/>
      <c r="M170" s="1"/>
      <c r="N170" s="1"/>
      <c r="O170" s="1"/>
      <c r="P170" s="1"/>
      <c r="Q170" s="1"/>
    </row>
  </sheetData>
  <mergeCells count="11">
    <mergeCell ref="J38:M38"/>
    <mergeCell ref="J21:M21"/>
    <mergeCell ref="J32:M32"/>
    <mergeCell ref="J25:M25"/>
    <mergeCell ref="A40:B40"/>
    <mergeCell ref="A8:H8"/>
    <mergeCell ref="A9:H9"/>
    <mergeCell ref="A2:H2"/>
    <mergeCell ref="A4:H4"/>
    <mergeCell ref="A5:H5"/>
    <mergeCell ref="A7:H7"/>
  </mergeCells>
  <phoneticPr fontId="0" type="noConversion"/>
  <pageMargins left="0.5" right="0.5" top="1" bottom="0.5" header="0.5" footer="0.5"/>
  <pageSetup scale="71" orientation="portrait" blackAndWhite="1"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dimension ref="A1"/>
  <sheetViews>
    <sheetView zoomScale="48" zoomScaleNormal="48" workbookViewId="0"/>
  </sheetViews>
  <sheetFormatPr defaultRowHeight="15"/>
  <sheetData/>
  <pageMargins left="0.7" right="0.7" top="0.75" bottom="0.75" header="0.3" footer="0.3"/>
  <pageSetup scale="55"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A1:H70"/>
  <sheetViews>
    <sheetView zoomScaleNormal="100" workbookViewId="0"/>
  </sheetViews>
  <sheetFormatPr defaultRowHeight="15.75"/>
  <cols>
    <col min="1" max="1" width="15.77734375" style="28" customWidth="1"/>
    <col min="2" max="2" width="20.77734375" style="28" customWidth="1"/>
    <col min="3" max="3" width="9.77734375" style="28" customWidth="1"/>
    <col min="4" max="4" width="15.109375" style="28" customWidth="1"/>
    <col min="5" max="5" width="15.77734375" style="28" customWidth="1"/>
    <col min="6" max="6" width="1.77734375" style="28" customWidth="1"/>
    <col min="7" max="7" width="18.6640625" style="28" customWidth="1"/>
    <col min="8" max="16384" width="8.88671875" style="28"/>
  </cols>
  <sheetData>
    <row r="1" spans="1:8">
      <c r="A1" s="26" t="s">
        <v>45</v>
      </c>
      <c r="B1" s="27"/>
      <c r="C1" s="27"/>
      <c r="D1" s="27"/>
      <c r="E1" s="27"/>
    </row>
    <row r="2" spans="1:8">
      <c r="A2" s="29" t="s">
        <v>34</v>
      </c>
      <c r="B2" s="27"/>
      <c r="C2" s="27"/>
      <c r="D2" s="437" t="s">
        <v>304</v>
      </c>
      <c r="E2" s="30"/>
    </row>
    <row r="3" spans="1:8">
      <c r="A3" s="29" t="s">
        <v>35</v>
      </c>
      <c r="B3" s="27"/>
      <c r="C3" s="27"/>
      <c r="D3" s="438" t="s">
        <v>305</v>
      </c>
      <c r="E3" s="31"/>
    </row>
    <row r="4" spans="1:8">
      <c r="A4" s="32"/>
      <c r="B4" s="27"/>
      <c r="C4" s="27"/>
      <c r="D4" s="33"/>
      <c r="E4" s="27"/>
    </row>
    <row r="5" spans="1:8">
      <c r="A5" s="29" t="s">
        <v>217</v>
      </c>
      <c r="B5" s="27"/>
      <c r="C5" s="34">
        <v>2013</v>
      </c>
      <c r="D5" s="33"/>
      <c r="E5" s="27"/>
    </row>
    <row r="6" spans="1:8">
      <c r="A6" s="27"/>
      <c r="B6" s="27"/>
      <c r="C6" s="27"/>
      <c r="D6" s="27"/>
      <c r="E6" s="27"/>
    </row>
    <row r="7" spans="1:8">
      <c r="A7" s="35" t="s">
        <v>236</v>
      </c>
      <c r="B7" s="36"/>
      <c r="C7" s="36"/>
      <c r="D7" s="36"/>
      <c r="E7" s="36"/>
    </row>
    <row r="8" spans="1:8">
      <c r="A8" s="35" t="s">
        <v>235</v>
      </c>
      <c r="B8" s="36"/>
      <c r="C8" s="36"/>
      <c r="D8" s="36"/>
      <c r="E8" s="36"/>
      <c r="F8" s="27"/>
      <c r="G8" s="582" t="s">
        <v>300</v>
      </c>
      <c r="H8" s="583"/>
    </row>
    <row r="9" spans="1:8" ht="15.75" customHeight="1">
      <c r="A9" s="37"/>
      <c r="B9" s="36"/>
      <c r="C9" s="36"/>
      <c r="D9" s="36"/>
      <c r="E9" s="36"/>
      <c r="F9" s="27"/>
      <c r="G9" s="584"/>
      <c r="H9" s="583"/>
    </row>
    <row r="10" spans="1:8">
      <c r="A10" s="580" t="s">
        <v>7</v>
      </c>
      <c r="B10" s="581"/>
      <c r="C10" s="581"/>
      <c r="D10" s="581"/>
      <c r="E10" s="581"/>
      <c r="F10" s="27"/>
      <c r="G10" s="584"/>
      <c r="H10" s="583"/>
    </row>
    <row r="11" spans="1:8">
      <c r="A11" s="37"/>
      <c r="B11" s="36"/>
      <c r="C11" s="36"/>
      <c r="D11" s="36"/>
      <c r="E11" s="36"/>
      <c r="F11" s="27"/>
      <c r="G11" s="584"/>
      <c r="H11" s="583"/>
    </row>
    <row r="12" spans="1:8">
      <c r="A12" s="39" t="s">
        <v>8</v>
      </c>
      <c r="B12" s="40"/>
      <c r="C12" s="27"/>
      <c r="D12" s="27"/>
      <c r="E12" s="27"/>
      <c r="F12" s="27"/>
      <c r="G12" s="584"/>
      <c r="H12" s="583"/>
    </row>
    <row r="13" spans="1:8">
      <c r="A13" s="41" t="str">
        <f>CONCATENATE("the ",C5-1," Budget, Certificate Page:")</f>
        <v>the 2012 Budget, Certificate Page:</v>
      </c>
      <c r="B13" s="42"/>
      <c r="C13" s="43"/>
      <c r="D13" s="27"/>
      <c r="E13" s="27"/>
      <c r="F13" s="27"/>
      <c r="G13" s="584"/>
      <c r="H13" s="583"/>
    </row>
    <row r="14" spans="1:8">
      <c r="A14" s="41" t="s">
        <v>234</v>
      </c>
      <c r="B14" s="42"/>
      <c r="C14" s="43"/>
      <c r="D14" s="27"/>
      <c r="E14" s="27"/>
      <c r="F14" s="27"/>
      <c r="G14" s="59"/>
      <c r="H14" s="488"/>
    </row>
    <row r="15" spans="1:8">
      <c r="A15" s="44"/>
      <c r="B15" s="27"/>
      <c r="C15" s="27"/>
      <c r="D15" s="45">
        <f>$C$5-1</f>
        <v>2012</v>
      </c>
      <c r="E15" s="45">
        <f>$C$5-2</f>
        <v>2011</v>
      </c>
      <c r="G15" s="179" t="s">
        <v>283</v>
      </c>
      <c r="H15" s="149" t="s">
        <v>95</v>
      </c>
    </row>
    <row r="16" spans="1:8">
      <c r="A16" s="32" t="s">
        <v>46</v>
      </c>
      <c r="B16" s="27"/>
      <c r="C16" s="46" t="s">
        <v>47</v>
      </c>
      <c r="D16" s="47" t="s">
        <v>233</v>
      </c>
      <c r="E16" s="47" t="s">
        <v>40</v>
      </c>
      <c r="G16" s="206" t="str">
        <f>CONCATENATE("",E15," Ad Valorem Tax")</f>
        <v>2011 Ad Valorem Tax</v>
      </c>
      <c r="H16" s="487">
        <v>0.01</v>
      </c>
    </row>
    <row r="17" spans="1:7">
      <c r="A17" s="27"/>
      <c r="B17" s="48" t="s">
        <v>48</v>
      </c>
      <c r="C17" s="149" t="s">
        <v>203</v>
      </c>
      <c r="D17" s="50">
        <v>45600</v>
      </c>
      <c r="E17" s="50">
        <v>17181</v>
      </c>
      <c r="G17" s="151">
        <f>IF(H16&gt;0,ROUND(E17-(E17*H16),0),0)</f>
        <v>17009</v>
      </c>
    </row>
    <row r="18" spans="1:7">
      <c r="A18" s="27"/>
      <c r="B18" s="48" t="s">
        <v>39</v>
      </c>
      <c r="C18" s="149" t="s">
        <v>218</v>
      </c>
      <c r="D18" s="50"/>
      <c r="E18" s="50"/>
      <c r="G18" s="151">
        <f>IF(H16&gt;0,ROUND(E18-(E18*H16),0),0)</f>
        <v>0</v>
      </c>
    </row>
    <row r="19" spans="1:7">
      <c r="A19" s="27"/>
      <c r="B19" s="48" t="s">
        <v>294</v>
      </c>
      <c r="C19" s="149" t="s">
        <v>295</v>
      </c>
      <c r="D19" s="50"/>
      <c r="E19" s="50"/>
      <c r="G19" s="151">
        <f>IF(H16&gt;0,ROUND(E19-(E19*H16),0),0)</f>
        <v>0</v>
      </c>
    </row>
    <row r="20" spans="1:7">
      <c r="A20" s="32" t="s">
        <v>49</v>
      </c>
      <c r="B20" s="27"/>
      <c r="C20" s="27"/>
      <c r="D20" s="51"/>
      <c r="E20" s="51"/>
    </row>
    <row r="21" spans="1:7">
      <c r="A21" s="27"/>
      <c r="B21" s="52" t="s">
        <v>306</v>
      </c>
      <c r="C21" s="430" t="s">
        <v>307</v>
      </c>
      <c r="D21" s="50">
        <v>3100</v>
      </c>
      <c r="E21" s="50">
        <v>888</v>
      </c>
      <c r="G21" s="151">
        <f>IF(H16&gt;0,ROUND(E21-(E21*H16),0),0)</f>
        <v>879</v>
      </c>
    </row>
    <row r="22" spans="1:7">
      <c r="A22" s="27"/>
      <c r="B22" s="53"/>
      <c r="C22" s="431"/>
      <c r="D22" s="50"/>
      <c r="E22" s="50"/>
      <c r="G22" s="151">
        <f>IF(H16&gt;0,ROUND(E22-(E22*H16),0),0)</f>
        <v>0</v>
      </c>
    </row>
    <row r="23" spans="1:7">
      <c r="A23" s="27"/>
      <c r="B23" s="53"/>
      <c r="C23" s="430"/>
      <c r="D23" s="50"/>
      <c r="E23" s="50"/>
      <c r="G23" s="151">
        <f>IF(H16&gt;0,ROUND(E23-(E23*H16),0),0)</f>
        <v>0</v>
      </c>
    </row>
    <row r="24" spans="1:7">
      <c r="A24" s="27"/>
      <c r="B24" s="53"/>
      <c r="C24" s="430"/>
      <c r="D24" s="50"/>
      <c r="E24" s="50"/>
      <c r="G24" s="151">
        <f>IF(H16&gt;0,ROUND(E24-(E24*H16),0),0)</f>
        <v>0</v>
      </c>
    </row>
    <row r="25" spans="1:7">
      <c r="A25" s="54" t="str">
        <f>CONCATENATE("Total Ad Valorem Tax Levy Funds for ",C5-1," Budgeted Year")</f>
        <v>Total Ad Valorem Tax Levy Funds for 2012 Budgeted Year</v>
      </c>
      <c r="B25" s="55"/>
      <c r="C25" s="55"/>
      <c r="D25" s="56"/>
      <c r="E25" s="57">
        <f>SUM(E17:E24)</f>
        <v>18069</v>
      </c>
    </row>
    <row r="26" spans="1:7">
      <c r="A26" s="62"/>
      <c r="B26" s="59"/>
      <c r="C26" s="59"/>
      <c r="D26" s="169"/>
      <c r="E26" s="59"/>
    </row>
    <row r="27" spans="1:7">
      <c r="A27" s="32" t="s">
        <v>50</v>
      </c>
      <c r="B27" s="27"/>
      <c r="C27" s="27"/>
      <c r="D27" s="27"/>
      <c r="E27" s="27"/>
    </row>
    <row r="28" spans="1:7">
      <c r="A28" s="27"/>
      <c r="B28" s="58" t="s">
        <v>51</v>
      </c>
      <c r="C28" s="59"/>
      <c r="D28" s="50">
        <v>5000</v>
      </c>
      <c r="E28" s="59"/>
    </row>
    <row r="29" spans="1:7">
      <c r="A29" s="27"/>
      <c r="B29" s="324" t="s">
        <v>308</v>
      </c>
      <c r="C29" s="59"/>
      <c r="D29" s="50">
        <v>40892</v>
      </c>
      <c r="E29" s="59"/>
    </row>
    <row r="30" spans="1:7">
      <c r="A30" s="27"/>
      <c r="B30" s="324" t="s">
        <v>309</v>
      </c>
      <c r="C30" s="59"/>
      <c r="D30" s="50">
        <v>6000</v>
      </c>
      <c r="E30" s="59"/>
    </row>
    <row r="31" spans="1:7">
      <c r="A31" s="27"/>
      <c r="B31" s="324" t="s">
        <v>310</v>
      </c>
      <c r="C31" s="59"/>
      <c r="D31" s="50">
        <v>5000</v>
      </c>
      <c r="E31" s="59"/>
    </row>
    <row r="32" spans="1:7">
      <c r="A32" s="27"/>
      <c r="B32" s="60"/>
      <c r="C32" s="59"/>
      <c r="D32" s="50"/>
      <c r="E32" s="59"/>
    </row>
    <row r="33" spans="1:5">
      <c r="A33" s="27"/>
      <c r="B33" s="60"/>
      <c r="C33" s="59"/>
      <c r="D33" s="50"/>
      <c r="E33" s="59"/>
    </row>
    <row r="34" spans="1:5">
      <c r="A34" s="27" t="s">
        <v>38</v>
      </c>
      <c r="B34" s="61"/>
      <c r="C34" s="59"/>
      <c r="D34" s="59"/>
      <c r="E34" s="59"/>
    </row>
    <row r="35" spans="1:5">
      <c r="A35" s="62"/>
      <c r="B35" s="52"/>
      <c r="C35" s="63"/>
      <c r="D35" s="50"/>
      <c r="E35" s="64"/>
    </row>
    <row r="36" spans="1:5">
      <c r="A36" s="54" t="str">
        <f>CONCATENATE("Total Expenditures for ",C5-1," Budgeted Year")</f>
        <v>Total Expenditures for 2012 Budgeted Year</v>
      </c>
      <c r="B36" s="65"/>
      <c r="C36" s="66"/>
      <c r="D36" s="57">
        <f>SUM(D17:D19,D21:D24,D28:D33,D35)</f>
        <v>105592</v>
      </c>
      <c r="E36" s="64"/>
    </row>
    <row r="37" spans="1:5">
      <c r="A37" s="62" t="s">
        <v>20</v>
      </c>
      <c r="B37" s="59"/>
      <c r="C37" s="59"/>
      <c r="D37" s="59"/>
      <c r="E37" s="27"/>
    </row>
    <row r="38" spans="1:5">
      <c r="A38" s="67">
        <v>1</v>
      </c>
      <c r="B38" s="52" t="s">
        <v>311</v>
      </c>
      <c r="C38" s="59"/>
      <c r="D38" s="59"/>
      <c r="E38" s="27"/>
    </row>
    <row r="39" spans="1:5">
      <c r="A39" s="67">
        <v>2</v>
      </c>
      <c r="B39" s="52" t="s">
        <v>312</v>
      </c>
      <c r="C39" s="59"/>
      <c r="D39" s="59"/>
      <c r="E39" s="27"/>
    </row>
    <row r="40" spans="1:5">
      <c r="A40" s="67">
        <v>3</v>
      </c>
      <c r="B40" s="52"/>
      <c r="C40" s="59"/>
      <c r="D40" s="59"/>
      <c r="E40" s="27"/>
    </row>
    <row r="41" spans="1:5">
      <c r="A41" s="67">
        <v>4</v>
      </c>
      <c r="B41" s="52"/>
      <c r="C41" s="59"/>
      <c r="D41" s="59"/>
      <c r="E41" s="27"/>
    </row>
    <row r="42" spans="1:5">
      <c r="A42" s="67">
        <v>5</v>
      </c>
      <c r="B42" s="52"/>
      <c r="C42" s="59"/>
      <c r="D42" s="59"/>
      <c r="E42" s="27"/>
    </row>
    <row r="43" spans="1:5">
      <c r="A43" s="68"/>
      <c r="B43" s="59"/>
      <c r="C43" s="59"/>
      <c r="D43" s="59"/>
      <c r="E43" s="27"/>
    </row>
    <row r="44" spans="1:5" ht="18" customHeight="1">
      <c r="A44" s="27"/>
      <c r="B44" s="27"/>
      <c r="C44" s="27"/>
      <c r="D44" s="27"/>
      <c r="E44" s="27"/>
    </row>
    <row r="45" spans="1:5">
      <c r="A45" s="39" t="s">
        <v>8</v>
      </c>
      <c r="B45" s="40"/>
      <c r="C45" s="27"/>
      <c r="D45" s="69" t="str">
        <f>CONCATENATE("",C5-3," Tax Rate")</f>
        <v>2010 Tax Rate</v>
      </c>
      <c r="E45" s="27"/>
    </row>
    <row r="46" spans="1:5">
      <c r="A46" s="41" t="str">
        <f>CONCATENATE("the ",C5-1," Budget, Budget Summary Page")</f>
        <v>the 2012 Budget, Budget Summary Page</v>
      </c>
      <c r="B46" s="42"/>
      <c r="C46" s="27"/>
      <c r="D46" s="70" t="str">
        <f>CONCATENATE("(",C5-2," Column)")</f>
        <v>(2011 Column)</v>
      </c>
      <c r="E46" s="27"/>
    </row>
    <row r="47" spans="1:5">
      <c r="A47" s="27"/>
      <c r="B47" s="71" t="str">
        <f>B17</f>
        <v>General</v>
      </c>
      <c r="C47" s="72"/>
      <c r="D47" s="73">
        <v>49.267000000000003</v>
      </c>
      <c r="E47" s="27"/>
    </row>
    <row r="48" spans="1:5">
      <c r="A48" s="27"/>
      <c r="B48" s="71" t="str">
        <f>B18</f>
        <v>Debt Service</v>
      </c>
      <c r="C48" s="72"/>
      <c r="D48" s="73"/>
      <c r="E48" s="27"/>
    </row>
    <row r="49" spans="1:5">
      <c r="A49" s="27"/>
      <c r="B49" s="71" t="str">
        <f>B19</f>
        <v>Library</v>
      </c>
      <c r="C49" s="72"/>
      <c r="D49" s="73"/>
      <c r="E49" s="27"/>
    </row>
    <row r="50" spans="1:5">
      <c r="A50" s="27"/>
      <c r="B50" s="71" t="str">
        <f>B21</f>
        <v>Social Security</v>
      </c>
      <c r="C50" s="49"/>
      <c r="D50" s="73">
        <v>3.8690000000000002</v>
      </c>
      <c r="E50" s="27"/>
    </row>
    <row r="51" spans="1:5">
      <c r="A51" s="27"/>
      <c r="B51" s="71">
        <f>B22</f>
        <v>0</v>
      </c>
      <c r="C51" s="49"/>
      <c r="D51" s="73"/>
      <c r="E51" s="27"/>
    </row>
    <row r="52" spans="1:5">
      <c r="A52" s="27"/>
      <c r="B52" s="71">
        <f>B23</f>
        <v>0</v>
      </c>
      <c r="C52" s="49"/>
      <c r="D52" s="73"/>
      <c r="E52" s="27"/>
    </row>
    <row r="53" spans="1:5">
      <c r="A53" s="27"/>
      <c r="B53" s="71">
        <f>B24</f>
        <v>0</v>
      </c>
      <c r="C53" s="49"/>
      <c r="D53" s="73"/>
      <c r="E53" s="27"/>
    </row>
    <row r="54" spans="1:5">
      <c r="A54" s="54" t="s">
        <v>52</v>
      </c>
      <c r="B54" s="55"/>
      <c r="C54" s="66"/>
      <c r="D54" s="74">
        <f>SUM(D47:D53)</f>
        <v>53.136000000000003</v>
      </c>
      <c r="E54" s="27"/>
    </row>
    <row r="55" spans="1:5">
      <c r="A55" s="27"/>
      <c r="B55" s="27"/>
      <c r="C55" s="27"/>
      <c r="D55" s="27"/>
      <c r="E55" s="27"/>
    </row>
    <row r="56" spans="1:5">
      <c r="A56" s="75" t="str">
        <f>CONCATENATE("Total Tax Levied (",C5-2," budget column)")</f>
        <v>Total Tax Levied (2011 budget column)</v>
      </c>
      <c r="B56" s="76"/>
      <c r="C56" s="55"/>
      <c r="D56" s="66"/>
      <c r="E56" s="50">
        <v>17462</v>
      </c>
    </row>
    <row r="57" spans="1:5">
      <c r="A57" s="75" t="str">
        <f>CONCATENATE("Assessed Valuation  (",C5-2," budget column)")</f>
        <v>Assessed Valuation  (2011 budget column)</v>
      </c>
      <c r="B57" s="77"/>
      <c r="C57" s="78"/>
      <c r="D57" s="79"/>
      <c r="E57" s="50">
        <v>333696</v>
      </c>
    </row>
    <row r="58" spans="1:5">
      <c r="A58" s="27"/>
      <c r="B58" s="27"/>
      <c r="C58" s="27"/>
      <c r="D58" s="43"/>
      <c r="E58" s="51"/>
    </row>
    <row r="59" spans="1:5">
      <c r="A59" s="80" t="s">
        <v>24</v>
      </c>
      <c r="B59" s="80"/>
      <c r="C59" s="81"/>
      <c r="D59" s="82">
        <f>C5-3</f>
        <v>2010</v>
      </c>
      <c r="E59" s="83">
        <f>C5-2</f>
        <v>2011</v>
      </c>
    </row>
    <row r="60" spans="1:5">
      <c r="A60" s="84" t="s">
        <v>228</v>
      </c>
      <c r="B60" s="84"/>
      <c r="C60" s="85"/>
      <c r="D60" s="86"/>
      <c r="E60" s="86"/>
    </row>
    <row r="61" spans="1:5">
      <c r="A61" s="87" t="s">
        <v>229</v>
      </c>
      <c r="B61" s="87"/>
      <c r="C61" s="88"/>
      <c r="D61" s="86">
        <v>56200</v>
      </c>
      <c r="E61" s="86">
        <v>54900</v>
      </c>
    </row>
    <row r="62" spans="1:5">
      <c r="A62" s="87" t="s">
        <v>230</v>
      </c>
      <c r="B62" s="87"/>
      <c r="C62" s="88"/>
      <c r="D62" s="86"/>
      <c r="E62" s="86"/>
    </row>
    <row r="63" spans="1:5">
      <c r="A63" s="87" t="s">
        <v>231</v>
      </c>
      <c r="B63" s="87"/>
      <c r="C63" s="88"/>
      <c r="D63" s="86"/>
      <c r="E63" s="86"/>
    </row>
    <row r="70" spans="1:6" s="89" customFormat="1">
      <c r="A70" s="28"/>
      <c r="B70" s="28"/>
      <c r="C70" s="28"/>
      <c r="D70" s="28"/>
      <c r="E70" s="28"/>
      <c r="F70" s="452"/>
    </row>
  </sheetData>
  <mergeCells count="2">
    <mergeCell ref="A10:E10"/>
    <mergeCell ref="G8:H13"/>
  </mergeCells>
  <phoneticPr fontId="0" type="noConversion"/>
  <pageMargins left="0.5" right="0.5" top="0.75" bottom="0.5" header="0.5" footer="0.5"/>
  <pageSetup scale="70" orientation="portrait" blackAndWhite="1"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E68"/>
  <sheetViews>
    <sheetView zoomScaleNormal="100" workbookViewId="0"/>
  </sheetViews>
  <sheetFormatPr defaultRowHeight="15"/>
  <cols>
    <col min="1" max="1" width="15.77734375" style="89" customWidth="1"/>
    <col min="2" max="2" width="20.77734375" style="89" customWidth="1"/>
    <col min="3" max="3" width="9.77734375" style="89" customWidth="1"/>
    <col min="4" max="4" width="15.109375" style="89" customWidth="1"/>
    <col min="5" max="5" width="15.77734375" style="89" customWidth="1"/>
    <col min="6" max="16384" width="8.88671875" style="89"/>
  </cols>
  <sheetData>
    <row r="1" spans="1:5" ht="15.75">
      <c r="A1" s="90" t="str">
        <f>inputPrYr!$D$2</f>
        <v>City of Horace</v>
      </c>
      <c r="B1" s="91"/>
      <c r="C1" s="91"/>
      <c r="D1" s="91"/>
      <c r="E1" s="92">
        <f>inputPrYr!C5</f>
        <v>2013</v>
      </c>
    </row>
    <row r="2" spans="1:5">
      <c r="A2" s="91"/>
      <c r="B2" s="91"/>
      <c r="C2" s="91"/>
      <c r="D2" s="91"/>
      <c r="E2" s="91"/>
    </row>
    <row r="3" spans="1:5" ht="15.75">
      <c r="A3" s="580" t="s">
        <v>7</v>
      </c>
      <c r="B3" s="581"/>
      <c r="C3" s="581"/>
      <c r="D3" s="581"/>
      <c r="E3" s="581"/>
    </row>
    <row r="4" spans="1:5" ht="15.75">
      <c r="A4" s="38"/>
      <c r="B4" s="38"/>
      <c r="C4" s="38"/>
      <c r="D4" s="38"/>
      <c r="E4" s="38"/>
    </row>
    <row r="5" spans="1:5" ht="15.75">
      <c r="A5" s="38"/>
      <c r="B5" s="38"/>
      <c r="C5" s="38"/>
      <c r="D5" s="38"/>
      <c r="E5" s="38"/>
    </row>
    <row r="6" spans="1:5" ht="15.75">
      <c r="A6" s="41" t="s">
        <v>53</v>
      </c>
      <c r="B6" s="42"/>
      <c r="C6" s="27"/>
      <c r="D6" s="27"/>
      <c r="E6" s="51"/>
    </row>
    <row r="7" spans="1:5" ht="15.75">
      <c r="A7" s="93" t="str">
        <f>CONCATENATE("Total Assessed Valuation for ",E1-1,"")</f>
        <v>Total Assessed Valuation for 2012</v>
      </c>
      <c r="B7" s="78"/>
      <c r="C7" s="78"/>
      <c r="D7" s="78"/>
      <c r="E7" s="50">
        <v>344902</v>
      </c>
    </row>
    <row r="8" spans="1:5" ht="15.75">
      <c r="A8" s="93" t="str">
        <f>CONCATENATE("New Improvements for ",E1-1,"")</f>
        <v>New Improvements for 2012</v>
      </c>
      <c r="B8" s="78"/>
      <c r="C8" s="78"/>
      <c r="D8" s="78"/>
      <c r="E8" s="86">
        <v>6930</v>
      </c>
    </row>
    <row r="9" spans="1:5" ht="15.75">
      <c r="A9" s="93" t="str">
        <f>CONCATENATE("Personal Property excluding oil, gas, and mobile homes  - ",E1-1,"")</f>
        <v>Personal Property excluding oil, gas, and mobile homes  - 2012</v>
      </c>
      <c r="B9" s="78"/>
      <c r="C9" s="78"/>
      <c r="D9" s="78"/>
      <c r="E9" s="86">
        <v>53640</v>
      </c>
    </row>
    <row r="10" spans="1:5" ht="15.75">
      <c r="A10" s="94" t="s">
        <v>201</v>
      </c>
      <c r="B10" s="78"/>
      <c r="C10" s="78"/>
      <c r="D10" s="78"/>
      <c r="E10" s="71"/>
    </row>
    <row r="11" spans="1:5" ht="15.75">
      <c r="A11" s="93" t="s">
        <v>191</v>
      </c>
      <c r="B11" s="78"/>
      <c r="C11" s="78"/>
      <c r="D11" s="78"/>
      <c r="E11" s="86"/>
    </row>
    <row r="12" spans="1:5" ht="15.75">
      <c r="A12" s="93" t="s">
        <v>192</v>
      </c>
      <c r="B12" s="78"/>
      <c r="C12" s="78"/>
      <c r="D12" s="78"/>
      <c r="E12" s="86"/>
    </row>
    <row r="13" spans="1:5" ht="15.75">
      <c r="A13" s="93" t="s">
        <v>193</v>
      </c>
      <c r="B13" s="78"/>
      <c r="C13" s="78"/>
      <c r="D13" s="78"/>
      <c r="E13" s="86"/>
    </row>
    <row r="14" spans="1:5" ht="15.75">
      <c r="A14" s="93" t="str">
        <f>CONCATENATE("Property that has changed in use for ",E1-1,"")</f>
        <v>Property that has changed in use for 2012</v>
      </c>
      <c r="B14" s="78"/>
      <c r="C14" s="78"/>
      <c r="D14" s="78"/>
      <c r="E14" s="86">
        <v>0</v>
      </c>
    </row>
    <row r="15" spans="1:5" ht="15.75">
      <c r="A15" s="93" t="str">
        <f>CONCATENATE("Personal Property  excluding oil, gas, and mobile homes- ",E1-2,"")</f>
        <v>Personal Property  excluding oil, gas, and mobile homes- 2011</v>
      </c>
      <c r="B15" s="78"/>
      <c r="C15" s="78"/>
      <c r="D15" s="78"/>
      <c r="E15" s="86">
        <v>51012</v>
      </c>
    </row>
    <row r="16" spans="1:5" ht="15.75">
      <c r="A16" s="93" t="str">
        <f>CONCATENATE("Gross earnings (intangible) tax estimate for ",E1,"")</f>
        <v>Gross earnings (intangible) tax estimate for 2013</v>
      </c>
      <c r="B16" s="78"/>
      <c r="C16" s="78"/>
      <c r="D16" s="79"/>
      <c r="E16" s="50">
        <v>0</v>
      </c>
    </row>
    <row r="17" spans="1:5" ht="15.75">
      <c r="A17" s="93" t="s">
        <v>26</v>
      </c>
      <c r="B17" s="78"/>
      <c r="C17" s="78"/>
      <c r="D17" s="78"/>
      <c r="E17" s="86">
        <v>0</v>
      </c>
    </row>
    <row r="18" spans="1:5" ht="15.75">
      <c r="A18" s="62"/>
      <c r="B18" s="59"/>
      <c r="C18" s="59"/>
      <c r="D18" s="59"/>
      <c r="E18" s="64"/>
    </row>
    <row r="19" spans="1:5" ht="15.75">
      <c r="A19" s="62" t="str">
        <f>CONCATENATE("Actual Tax Rates for the ",E1-1," Budget:")</f>
        <v>Actual Tax Rates for the 2012 Budget:</v>
      </c>
      <c r="B19" s="59"/>
      <c r="C19" s="59"/>
      <c r="D19" s="59"/>
      <c r="E19" s="64"/>
    </row>
    <row r="20" spans="1:5" ht="15.75">
      <c r="A20" s="587" t="s">
        <v>68</v>
      </c>
      <c r="B20" s="527"/>
      <c r="C20" s="91"/>
      <c r="D20" s="95" t="s">
        <v>117</v>
      </c>
      <c r="E20" s="64"/>
    </row>
    <row r="21" spans="1:5" ht="15.75">
      <c r="A21" s="54" t="str">
        <f>inputPrYr!B17</f>
        <v>General</v>
      </c>
      <c r="B21" s="55"/>
      <c r="C21" s="59"/>
      <c r="D21" s="73">
        <v>50.988999999999997</v>
      </c>
      <c r="E21" s="64"/>
    </row>
    <row r="22" spans="1:5" ht="15.75">
      <c r="A22" s="54" t="str">
        <f>inputPrYr!B18</f>
        <v>Debt Service</v>
      </c>
      <c r="B22" s="78"/>
      <c r="C22" s="59"/>
      <c r="D22" s="73"/>
      <c r="E22" s="64"/>
    </row>
    <row r="23" spans="1:5" ht="15.75">
      <c r="A23" s="93" t="str">
        <f>inputPrYr!B19</f>
        <v>Library</v>
      </c>
      <c r="B23" s="78"/>
      <c r="C23" s="59"/>
      <c r="D23" s="73"/>
      <c r="E23" s="64"/>
    </row>
    <row r="24" spans="1:5" ht="15.75">
      <c r="A24" s="93" t="str">
        <f>inputPrYr!B21</f>
        <v>Social Security</v>
      </c>
      <c r="B24" s="78"/>
      <c r="C24" s="59"/>
      <c r="D24" s="73">
        <v>2.6360000000000001</v>
      </c>
      <c r="E24" s="64"/>
    </row>
    <row r="25" spans="1:5" ht="15.75">
      <c r="A25" s="93">
        <f>inputPrYr!B22</f>
        <v>0</v>
      </c>
      <c r="B25" s="78"/>
      <c r="C25" s="59"/>
      <c r="D25" s="73"/>
      <c r="E25" s="64"/>
    </row>
    <row r="26" spans="1:5" ht="15.75">
      <c r="A26" s="93">
        <f>inputPrYr!B23</f>
        <v>0</v>
      </c>
      <c r="B26" s="96"/>
      <c r="C26" s="59"/>
      <c r="D26" s="73"/>
      <c r="E26" s="64"/>
    </row>
    <row r="27" spans="1:5" ht="15.75">
      <c r="A27" s="93">
        <f>inputPrYr!B24</f>
        <v>0</v>
      </c>
      <c r="B27" s="96"/>
      <c r="C27" s="59"/>
      <c r="D27" s="73"/>
      <c r="E27" s="64"/>
    </row>
    <row r="28" spans="1:5" ht="15.75">
      <c r="A28" s="97"/>
      <c r="B28" s="49" t="s">
        <v>52</v>
      </c>
      <c r="C28" s="98"/>
      <c r="D28" s="74">
        <f>SUM(D21:D27)</f>
        <v>53.625</v>
      </c>
      <c r="E28" s="97"/>
    </row>
    <row r="29" spans="1:5">
      <c r="A29" s="97"/>
      <c r="B29" s="97"/>
      <c r="C29" s="97"/>
      <c r="D29" s="97"/>
      <c r="E29" s="97"/>
    </row>
    <row r="30" spans="1:5" ht="15.75">
      <c r="A30" s="55" t="str">
        <f>CONCATENATE("Final Assessed Valuation from the November 1, ",E1-2," Abstract")</f>
        <v>Final Assessed Valuation from the November 1, 2011 Abstract</v>
      </c>
      <c r="B30" s="99"/>
      <c r="C30" s="99"/>
      <c r="D30" s="99"/>
      <c r="E30" s="86">
        <v>336958</v>
      </c>
    </row>
    <row r="31" spans="1:5">
      <c r="A31" s="97"/>
      <c r="B31" s="97"/>
      <c r="C31" s="97"/>
      <c r="D31" s="97"/>
      <c r="E31" s="97"/>
    </row>
    <row r="32" spans="1:5" ht="15.75">
      <c r="A32" s="100" t="s">
        <v>202</v>
      </c>
      <c r="B32" s="40"/>
      <c r="C32" s="40"/>
      <c r="D32" s="101"/>
      <c r="E32" s="51"/>
    </row>
    <row r="33" spans="1:5" ht="15.75">
      <c r="A33" s="54" t="s">
        <v>54</v>
      </c>
      <c r="B33" s="55"/>
      <c r="C33" s="55"/>
      <c r="D33" s="102"/>
      <c r="E33" s="50">
        <v>3975</v>
      </c>
    </row>
    <row r="34" spans="1:5" ht="15.75">
      <c r="A34" s="93" t="s">
        <v>55</v>
      </c>
      <c r="B34" s="78"/>
      <c r="C34" s="78"/>
      <c r="D34" s="103"/>
      <c r="E34" s="50">
        <v>178</v>
      </c>
    </row>
    <row r="35" spans="1:5" ht="15.75">
      <c r="A35" s="93" t="s">
        <v>144</v>
      </c>
      <c r="B35" s="78"/>
      <c r="C35" s="78"/>
      <c r="D35" s="103"/>
      <c r="E35" s="50">
        <v>12</v>
      </c>
    </row>
    <row r="36" spans="1:5" ht="15.75">
      <c r="A36" s="93" t="s">
        <v>42</v>
      </c>
      <c r="B36" s="78"/>
      <c r="C36" s="78"/>
      <c r="D36" s="103"/>
      <c r="E36" s="50"/>
    </row>
    <row r="37" spans="1:5" ht="15.75">
      <c r="A37" s="93" t="s">
        <v>44</v>
      </c>
      <c r="B37" s="78"/>
      <c r="C37" s="78"/>
      <c r="D37" s="103"/>
      <c r="E37" s="50"/>
    </row>
    <row r="38" spans="1:5" ht="15.75">
      <c r="A38" s="27" t="s">
        <v>180</v>
      </c>
      <c r="B38" s="27"/>
      <c r="C38" s="27"/>
      <c r="D38" s="27"/>
      <c r="E38" s="27"/>
    </row>
    <row r="39" spans="1:5" ht="15.75">
      <c r="A39" s="29" t="s">
        <v>75</v>
      </c>
      <c r="B39" s="36"/>
      <c r="C39" s="36"/>
      <c r="D39" s="27"/>
      <c r="E39" s="27"/>
    </row>
    <row r="40" spans="1:5" ht="15.75">
      <c r="A40" s="54" t="str">
        <f>CONCATENATE("Actual Delinquency for ",E1-3," Tax - (rate .01213 = 1.213%, key in 1.2)")</f>
        <v>Actual Delinquency for 2010 Tax - (rate .01213 = 1.213%, key in 1.2)</v>
      </c>
      <c r="B40" s="55"/>
      <c r="C40" s="55"/>
      <c r="D40" s="66"/>
      <c r="E40" s="475">
        <v>0</v>
      </c>
    </row>
    <row r="41" spans="1:5" ht="15.75">
      <c r="A41" s="93" t="s">
        <v>293</v>
      </c>
      <c r="B41" s="93"/>
      <c r="C41" s="78"/>
      <c r="D41" s="79"/>
      <c r="E41" s="476">
        <v>0</v>
      </c>
    </row>
    <row r="42" spans="1:5" ht="15.75">
      <c r="A42" s="104" t="s">
        <v>4</v>
      </c>
      <c r="B42" s="104"/>
      <c r="C42" s="105"/>
      <c r="D42" s="105"/>
      <c r="E42" s="106"/>
    </row>
    <row r="43" spans="1:5" ht="15.75">
      <c r="A43" s="27"/>
      <c r="B43" s="27"/>
      <c r="C43" s="27"/>
      <c r="D43" s="27"/>
      <c r="E43" s="27"/>
    </row>
    <row r="44" spans="1:5" ht="15.75">
      <c r="A44" s="107" t="s">
        <v>25</v>
      </c>
      <c r="B44" s="108"/>
      <c r="C44" s="109"/>
      <c r="D44" s="109"/>
      <c r="E44" s="109"/>
    </row>
    <row r="45" spans="1:5" ht="15.75">
      <c r="A45" s="110" t="str">
        <f>CONCATENATE("",E1," State Distribution for Kansas Gas Tax")</f>
        <v>2013 State Distribution for Kansas Gas Tax</v>
      </c>
      <c r="B45" s="111"/>
      <c r="C45" s="111"/>
      <c r="D45" s="112"/>
      <c r="E45" s="86">
        <v>1820</v>
      </c>
    </row>
    <row r="46" spans="1:5" ht="15.75">
      <c r="A46" s="113" t="str">
        <f>CONCATENATE("",E1," County Transfers for Gas***")</f>
        <v>2013 County Transfers for Gas***</v>
      </c>
      <c r="B46" s="114"/>
      <c r="C46" s="114"/>
      <c r="D46" s="115"/>
      <c r="E46" s="86"/>
    </row>
    <row r="47" spans="1:5" ht="15.75">
      <c r="A47" s="113" t="str">
        <f>CONCATENATE("Adjusted ",E1-1," State Distribution for Kansas Gas Tax")</f>
        <v>Adjusted 2012 State Distribution for Kansas Gas Tax</v>
      </c>
      <c r="B47" s="114"/>
      <c r="C47" s="114"/>
      <c r="D47" s="115"/>
      <c r="E47" s="86">
        <v>1810</v>
      </c>
    </row>
    <row r="48" spans="1:5" ht="15.75">
      <c r="A48" s="113" t="str">
        <f>CONCATENATE("Adjusted ",E1-1," County Transfers for Gas***")</f>
        <v>Adjusted 2012 County Transfers for Gas***</v>
      </c>
      <c r="B48" s="114"/>
      <c r="C48" s="114"/>
      <c r="D48" s="115"/>
      <c r="E48" s="86"/>
    </row>
    <row r="49" spans="1:5" ht="18" customHeight="1">
      <c r="A49" s="588" t="s">
        <v>5</v>
      </c>
      <c r="B49" s="589"/>
      <c r="C49" s="589"/>
      <c r="D49" s="589"/>
      <c r="E49" s="589"/>
    </row>
    <row r="50" spans="1:5">
      <c r="A50" s="116" t="s">
        <v>6</v>
      </c>
      <c r="B50" s="116"/>
      <c r="C50" s="116"/>
      <c r="D50" s="116"/>
      <c r="E50" s="116"/>
    </row>
    <row r="51" spans="1:5">
      <c r="A51" s="91"/>
      <c r="B51" s="91"/>
      <c r="C51" s="91"/>
      <c r="D51" s="91"/>
      <c r="E51" s="91"/>
    </row>
    <row r="52" spans="1:5" ht="15.75">
      <c r="A52" s="590" t="str">
        <f>CONCATENATE("From the ",E1-2," Budget Certificate Page")</f>
        <v>From the 2011 Budget Certificate Page</v>
      </c>
      <c r="B52" s="591"/>
      <c r="C52" s="91"/>
      <c r="D52" s="91"/>
      <c r="E52" s="91"/>
    </row>
    <row r="53" spans="1:5" ht="15.75">
      <c r="A53" s="117"/>
      <c r="B53" s="117" t="str">
        <f>CONCATENATE("",E1-2," Expenditure Amounts")</f>
        <v>2011 Expenditure Amounts</v>
      </c>
      <c r="C53" s="585" t="str">
        <f>CONCATENATE("Note: If the ",E1-2," budget was amended, then the")</f>
        <v>Note: If the 2011 budget was amended, then the</v>
      </c>
      <c r="D53" s="586"/>
      <c r="E53" s="586"/>
    </row>
    <row r="54" spans="1:5" ht="15.75">
      <c r="A54" s="118" t="s">
        <v>30</v>
      </c>
      <c r="B54" s="118" t="s">
        <v>29</v>
      </c>
      <c r="C54" s="119" t="s">
        <v>27</v>
      </c>
      <c r="D54" s="120"/>
      <c r="E54" s="120"/>
    </row>
    <row r="55" spans="1:5" ht="15.75">
      <c r="A55" s="121" t="str">
        <f>inputPrYr!B17</f>
        <v>General</v>
      </c>
      <c r="B55" s="86">
        <v>69500</v>
      </c>
      <c r="C55" s="119" t="s">
        <v>28</v>
      </c>
      <c r="D55" s="120"/>
      <c r="E55" s="120"/>
    </row>
    <row r="56" spans="1:5" ht="15.75">
      <c r="A56" s="121" t="str">
        <f>inputPrYr!B18</f>
        <v>Debt Service</v>
      </c>
      <c r="B56" s="86"/>
      <c r="C56" s="119"/>
      <c r="D56" s="120"/>
      <c r="E56" s="120"/>
    </row>
    <row r="57" spans="1:5" ht="15.75">
      <c r="A57" s="121" t="str">
        <f>inputPrYr!B19</f>
        <v>Library</v>
      </c>
      <c r="B57" s="86"/>
      <c r="C57" s="91"/>
      <c r="D57" s="91"/>
      <c r="E57" s="91"/>
    </row>
    <row r="58" spans="1:5" ht="15.75">
      <c r="A58" s="121" t="str">
        <f>inputPrYr!B21</f>
        <v>Social Security</v>
      </c>
      <c r="B58" s="86">
        <v>2600</v>
      </c>
      <c r="C58" s="91"/>
      <c r="D58" s="91"/>
      <c r="E58" s="91"/>
    </row>
    <row r="59" spans="1:5" ht="15.75">
      <c r="A59" s="121">
        <f>inputPrYr!B22</f>
        <v>0</v>
      </c>
      <c r="B59" s="86"/>
      <c r="C59" s="91"/>
      <c r="D59" s="91"/>
      <c r="E59" s="91"/>
    </row>
    <row r="60" spans="1:5" ht="15.75">
      <c r="A60" s="121">
        <f>inputPrYr!B23</f>
        <v>0</v>
      </c>
      <c r="B60" s="86"/>
      <c r="C60" s="91"/>
      <c r="D60" s="91"/>
      <c r="E60" s="91"/>
    </row>
    <row r="61" spans="1:5" ht="15.75">
      <c r="A61" s="121">
        <f>inputPrYr!B24</f>
        <v>0</v>
      </c>
      <c r="B61" s="86"/>
      <c r="C61" s="91"/>
      <c r="D61" s="91"/>
      <c r="E61" s="91"/>
    </row>
    <row r="62" spans="1:5" ht="15.75">
      <c r="A62" s="121" t="str">
        <f>inputPrYr!B28</f>
        <v>Special Highway</v>
      </c>
      <c r="B62" s="86">
        <v>9000</v>
      </c>
      <c r="C62" s="91"/>
      <c r="D62" s="91"/>
      <c r="E62" s="91"/>
    </row>
    <row r="63" spans="1:5" ht="15.75">
      <c r="A63" s="121" t="str">
        <f>inputPrYr!B29</f>
        <v>Water Utility</v>
      </c>
      <c r="B63" s="86">
        <v>38732</v>
      </c>
      <c r="C63" s="91"/>
      <c r="D63" s="91"/>
      <c r="E63" s="91"/>
    </row>
    <row r="64" spans="1:5" ht="15.75">
      <c r="A64" s="121" t="str">
        <f>inputPrYr!B30</f>
        <v>Sewer Utility</v>
      </c>
      <c r="B64" s="86">
        <v>5500</v>
      </c>
      <c r="C64" s="91"/>
      <c r="D64" s="91"/>
      <c r="E64" s="91"/>
    </row>
    <row r="65" spans="1:5" ht="15.75">
      <c r="A65" s="121" t="str">
        <f>inputPrYr!B31</f>
        <v>Water Utility Debt Service</v>
      </c>
      <c r="B65" s="86">
        <v>4875</v>
      </c>
      <c r="C65" s="91"/>
      <c r="D65" s="91"/>
      <c r="E65" s="91"/>
    </row>
    <row r="66" spans="1:5" ht="15.75">
      <c r="A66" s="121">
        <f>inputPrYr!B32</f>
        <v>0</v>
      </c>
      <c r="B66" s="86"/>
      <c r="C66" s="91"/>
      <c r="D66" s="91"/>
      <c r="E66" s="91"/>
    </row>
    <row r="67" spans="1:5" ht="15.75">
      <c r="A67" s="121">
        <f>inputPrYr!B33</f>
        <v>0</v>
      </c>
      <c r="B67" s="86"/>
      <c r="C67" s="91"/>
      <c r="D67" s="91"/>
      <c r="E67" s="91"/>
    </row>
    <row r="68" spans="1:5" ht="15.75">
      <c r="A68" s="121">
        <f>inputPrYr!B35</f>
        <v>0</v>
      </c>
      <c r="B68" s="86"/>
      <c r="C68" s="91"/>
      <c r="D68" s="91"/>
      <c r="E68" s="91"/>
    </row>
  </sheetData>
  <sheetProtection sheet="1"/>
  <mergeCells count="5">
    <mergeCell ref="C53:E53"/>
    <mergeCell ref="A20:B20"/>
    <mergeCell ref="A49:E49"/>
    <mergeCell ref="A3:E3"/>
    <mergeCell ref="A52:B52"/>
  </mergeCells>
  <phoneticPr fontId="10" type="noConversion"/>
  <pageMargins left="0.75" right="0.75" top="1" bottom="1" header="0.5" footer="0.5"/>
  <pageSetup scale="68" orientation="portrait" blackAndWhite="1"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J27"/>
  <sheetViews>
    <sheetView zoomScaleNormal="100" workbookViewId="0"/>
  </sheetViews>
  <sheetFormatPr defaultRowHeight="15"/>
  <cols>
    <col min="1" max="1" width="13.77734375" customWidth="1"/>
    <col min="2" max="2" width="16.109375" customWidth="1"/>
  </cols>
  <sheetData>
    <row r="1" spans="1:10">
      <c r="J1" s="445" t="s">
        <v>270</v>
      </c>
    </row>
    <row r="2" spans="1:10" ht="54" customHeight="1">
      <c r="A2" s="592" t="s">
        <v>237</v>
      </c>
      <c r="B2" s="593"/>
      <c r="C2" s="593"/>
      <c r="D2" s="593"/>
      <c r="E2" s="593"/>
      <c r="F2" s="593"/>
      <c r="J2" s="445" t="s">
        <v>271</v>
      </c>
    </row>
    <row r="3" spans="1:10" ht="15.75">
      <c r="A3" s="1" t="s">
        <v>282</v>
      </c>
      <c r="B3" s="308" t="s">
        <v>358</v>
      </c>
      <c r="C3" s="441"/>
      <c r="J3" s="445" t="s">
        <v>272</v>
      </c>
    </row>
    <row r="4" spans="1:10" ht="15.75">
      <c r="A4" s="1"/>
      <c r="B4" s="451"/>
      <c r="J4" s="445" t="s">
        <v>273</v>
      </c>
    </row>
    <row r="5" spans="1:10" ht="15.75">
      <c r="A5" s="1" t="s">
        <v>254</v>
      </c>
      <c r="B5" s="308" t="s">
        <v>211</v>
      </c>
      <c r="J5" s="445" t="s">
        <v>274</v>
      </c>
    </row>
    <row r="6" spans="1:10" ht="15.75">
      <c r="A6" s="306"/>
      <c r="B6" s="306"/>
      <c r="C6" s="306"/>
      <c r="D6" s="307"/>
      <c r="E6" s="306"/>
      <c r="F6" s="306"/>
      <c r="J6" s="445" t="s">
        <v>275</v>
      </c>
    </row>
    <row r="7" spans="1:10" ht="15.75">
      <c r="A7" s="307" t="s">
        <v>238</v>
      </c>
      <c r="B7" s="308" t="s">
        <v>362</v>
      </c>
      <c r="C7" s="309"/>
      <c r="D7" s="440"/>
      <c r="E7" s="306"/>
      <c r="F7" s="306"/>
      <c r="J7" s="445" t="s">
        <v>276</v>
      </c>
    </row>
    <row r="8" spans="1:10" ht="15.75">
      <c r="A8" s="307"/>
      <c r="B8" s="310"/>
      <c r="C8" s="311"/>
      <c r="D8" s="440"/>
      <c r="E8" s="306"/>
      <c r="F8" s="306"/>
      <c r="J8" s="445" t="s">
        <v>277</v>
      </c>
    </row>
    <row r="9" spans="1:10" ht="15.75">
      <c r="A9" s="307" t="s">
        <v>239</v>
      </c>
      <c r="B9" s="441" t="s">
        <v>359</v>
      </c>
      <c r="C9" s="312"/>
      <c r="D9" s="307"/>
      <c r="E9" s="306"/>
      <c r="F9" s="306"/>
      <c r="J9" s="445" t="s">
        <v>278</v>
      </c>
    </row>
    <row r="10" spans="1:10" ht="15.75">
      <c r="A10" s="307"/>
      <c r="B10" s="440"/>
      <c r="C10" s="307"/>
      <c r="D10" s="307"/>
      <c r="E10" s="306"/>
      <c r="F10" s="306"/>
      <c r="J10" s="445" t="s">
        <v>279</v>
      </c>
    </row>
    <row r="11" spans="1:10" ht="15.75">
      <c r="A11" s="307" t="s">
        <v>240</v>
      </c>
      <c r="B11" s="442" t="s">
        <v>245</v>
      </c>
      <c r="C11" s="313"/>
      <c r="D11" s="313"/>
      <c r="E11" s="314"/>
      <c r="F11" s="306"/>
      <c r="J11" s="445" t="s">
        <v>280</v>
      </c>
    </row>
    <row r="12" spans="1:10" ht="15.75">
      <c r="A12" s="307"/>
      <c r="B12" s="440"/>
      <c r="C12" s="307"/>
      <c r="D12" s="307"/>
      <c r="E12" s="306"/>
      <c r="F12" s="306"/>
      <c r="J12" s="445" t="s">
        <v>281</v>
      </c>
    </row>
    <row r="13" spans="1:10" ht="15.75">
      <c r="A13" s="307"/>
      <c r="B13" s="440"/>
      <c r="C13" s="307"/>
      <c r="D13" s="307"/>
      <c r="E13" s="306"/>
      <c r="F13" s="306"/>
    </row>
    <row r="14" spans="1:10" ht="15.75">
      <c r="A14" s="307" t="s">
        <v>241</v>
      </c>
      <c r="B14" s="442" t="s">
        <v>245</v>
      </c>
      <c r="C14" s="313"/>
      <c r="D14" s="313"/>
      <c r="E14" s="314"/>
      <c r="F14" s="306"/>
    </row>
    <row r="17" spans="1:7" ht="15.75">
      <c r="A17" s="594" t="s">
        <v>242</v>
      </c>
      <c r="B17" s="594"/>
      <c r="C17" s="307"/>
      <c r="D17" s="307"/>
      <c r="E17" s="307"/>
      <c r="F17" s="306"/>
    </row>
    <row r="18" spans="1:7" ht="15.75">
      <c r="A18" s="307"/>
      <c r="B18" s="307"/>
      <c r="C18" s="307"/>
      <c r="D18" s="307"/>
      <c r="E18" s="307"/>
      <c r="F18" s="306"/>
      <c r="G18" s="445" t="e">
        <f ca="1">IF(B7="","",INDIRECT(G19))</f>
        <v>#VALUE!</v>
      </c>
    </row>
    <row r="19" spans="1:7" ht="15.75">
      <c r="A19" s="307" t="s">
        <v>254</v>
      </c>
      <c r="B19" s="307" t="s">
        <v>255</v>
      </c>
      <c r="C19" s="307"/>
      <c r="D19" s="307"/>
      <c r="E19" s="307"/>
      <c r="F19" s="306"/>
      <c r="G19" s="446" t="e">
        <f>IF(B7="","",CONCATENATE("J",G21))</f>
        <v>#VALUE!</v>
      </c>
    </row>
    <row r="20" spans="1:7" ht="15.75">
      <c r="A20" s="307"/>
      <c r="B20" s="307"/>
      <c r="C20" s="307"/>
      <c r="D20" s="307"/>
      <c r="E20" s="307"/>
      <c r="F20" s="306"/>
      <c r="G20" s="447" t="e">
        <f>B7-10</f>
        <v>#VALUE!</v>
      </c>
    </row>
    <row r="21" spans="1:7" ht="15.75">
      <c r="A21" s="307" t="s">
        <v>238</v>
      </c>
      <c r="B21" s="310" t="s">
        <v>243</v>
      </c>
      <c r="C21" s="307"/>
      <c r="D21" s="307"/>
      <c r="E21" s="307"/>
      <c r="G21" s="448" t="e">
        <f>IF(B7="","",MONTH(G20))</f>
        <v>#VALUE!</v>
      </c>
    </row>
    <row r="22" spans="1:7" ht="15.75">
      <c r="A22" s="307"/>
      <c r="B22" s="307"/>
      <c r="C22" s="307"/>
      <c r="D22" s="307"/>
      <c r="E22" s="307"/>
      <c r="G22" s="449" t="e">
        <f>IF(B7="","",DAY(G20))</f>
        <v>#VALUE!</v>
      </c>
    </row>
    <row r="23" spans="1:7" ht="15.75">
      <c r="A23" s="307" t="s">
        <v>239</v>
      </c>
      <c r="B23" s="307" t="s">
        <v>244</v>
      </c>
      <c r="C23" s="307"/>
      <c r="D23" s="307"/>
      <c r="E23" s="307"/>
      <c r="G23" s="450" t="e">
        <f>IF(B7="","",YEAR(G20))</f>
        <v>#VALUE!</v>
      </c>
    </row>
    <row r="24" spans="1:7" ht="15.75">
      <c r="A24" s="307"/>
      <c r="B24" s="307"/>
      <c r="C24" s="307"/>
      <c r="D24" s="307"/>
      <c r="E24" s="307"/>
    </row>
    <row r="25" spans="1:7" ht="15.75">
      <c r="A25" s="307" t="s">
        <v>240</v>
      </c>
      <c r="B25" s="307" t="s">
        <v>245</v>
      </c>
      <c r="C25" s="307"/>
      <c r="D25" s="307"/>
      <c r="E25" s="307"/>
    </row>
    <row r="26" spans="1:7" ht="15.75">
      <c r="A26" s="307"/>
      <c r="B26" s="307"/>
      <c r="C26" s="307"/>
      <c r="D26" s="307"/>
      <c r="E26" s="307"/>
    </row>
    <row r="27" spans="1:7" ht="15.75">
      <c r="A27" s="307" t="s">
        <v>241</v>
      </c>
      <c r="B27" s="307" t="s">
        <v>245</v>
      </c>
      <c r="C27" s="307"/>
      <c r="D27" s="307"/>
      <c r="E27" s="307"/>
    </row>
  </sheetData>
  <mergeCells count="2">
    <mergeCell ref="A2:F2"/>
    <mergeCell ref="A17:B17"/>
  </mergeCells>
  <pageMargins left="0.7" right="0.7" top="0.75" bottom="0.75" header="0.3" footer="0.3"/>
  <pageSetup scale="85" orientation="portrait" blackAndWhite="1" r:id="rId1"/>
</worksheet>
</file>

<file path=xl/worksheets/sheet2.xml><?xml version="1.0" encoding="utf-8"?>
<worksheet xmlns="http://schemas.openxmlformats.org/spreadsheetml/2006/main" xmlns:r="http://schemas.openxmlformats.org/officeDocument/2006/relationships">
  <dimension ref="A1"/>
  <sheetViews>
    <sheetView zoomScale="41" zoomScaleNormal="41" workbookViewId="0"/>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zoomScaleNormal="100" workbookViewId="0"/>
  </sheetViews>
  <sheetFormatPr defaultRowHeight="15.95" customHeight="1"/>
  <cols>
    <col min="1" max="2" width="3.33203125" style="24" customWidth="1"/>
    <col min="3" max="3" width="31.33203125" style="24" customWidth="1"/>
    <col min="4" max="4" width="2.33203125" style="24" customWidth="1"/>
    <col min="5" max="5" width="15.77734375" style="24" customWidth="1"/>
    <col min="6" max="6" width="2" style="24" customWidth="1"/>
    <col min="7" max="7" width="15.77734375" style="24" customWidth="1"/>
    <col min="8" max="8" width="1.88671875" style="24" customWidth="1"/>
    <col min="9" max="9" width="1.77734375" style="24" customWidth="1"/>
    <col min="10" max="10" width="15.77734375" style="24" customWidth="1"/>
    <col min="11" max="16384" width="8.88671875" style="24"/>
  </cols>
  <sheetData>
    <row r="1" spans="1:10" ht="15.95" customHeight="1">
      <c r="A1" s="27"/>
      <c r="B1" s="27"/>
      <c r="C1" s="162" t="str">
        <f>inputPrYr!D2</f>
        <v>City of Horace</v>
      </c>
      <c r="D1" s="27"/>
      <c r="E1" s="27"/>
      <c r="F1" s="27"/>
      <c r="G1" s="27"/>
      <c r="H1" s="27"/>
      <c r="I1" s="27"/>
      <c r="J1" s="123">
        <f>inputPrYr!$C$5</f>
        <v>2013</v>
      </c>
    </row>
    <row r="2" spans="1:10" ht="15.95" customHeight="1">
      <c r="A2" s="27"/>
      <c r="B2" s="27"/>
      <c r="C2" s="27"/>
      <c r="D2" s="27"/>
      <c r="E2" s="27"/>
      <c r="F2" s="27"/>
      <c r="G2" s="27"/>
      <c r="H2" s="27"/>
      <c r="I2" s="27"/>
      <c r="J2" s="27"/>
    </row>
    <row r="3" spans="1:10" ht="15.75">
      <c r="A3" s="537" t="str">
        <f>CONCATENATE("Computation to Determine Limit for ",J1)</f>
        <v>Computation to Determine Limit for 2013</v>
      </c>
      <c r="B3" s="538"/>
      <c r="C3" s="538"/>
      <c r="D3" s="538"/>
      <c r="E3" s="538"/>
      <c r="F3" s="538"/>
      <c r="G3" s="538"/>
      <c r="H3" s="538"/>
      <c r="I3" s="538"/>
      <c r="J3" s="538"/>
    </row>
    <row r="4" spans="1:10" ht="15.75">
      <c r="A4" s="27"/>
      <c r="B4" s="27"/>
      <c r="C4" s="27"/>
      <c r="D4" s="27"/>
      <c r="E4" s="538"/>
      <c r="F4" s="538"/>
      <c r="G4" s="538"/>
      <c r="H4" s="163"/>
      <c r="I4" s="27"/>
      <c r="J4" s="164" t="s">
        <v>150</v>
      </c>
    </row>
    <row r="5" spans="1:10" ht="15.75">
      <c r="A5" s="165" t="s">
        <v>151</v>
      </c>
      <c r="B5" s="27" t="str">
        <f>CONCATENATE("Total Tax Levy Amount in ",J1-1," Budget")</f>
        <v>Total Tax Levy Amount in 2012 Budget</v>
      </c>
      <c r="C5" s="27"/>
      <c r="D5" s="27"/>
      <c r="E5" s="51"/>
      <c r="F5" s="51"/>
      <c r="G5" s="51"/>
      <c r="H5" s="166" t="s">
        <v>152</v>
      </c>
      <c r="I5" s="51" t="s">
        <v>153</v>
      </c>
      <c r="J5" s="167">
        <f>inputPrYr!E25</f>
        <v>18069</v>
      </c>
    </row>
    <row r="6" spans="1:10" ht="15.75">
      <c r="A6" s="165" t="s">
        <v>154</v>
      </c>
      <c r="B6" s="27" t="str">
        <f>CONCATENATE("Debt Service Levy in ",J1-1, " Budget")</f>
        <v>Debt Service Levy in 2012 Budget</v>
      </c>
      <c r="C6" s="27"/>
      <c r="D6" s="27"/>
      <c r="E6" s="51"/>
      <c r="F6" s="51"/>
      <c r="G6" s="51"/>
      <c r="H6" s="166" t="s">
        <v>155</v>
      </c>
      <c r="I6" s="51" t="s">
        <v>153</v>
      </c>
      <c r="J6" s="168">
        <f>inputPrYr!$E$18</f>
        <v>0</v>
      </c>
    </row>
    <row r="7" spans="1:10" ht="15.75">
      <c r="A7" s="165" t="s">
        <v>177</v>
      </c>
      <c r="B7" s="44" t="s">
        <v>181</v>
      </c>
      <c r="C7" s="27"/>
      <c r="D7" s="27"/>
      <c r="E7" s="51"/>
      <c r="F7" s="51"/>
      <c r="G7" s="51"/>
      <c r="H7" s="51"/>
      <c r="I7" s="51" t="s">
        <v>153</v>
      </c>
      <c r="J7" s="56">
        <f>J5-J6</f>
        <v>18069</v>
      </c>
    </row>
    <row r="8" spans="1:10" ht="15.75">
      <c r="A8" s="27"/>
      <c r="B8" s="27"/>
      <c r="C8" s="27"/>
      <c r="D8" s="27"/>
      <c r="E8" s="51"/>
      <c r="F8" s="51"/>
      <c r="G8" s="51"/>
      <c r="H8" s="51"/>
      <c r="I8" s="51"/>
      <c r="J8" s="51"/>
    </row>
    <row r="9" spans="1:10" ht="15.75">
      <c r="A9" s="27"/>
      <c r="B9" s="44" t="str">
        <f>CONCATENATE(J1-1," Valuation Information for Valuation Adjustments:")</f>
        <v>2012 Valuation Information for Valuation Adjustments:</v>
      </c>
      <c r="C9" s="27"/>
      <c r="D9" s="27"/>
      <c r="E9" s="51"/>
      <c r="F9" s="51"/>
      <c r="G9" s="51"/>
      <c r="H9" s="51"/>
      <c r="I9" s="51"/>
      <c r="J9" s="51"/>
    </row>
    <row r="10" spans="1:10" ht="15.75">
      <c r="A10" s="27"/>
      <c r="B10" s="27"/>
      <c r="C10" s="44"/>
      <c r="D10" s="27"/>
      <c r="E10" s="51"/>
      <c r="F10" s="51"/>
      <c r="G10" s="51"/>
      <c r="H10" s="51"/>
      <c r="I10" s="51"/>
      <c r="J10" s="51"/>
    </row>
    <row r="11" spans="1:10" ht="15.75">
      <c r="A11" s="165" t="s">
        <v>156</v>
      </c>
      <c r="B11" s="44" t="str">
        <f>CONCATENATE("New Improvements for ",J1-1," :")</f>
        <v>New Improvements for 2012 :</v>
      </c>
      <c r="C11" s="27"/>
      <c r="D11" s="27"/>
      <c r="E11" s="166"/>
      <c r="F11" s="166" t="s">
        <v>152</v>
      </c>
      <c r="G11" s="167">
        <f>inputOth!E8</f>
        <v>6930</v>
      </c>
      <c r="H11" s="169"/>
      <c r="I11" s="51"/>
      <c r="J11" s="51"/>
    </row>
    <row r="12" spans="1:10" ht="15.75">
      <c r="A12" s="165"/>
      <c r="B12" s="170"/>
      <c r="C12" s="27"/>
      <c r="D12" s="27"/>
      <c r="E12" s="166"/>
      <c r="F12" s="166"/>
      <c r="G12" s="169"/>
      <c r="H12" s="169"/>
      <c r="I12" s="51"/>
      <c r="J12" s="51"/>
    </row>
    <row r="13" spans="1:10" ht="15.75">
      <c r="A13" s="165" t="s">
        <v>157</v>
      </c>
      <c r="B13" s="44" t="str">
        <f>CONCATENATE("Increase in Personal Property for ",J1-1," :")</f>
        <v>Increase in Personal Property for 2012 :</v>
      </c>
      <c r="C13" s="27"/>
      <c r="D13" s="27"/>
      <c r="E13" s="166"/>
      <c r="F13" s="166"/>
      <c r="G13" s="169"/>
      <c r="H13" s="169"/>
      <c r="I13" s="51"/>
      <c r="J13" s="51"/>
    </row>
    <row r="14" spans="1:10" ht="15.75">
      <c r="A14" s="171"/>
      <c r="B14" s="27" t="s">
        <v>158</v>
      </c>
      <c r="C14" s="27" t="str">
        <f>CONCATENATE("Personal Property ",J1-1)</f>
        <v>Personal Property 2012</v>
      </c>
      <c r="D14" s="170" t="s">
        <v>152</v>
      </c>
      <c r="E14" s="167">
        <f>inputOth!E9</f>
        <v>53640</v>
      </c>
      <c r="F14" s="166"/>
      <c r="G14" s="51"/>
      <c r="H14" s="51"/>
      <c r="I14" s="169"/>
      <c r="J14" s="51"/>
    </row>
    <row r="15" spans="1:10" ht="15.75">
      <c r="A15" s="170"/>
      <c r="B15" s="27" t="s">
        <v>159</v>
      </c>
      <c r="C15" s="27" t="str">
        <f>CONCATENATE("Personal Property ",J1-2)</f>
        <v>Personal Property 2011</v>
      </c>
      <c r="D15" s="170" t="s">
        <v>155</v>
      </c>
      <c r="E15" s="56">
        <f>inputOth!E15</f>
        <v>51012</v>
      </c>
      <c r="F15" s="166"/>
      <c r="G15" s="169"/>
      <c r="H15" s="169"/>
      <c r="I15" s="51"/>
      <c r="J15" s="51"/>
    </row>
    <row r="16" spans="1:10" ht="15.75">
      <c r="A16" s="170"/>
      <c r="B16" s="27" t="s">
        <v>160</v>
      </c>
      <c r="C16" s="27" t="s">
        <v>182</v>
      </c>
      <c r="D16" s="27"/>
      <c r="E16" s="51"/>
      <c r="F16" s="51" t="s">
        <v>152</v>
      </c>
      <c r="G16" s="167">
        <f>IF(E14&gt;E15,E14-E15,0)</f>
        <v>2628</v>
      </c>
      <c r="H16" s="169"/>
      <c r="I16" s="51"/>
      <c r="J16" s="51"/>
    </row>
    <row r="17" spans="1:10" ht="15.75">
      <c r="A17" s="170"/>
      <c r="B17" s="170"/>
      <c r="C17" s="27"/>
      <c r="D17" s="27"/>
      <c r="E17" s="51"/>
      <c r="F17" s="51"/>
      <c r="G17" s="169" t="s">
        <v>173</v>
      </c>
      <c r="H17" s="169"/>
      <c r="I17" s="51"/>
      <c r="J17" s="51"/>
    </row>
    <row r="18" spans="1:10" ht="15.75">
      <c r="A18" s="170" t="s">
        <v>161</v>
      </c>
      <c r="B18" s="44" t="str">
        <f>CONCATENATE("Valuation of annexed territory for ",J1-1," :")</f>
        <v>Valuation of annexed territory for 2012 :</v>
      </c>
      <c r="C18" s="27"/>
      <c r="D18" s="27"/>
      <c r="E18" s="169"/>
      <c r="F18" s="51"/>
      <c r="G18" s="51"/>
      <c r="H18" s="51"/>
      <c r="I18" s="51"/>
      <c r="J18" s="51"/>
    </row>
    <row r="19" spans="1:10" ht="15.75">
      <c r="A19" s="170"/>
      <c r="B19" s="27" t="s">
        <v>162</v>
      </c>
      <c r="C19" s="27" t="s">
        <v>183</v>
      </c>
      <c r="D19" s="170" t="s">
        <v>152</v>
      </c>
      <c r="E19" s="167">
        <f>inputOth!E11</f>
        <v>0</v>
      </c>
      <c r="F19" s="51"/>
      <c r="G19" s="51"/>
      <c r="H19" s="51"/>
      <c r="I19" s="51"/>
      <c r="J19" s="51"/>
    </row>
    <row r="20" spans="1:10" ht="15.75">
      <c r="A20" s="170"/>
      <c r="B20" s="27" t="s">
        <v>163</v>
      </c>
      <c r="C20" s="27" t="s">
        <v>184</v>
      </c>
      <c r="D20" s="170" t="s">
        <v>152</v>
      </c>
      <c r="E20" s="56">
        <f>inputOth!E12</f>
        <v>0</v>
      </c>
      <c r="F20" s="51"/>
      <c r="G20" s="169"/>
      <c r="H20" s="169"/>
      <c r="I20" s="51"/>
      <c r="J20" s="51"/>
    </row>
    <row r="21" spans="1:10" ht="15.75">
      <c r="A21" s="170"/>
      <c r="B21" s="27" t="s">
        <v>164</v>
      </c>
      <c r="C21" s="27" t="s">
        <v>185</v>
      </c>
      <c r="D21" s="170" t="s">
        <v>155</v>
      </c>
      <c r="E21" s="56">
        <f>inputOth!E13</f>
        <v>0</v>
      </c>
      <c r="F21" s="51"/>
      <c r="G21" s="169"/>
      <c r="H21" s="169"/>
      <c r="I21" s="51"/>
      <c r="J21" s="51"/>
    </row>
    <row r="22" spans="1:10" ht="15.75">
      <c r="A22" s="170"/>
      <c r="B22" s="27" t="s">
        <v>165</v>
      </c>
      <c r="C22" s="27" t="s">
        <v>186</v>
      </c>
      <c r="D22" s="170"/>
      <c r="E22" s="169"/>
      <c r="F22" s="51" t="s">
        <v>152</v>
      </c>
      <c r="G22" s="167">
        <f>E19+E20-E21</f>
        <v>0</v>
      </c>
      <c r="H22" s="169"/>
      <c r="I22" s="51"/>
      <c r="J22" s="51"/>
    </row>
    <row r="23" spans="1:10" ht="15.75">
      <c r="A23" s="170"/>
      <c r="B23" s="170"/>
      <c r="C23" s="27"/>
      <c r="D23" s="170"/>
      <c r="E23" s="169"/>
      <c r="F23" s="51"/>
      <c r="G23" s="169"/>
      <c r="H23" s="169"/>
      <c r="I23" s="51"/>
      <c r="J23" s="51"/>
    </row>
    <row r="24" spans="1:10" ht="15.75">
      <c r="A24" s="170" t="s">
        <v>166</v>
      </c>
      <c r="B24" s="44" t="str">
        <f>CONCATENATE("Valuation of Property that has Changed in Use during ",J1-1," :")</f>
        <v>Valuation of Property that has Changed in Use during 2012 :</v>
      </c>
      <c r="C24" s="27"/>
      <c r="D24" s="27"/>
      <c r="E24" s="51"/>
      <c r="F24" s="166" t="s">
        <v>152</v>
      </c>
      <c r="G24" s="167">
        <f>inputOth!E14</f>
        <v>0</v>
      </c>
      <c r="H24" s="51"/>
      <c r="I24" s="51"/>
      <c r="J24" s="51"/>
    </row>
    <row r="25" spans="1:10" ht="15.75">
      <c r="A25" s="27" t="s">
        <v>58</v>
      </c>
      <c r="B25" s="27"/>
      <c r="C25" s="27"/>
      <c r="D25" s="170"/>
      <c r="E25" s="169"/>
      <c r="F25" s="51"/>
      <c r="G25" s="51"/>
      <c r="H25" s="51"/>
      <c r="I25" s="51"/>
      <c r="J25" s="51"/>
    </row>
    <row r="26" spans="1:10" ht="15.75">
      <c r="A26" s="170" t="s">
        <v>167</v>
      </c>
      <c r="B26" s="44" t="s">
        <v>187</v>
      </c>
      <c r="C26" s="27"/>
      <c r="D26" s="27"/>
      <c r="E26" s="51"/>
      <c r="F26" s="51"/>
      <c r="G26" s="167">
        <f>G11+G16+G22+G24</f>
        <v>9558</v>
      </c>
      <c r="H26" s="169"/>
      <c r="I26" s="51"/>
      <c r="J26" s="51"/>
    </row>
    <row r="27" spans="1:10" ht="15.75">
      <c r="A27" s="170"/>
      <c r="B27" s="170"/>
      <c r="C27" s="44"/>
      <c r="D27" s="27"/>
      <c r="E27" s="51"/>
      <c r="F27" s="51"/>
      <c r="G27" s="169"/>
      <c r="H27" s="169"/>
      <c r="I27" s="51"/>
      <c r="J27" s="51"/>
    </row>
    <row r="28" spans="1:10" ht="15.75">
      <c r="A28" s="170" t="s">
        <v>168</v>
      </c>
      <c r="B28" s="27" t="str">
        <f>CONCATENATE("Total Estimated Valuation July 1, ",J1-1)</f>
        <v>Total Estimated Valuation July 1, 2012</v>
      </c>
      <c r="C28" s="27"/>
      <c r="D28" s="27"/>
      <c r="E28" s="167">
        <f>inputOth!E7</f>
        <v>344902</v>
      </c>
      <c r="F28" s="51"/>
      <c r="G28" s="51"/>
      <c r="H28" s="51"/>
      <c r="I28" s="166"/>
      <c r="J28" s="51"/>
    </row>
    <row r="29" spans="1:10" ht="15.75">
      <c r="A29" s="170"/>
      <c r="B29" s="170"/>
      <c r="C29" s="27"/>
      <c r="D29" s="27"/>
      <c r="E29" s="169"/>
      <c r="F29" s="51"/>
      <c r="G29" s="51"/>
      <c r="H29" s="51"/>
      <c r="I29" s="166"/>
      <c r="J29" s="51"/>
    </row>
    <row r="30" spans="1:10" ht="15.75">
      <c r="A30" s="170" t="s">
        <v>169</v>
      </c>
      <c r="B30" s="44" t="s">
        <v>188</v>
      </c>
      <c r="C30" s="27"/>
      <c r="D30" s="27"/>
      <c r="E30" s="51"/>
      <c r="F30" s="51"/>
      <c r="G30" s="167">
        <f>E28-G26</f>
        <v>335344</v>
      </c>
      <c r="H30" s="169"/>
      <c r="I30" s="166"/>
      <c r="J30" s="51"/>
    </row>
    <row r="31" spans="1:10" ht="15.75">
      <c r="A31" s="170"/>
      <c r="B31" s="170"/>
      <c r="C31" s="44"/>
      <c r="D31" s="27"/>
      <c r="E31" s="51"/>
      <c r="F31" s="51"/>
      <c r="G31" s="172"/>
      <c r="H31" s="169"/>
      <c r="I31" s="166"/>
      <c r="J31" s="51"/>
    </row>
    <row r="32" spans="1:10" ht="15.75">
      <c r="A32" s="170" t="s">
        <v>170</v>
      </c>
      <c r="B32" s="27" t="s">
        <v>189</v>
      </c>
      <c r="C32" s="27"/>
      <c r="D32" s="27"/>
      <c r="E32" s="27"/>
      <c r="F32" s="27"/>
      <c r="G32" s="173">
        <f>IF(G26&gt;0,G26/G30,0)</f>
        <v>2.8502075480700415E-2</v>
      </c>
      <c r="H32" s="59"/>
      <c r="I32" s="27"/>
      <c r="J32" s="27"/>
    </row>
    <row r="33" spans="1:10" ht="15.75">
      <c r="A33" s="170"/>
      <c r="B33" s="170"/>
      <c r="C33" s="27"/>
      <c r="D33" s="27"/>
      <c r="E33" s="27"/>
      <c r="F33" s="27"/>
      <c r="G33" s="59"/>
      <c r="H33" s="59"/>
      <c r="I33" s="27"/>
      <c r="J33" s="27"/>
    </row>
    <row r="34" spans="1:10" ht="15.75">
      <c r="A34" s="170" t="s">
        <v>171</v>
      </c>
      <c r="B34" s="27" t="s">
        <v>190</v>
      </c>
      <c r="C34" s="27"/>
      <c r="D34" s="27"/>
      <c r="E34" s="27"/>
      <c r="F34" s="27"/>
      <c r="G34" s="59"/>
      <c r="H34" s="174" t="s">
        <v>152</v>
      </c>
      <c r="I34" s="27" t="s">
        <v>153</v>
      </c>
      <c r="J34" s="167">
        <f>ROUND(G32*J7,0)</f>
        <v>515</v>
      </c>
    </row>
    <row r="35" spans="1:10" ht="15.75">
      <c r="A35" s="170"/>
      <c r="B35" s="170"/>
      <c r="C35" s="27"/>
      <c r="D35" s="27"/>
      <c r="E35" s="27"/>
      <c r="F35" s="27"/>
      <c r="G35" s="59"/>
      <c r="H35" s="174"/>
      <c r="I35" s="27"/>
      <c r="J35" s="169"/>
    </row>
    <row r="36" spans="1:10" ht="16.5" thickBot="1">
      <c r="A36" s="170" t="s">
        <v>172</v>
      </c>
      <c r="B36" s="44" t="s">
        <v>196</v>
      </c>
      <c r="C36" s="27"/>
      <c r="D36" s="27"/>
      <c r="E36" s="27"/>
      <c r="F36" s="27"/>
      <c r="G36" s="27"/>
      <c r="H36" s="27"/>
      <c r="I36" s="27" t="s">
        <v>153</v>
      </c>
      <c r="J36" s="175">
        <f>J7+J34</f>
        <v>18584</v>
      </c>
    </row>
    <row r="37" spans="1:10" ht="16.5" thickTop="1">
      <c r="A37" s="27"/>
      <c r="B37" s="27"/>
      <c r="C37" s="27"/>
      <c r="D37" s="27"/>
      <c r="E37" s="27"/>
      <c r="F37" s="27"/>
      <c r="G37" s="27"/>
      <c r="H37" s="27"/>
      <c r="I37" s="27"/>
      <c r="J37" s="169"/>
    </row>
    <row r="38" spans="1:10" ht="15.75">
      <c r="A38" s="170" t="s">
        <v>194</v>
      </c>
      <c r="B38" s="44" t="str">
        <f>CONCATENATE("Debt Service Levy in this ",J1," Budget")</f>
        <v>Debt Service Levy in this 2013 Budget</v>
      </c>
      <c r="C38" s="27"/>
      <c r="D38" s="27"/>
      <c r="E38" s="27"/>
      <c r="F38" s="27"/>
      <c r="G38" s="27"/>
      <c r="H38" s="27"/>
      <c r="I38" s="27"/>
      <c r="J38" s="513">
        <v>0</v>
      </c>
    </row>
    <row r="39" spans="1:10" ht="15.75">
      <c r="A39" s="170"/>
      <c r="B39" s="44"/>
      <c r="C39" s="27"/>
      <c r="D39" s="27"/>
      <c r="E39" s="27"/>
      <c r="F39" s="27"/>
      <c r="G39" s="27"/>
      <c r="H39" s="27"/>
      <c r="I39" s="27"/>
      <c r="J39" s="169"/>
    </row>
    <row r="40" spans="1:10" ht="16.5" thickBot="1">
      <c r="A40" s="170" t="s">
        <v>195</v>
      </c>
      <c r="B40" s="44" t="s">
        <v>197</v>
      </c>
      <c r="C40" s="27"/>
      <c r="D40" s="27"/>
      <c r="E40" s="27"/>
      <c r="F40" s="27"/>
      <c r="G40" s="27"/>
      <c r="H40" s="27"/>
      <c r="I40" s="27"/>
      <c r="J40" s="175">
        <f>J36+J38</f>
        <v>18584</v>
      </c>
    </row>
    <row r="41" spans="1:10" ht="19.5" thickTop="1">
      <c r="A41" s="536"/>
      <c r="B41" s="536"/>
      <c r="C41" s="536"/>
      <c r="D41" s="536"/>
      <c r="E41" s="536"/>
      <c r="F41" s="536"/>
      <c r="G41" s="536"/>
      <c r="H41" s="536"/>
      <c r="I41" s="536"/>
      <c r="J41" s="536"/>
    </row>
    <row r="42" spans="1:10" s="176" customFormat="1" ht="18.75">
      <c r="A42" s="536" t="str">
        <f>CONCATENATE("If the ",J1," budget includes tax levies exceeding the total on line 15, you must")</f>
        <v>If the 2013 budget includes tax levies exceeding the total on line 15, you must</v>
      </c>
      <c r="B42" s="536"/>
      <c r="C42" s="536"/>
      <c r="D42" s="536"/>
      <c r="E42" s="536"/>
      <c r="F42" s="536"/>
      <c r="G42" s="536"/>
      <c r="H42" s="536"/>
      <c r="I42" s="536"/>
      <c r="J42" s="536"/>
    </row>
    <row r="43" spans="1:10" s="176" customFormat="1" ht="18.75">
      <c r="A43" s="536" t="s">
        <v>0</v>
      </c>
      <c r="B43" s="536"/>
      <c r="C43" s="536"/>
      <c r="D43" s="536"/>
      <c r="E43" s="536"/>
      <c r="F43" s="536"/>
      <c r="G43" s="536"/>
      <c r="H43" s="536"/>
      <c r="I43" s="536"/>
      <c r="J43" s="536"/>
    </row>
    <row r="44" spans="1:10" ht="15.95" customHeight="1">
      <c r="A44" s="535" t="s">
        <v>1</v>
      </c>
      <c r="B44" s="535"/>
      <c r="C44" s="535"/>
      <c r="D44" s="535"/>
      <c r="E44" s="535"/>
      <c r="F44" s="535"/>
      <c r="G44" s="535"/>
      <c r="H44" s="535"/>
      <c r="I44" s="535"/>
      <c r="J44" s="535"/>
    </row>
  </sheetData>
  <mergeCells count="6">
    <mergeCell ref="A44:J44"/>
    <mergeCell ref="A41:J41"/>
    <mergeCell ref="A43:J43"/>
    <mergeCell ref="A3:J3"/>
    <mergeCell ref="E4:G4"/>
    <mergeCell ref="A42:J42"/>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45"/>
  <sheetViews>
    <sheetView zoomScaleNormal="100" workbookViewId="0">
      <selection activeCell="B12" sqref="B12"/>
    </sheetView>
  </sheetViews>
  <sheetFormatPr defaultRowHeight="15" customHeight="1"/>
  <cols>
    <col min="1" max="1" width="10.77734375" style="28" customWidth="1"/>
    <col min="2" max="3" width="17.44140625" style="28" customWidth="1"/>
    <col min="4" max="4" width="10.77734375" style="28" customWidth="1"/>
    <col min="5" max="5" width="11" style="28" customWidth="1"/>
    <col min="6" max="7" width="10.77734375" style="28" customWidth="1"/>
    <col min="8" max="16384" width="8.88671875" style="28"/>
  </cols>
  <sheetData>
    <row r="1" spans="1:7" ht="15" customHeight="1">
      <c r="A1" s="27"/>
      <c r="B1" s="27"/>
      <c r="C1" s="27"/>
      <c r="D1" s="27"/>
      <c r="E1" s="27"/>
      <c r="F1" s="27"/>
      <c r="G1" s="27"/>
    </row>
    <row r="2" spans="1:7" ht="15" customHeight="1">
      <c r="A2" s="27"/>
      <c r="B2" s="162" t="str">
        <f>inputPrYr!D2</f>
        <v>City of Horace</v>
      </c>
      <c r="C2" s="27"/>
      <c r="D2" s="27"/>
      <c r="E2" s="27"/>
      <c r="F2" s="178"/>
      <c r="G2" s="123"/>
    </row>
    <row r="3" spans="1:7" ht="15" customHeight="1">
      <c r="A3" s="27"/>
      <c r="B3" s="27"/>
      <c r="C3" s="27"/>
      <c r="D3" s="27"/>
      <c r="E3" s="27"/>
      <c r="F3" s="27"/>
      <c r="G3" s="123">
        <f>inputPrYr!$C$5</f>
        <v>2013</v>
      </c>
    </row>
    <row r="4" spans="1:7" ht="20.25" customHeight="1">
      <c r="A4" s="27"/>
      <c r="B4" s="537" t="s">
        <v>284</v>
      </c>
      <c r="C4" s="537"/>
      <c r="D4" s="537"/>
      <c r="E4" s="537"/>
      <c r="F4" s="537"/>
      <c r="G4" s="27"/>
    </row>
    <row r="5" spans="1:7" ht="15" customHeight="1">
      <c r="A5" s="27"/>
      <c r="B5" s="37"/>
      <c r="C5" s="36"/>
      <c r="D5" s="36"/>
      <c r="E5" s="36"/>
      <c r="F5" s="27"/>
      <c r="G5" s="27"/>
    </row>
    <row r="6" spans="1:7" ht="15" customHeight="1">
      <c r="A6" s="27"/>
      <c r="B6" s="27"/>
      <c r="C6" s="27"/>
      <c r="D6" s="27"/>
      <c r="E6" s="27"/>
      <c r="F6" s="27"/>
      <c r="G6" s="27"/>
    </row>
    <row r="7" spans="1:7" ht="15.95" customHeight="1">
      <c r="A7" s="27"/>
      <c r="B7" s="179" t="s">
        <v>285</v>
      </c>
      <c r="C7" s="136" t="s">
        <v>286</v>
      </c>
      <c r="D7" s="539" t="str">
        <f>CONCATENATE("Allocation for Proposed Year ",G3,"")</f>
        <v>Allocation for Proposed Year 2013</v>
      </c>
      <c r="E7" s="540"/>
      <c r="F7" s="541"/>
      <c r="G7" s="27"/>
    </row>
    <row r="8" spans="1:7" ht="23.25" customHeight="1">
      <c r="A8" s="27"/>
      <c r="B8" s="180" t="str">
        <f>CONCATENATE("for ",G3-1,"")</f>
        <v>for 2012</v>
      </c>
      <c r="C8" s="180" t="str">
        <f>CONCATENATE("Amount for ",G3-2,"")</f>
        <v>Amount for 2011</v>
      </c>
      <c r="D8" s="139" t="s">
        <v>149</v>
      </c>
      <c r="E8" s="139" t="s">
        <v>148</v>
      </c>
      <c r="F8" s="142" t="s">
        <v>147</v>
      </c>
      <c r="G8" s="453"/>
    </row>
    <row r="9" spans="1:7" ht="15" customHeight="1">
      <c r="A9" s="27"/>
      <c r="B9" s="48" t="s">
        <v>48</v>
      </c>
      <c r="C9" s="181">
        <f>IF((inputPrYr!E17)&gt;0,(inputPrYr!E17),"  ")</f>
        <v>17181</v>
      </c>
      <c r="D9" s="181">
        <f>IF(inputPrYr!E17&gt;0,D18-SUM(D10:D15),0)</f>
        <v>3780</v>
      </c>
      <c r="E9" s="181">
        <f>IF(inputPrYr!E17=0,0,E20-SUM(E10:E15))</f>
        <v>169</v>
      </c>
      <c r="F9" s="181">
        <f>IF(inputPrYr!E17=0,0,F22-SUM(F10:F15))</f>
        <v>11</v>
      </c>
      <c r="G9" s="454"/>
    </row>
    <row r="10" spans="1:7" ht="15" customHeight="1">
      <c r="A10" s="27"/>
      <c r="B10" s="48" t="str">
        <f>IF(inputPrYr!B18&gt;" ",inputPrYr!B18," ")</f>
        <v>Debt Service</v>
      </c>
      <c r="C10" s="181" t="str">
        <f>IF((inputPrYr!E18)&gt;0,(inputPrYr!E18),"  ")</f>
        <v xml:space="preserve">  </v>
      </c>
      <c r="D10" s="181" t="str">
        <f>IF(inputPrYr!$E18&gt;0,ROUND(C10*D$26,0),"  ")</f>
        <v xml:space="preserve">  </v>
      </c>
      <c r="E10" s="181" t="str">
        <f>IF(inputPrYr!$E18&gt;0,ROUND(+C10*E$28,0),"  ")</f>
        <v xml:space="preserve">  </v>
      </c>
      <c r="F10" s="181" t="str">
        <f>IF(inputPrYr!E18&gt;0,ROUND(C10*F$30,0),"  ")</f>
        <v xml:space="preserve">  </v>
      </c>
      <c r="G10" s="454"/>
    </row>
    <row r="11" spans="1:7" ht="15" customHeight="1">
      <c r="A11" s="27"/>
      <c r="B11" s="71" t="str">
        <f>IF((inputPrYr!$B19&gt;"  "),(inputPrYr!$B19),"  ")</f>
        <v>Library</v>
      </c>
      <c r="C11" s="181" t="str">
        <f>IF((inputPrYr!E19)&gt;0,(inputPrYr!E19),"  ")</f>
        <v xml:space="preserve">  </v>
      </c>
      <c r="D11" s="181" t="str">
        <f>IF(inputPrYr!$E19&gt;0,ROUND(C11*D$26,0),"  ")</f>
        <v xml:space="preserve">  </v>
      </c>
      <c r="E11" s="181" t="str">
        <f>IF(inputPrYr!$E19&gt;0,ROUND(+C11*E$28,0),"  ")</f>
        <v xml:space="preserve">  </v>
      </c>
      <c r="F11" s="181" t="str">
        <f>IF(inputPrYr!E19&gt;0,ROUND(C11*F$30,0),"  ")</f>
        <v xml:space="preserve">  </v>
      </c>
      <c r="G11" s="454"/>
    </row>
    <row r="12" spans="1:7" ht="15" customHeight="1">
      <c r="A12" s="27"/>
      <c r="B12" s="71" t="str">
        <f>IF((inputPrYr!$B21&gt;"  "),(inputPrYr!$B21),"  ")</f>
        <v>Social Security</v>
      </c>
      <c r="C12" s="181">
        <f>IF((inputPrYr!E21)&gt;0,(inputPrYr!E21),"  ")</f>
        <v>888</v>
      </c>
      <c r="D12" s="181">
        <f>IF(inputPrYr!$E21&gt;0,ROUND(C12*D$26,0),"  ")</f>
        <v>195</v>
      </c>
      <c r="E12" s="181">
        <f>IF(inputPrYr!$E21&gt;0,ROUND(+C12*E$28,0),"  ")</f>
        <v>9</v>
      </c>
      <c r="F12" s="181">
        <f>IF(inputPrYr!E21&gt;0,ROUND(C12*F$30,0),"  ")</f>
        <v>1</v>
      </c>
      <c r="G12" s="454"/>
    </row>
    <row r="13" spans="1:7" ht="15" customHeight="1">
      <c r="A13" s="27"/>
      <c r="B13" s="71" t="str">
        <f>IF((inputPrYr!$B22&gt;"  "),(inputPrYr!$B22),"  ")</f>
        <v xml:space="preserve">  </v>
      </c>
      <c r="C13" s="181" t="str">
        <f>IF((inputPrYr!E22)&gt;0,(inputPrYr!E22),"  ")</f>
        <v xml:space="preserve">  </v>
      </c>
      <c r="D13" s="181" t="str">
        <f>IF(inputPrYr!$E22&gt;0,ROUND(C13*D$26,0),"  ")</f>
        <v xml:space="preserve">  </v>
      </c>
      <c r="E13" s="181" t="str">
        <f>IF(inputPrYr!$E22&gt;0,ROUND(+C13*E$28,0),"  ")</f>
        <v xml:space="preserve">  </v>
      </c>
      <c r="F13" s="181" t="str">
        <f>IF(inputPrYr!E22&gt;0,ROUND(C13*F$30,0),"  ")</f>
        <v xml:space="preserve">  </v>
      </c>
      <c r="G13" s="454"/>
    </row>
    <row r="14" spans="1:7" ht="15" customHeight="1">
      <c r="A14" s="27"/>
      <c r="B14" s="71" t="str">
        <f>IF((inputPrYr!$B23&gt;"  "),(inputPrYr!$B23),"  ")</f>
        <v xml:space="preserve">  </v>
      </c>
      <c r="C14" s="181" t="str">
        <f>IF((inputPrYr!E23)&gt;0,(inputPrYr!E23),"  ")</f>
        <v xml:space="preserve">  </v>
      </c>
      <c r="D14" s="181" t="str">
        <f>IF(inputPrYr!$E23&gt;0,ROUND(C14*D$26,0),"  ")</f>
        <v xml:space="preserve">  </v>
      </c>
      <c r="E14" s="181" t="str">
        <f>IF(inputPrYr!$E23&gt;0,ROUND(+C14*E$28,0),"  ")</f>
        <v xml:space="preserve">  </v>
      </c>
      <c r="F14" s="181" t="str">
        <f>IF(inputPrYr!E23&gt;0,ROUND(C14*F$30,0),"  ")</f>
        <v xml:space="preserve">  </v>
      </c>
      <c r="G14" s="454"/>
    </row>
    <row r="15" spans="1:7" ht="15" customHeight="1">
      <c r="A15" s="27"/>
      <c r="B15" s="71" t="str">
        <f>IF((inputPrYr!$B24&gt;"  "),(inputPrYr!$B24),"  ")</f>
        <v xml:space="preserve">  </v>
      </c>
      <c r="C15" s="181" t="str">
        <f>IF((inputPrYr!E24)&gt;0,(inputPrYr!E24),"  ")</f>
        <v xml:space="preserve">  </v>
      </c>
      <c r="D15" s="181" t="str">
        <f>IF(inputPrYr!$E24&gt;0,ROUND(C15*D$26,0),"  ")</f>
        <v xml:space="preserve">  </v>
      </c>
      <c r="E15" s="181" t="str">
        <f>IF(inputPrYr!$E24&gt;0,ROUND(+C15*E$28,0),"  ")</f>
        <v xml:space="preserve">  </v>
      </c>
      <c r="F15" s="181" t="str">
        <f>IF(inputPrYr!E24&gt;0,ROUND(C15*F$30,0),"  ")</f>
        <v xml:space="preserve">  </v>
      </c>
      <c r="G15" s="454"/>
    </row>
    <row r="16" spans="1:7" ht="16.5" customHeight="1" thickBot="1">
      <c r="A16" s="27"/>
      <c r="B16" s="49" t="s">
        <v>76</v>
      </c>
      <c r="C16" s="182">
        <f>SUM(C9:C15)</f>
        <v>18069</v>
      </c>
      <c r="D16" s="182">
        <f>SUM(D9:D15)</f>
        <v>3975</v>
      </c>
      <c r="E16" s="182">
        <f>SUM(E9:E15)</f>
        <v>178</v>
      </c>
      <c r="F16" s="182">
        <f>SUM(F9:F15)</f>
        <v>12</v>
      </c>
      <c r="G16" s="454"/>
    </row>
    <row r="17" spans="1:7" ht="15" customHeight="1" thickTop="1">
      <c r="A17" s="27"/>
      <c r="B17" s="27"/>
      <c r="C17" s="27"/>
      <c r="D17" s="27"/>
      <c r="E17" s="27"/>
      <c r="F17" s="27"/>
      <c r="G17" s="27"/>
    </row>
    <row r="18" spans="1:7" ht="15" customHeight="1">
      <c r="A18" s="27"/>
      <c r="B18" s="32" t="s">
        <v>77</v>
      </c>
      <c r="C18" s="183"/>
      <c r="D18" s="167">
        <f>(inputOth!E33)</f>
        <v>3975</v>
      </c>
      <c r="E18" s="183"/>
      <c r="F18" s="27"/>
      <c r="G18" s="27"/>
    </row>
    <row r="19" spans="1:7" ht="15" customHeight="1">
      <c r="A19" s="27"/>
      <c r="B19" s="27"/>
      <c r="C19" s="27"/>
      <c r="D19" s="27"/>
      <c r="E19" s="27"/>
      <c r="F19" s="27"/>
      <c r="G19" s="27"/>
    </row>
    <row r="20" spans="1:7" ht="15" customHeight="1">
      <c r="A20" s="27"/>
      <c r="B20" s="32" t="s">
        <v>78</v>
      </c>
      <c r="C20" s="27"/>
      <c r="D20" s="27"/>
      <c r="E20" s="167">
        <f>(inputOth!E34)</f>
        <v>178</v>
      </c>
      <c r="F20" s="27"/>
      <c r="G20" s="27"/>
    </row>
    <row r="21" spans="1:7" ht="15" customHeight="1">
      <c r="A21" s="27"/>
      <c r="B21" s="27"/>
      <c r="C21" s="27"/>
      <c r="D21" s="27"/>
      <c r="E21" s="27"/>
      <c r="F21" s="27"/>
      <c r="G21" s="27"/>
    </row>
    <row r="22" spans="1:7" ht="15.6" customHeight="1">
      <c r="A22" s="27"/>
      <c r="B22" s="32" t="s">
        <v>146</v>
      </c>
      <c r="C22" s="27"/>
      <c r="D22" s="27"/>
      <c r="E22" s="27"/>
      <c r="F22" s="167">
        <f>inputOth!E35</f>
        <v>12</v>
      </c>
      <c r="G22" s="27"/>
    </row>
    <row r="23" spans="1:7" ht="15" customHeight="1">
      <c r="A23" s="27"/>
      <c r="B23" s="27"/>
      <c r="C23" s="27"/>
      <c r="D23" s="27"/>
      <c r="E23" s="27"/>
      <c r="F23" s="27"/>
      <c r="G23" s="27"/>
    </row>
    <row r="24" spans="1:7" ht="15" customHeight="1">
      <c r="A24" s="27"/>
      <c r="B24" s="27"/>
      <c r="C24" s="27"/>
      <c r="D24" s="27"/>
      <c r="E24" s="27"/>
      <c r="F24" s="27"/>
      <c r="G24" s="169"/>
    </row>
    <row r="25" spans="1:7" ht="15" customHeight="1">
      <c r="A25" s="27"/>
      <c r="B25" s="27"/>
      <c r="C25" s="27"/>
      <c r="D25" s="27"/>
      <c r="E25" s="27"/>
      <c r="F25" s="27"/>
      <c r="G25" s="27"/>
    </row>
    <row r="26" spans="1:7" ht="15" customHeight="1">
      <c r="A26" s="27"/>
      <c r="B26" s="32" t="s">
        <v>79</v>
      </c>
      <c r="C26" s="27"/>
      <c r="D26" s="173">
        <f>IF(C16=0,0,D18/C16)</f>
        <v>0.21999003818695004</v>
      </c>
      <c r="E26" s="27"/>
      <c r="F26" s="27"/>
      <c r="G26" s="27"/>
    </row>
    <row r="27" spans="1:7" ht="15" customHeight="1">
      <c r="A27" s="27"/>
      <c r="B27" s="27"/>
      <c r="C27" s="27"/>
      <c r="D27" s="27"/>
      <c r="E27" s="27"/>
      <c r="F27" s="27"/>
      <c r="G27" s="27"/>
    </row>
    <row r="28" spans="1:7" ht="15" customHeight="1">
      <c r="A28" s="27"/>
      <c r="B28" s="32"/>
      <c r="C28" s="32" t="s">
        <v>80</v>
      </c>
      <c r="D28" s="27"/>
      <c r="E28" s="173">
        <f>IF(C16=0,0,E20/C16)</f>
        <v>9.8511262383087061E-3</v>
      </c>
      <c r="F28" s="27"/>
      <c r="G28" s="27"/>
    </row>
    <row r="29" spans="1:7" ht="15" customHeight="1">
      <c r="A29" s="27"/>
      <c r="B29" s="27"/>
      <c r="C29" s="27"/>
      <c r="D29" s="27"/>
      <c r="E29" s="27"/>
      <c r="F29" s="27"/>
      <c r="G29" s="27"/>
    </row>
    <row r="30" spans="1:7" ht="15" customHeight="1">
      <c r="A30" s="27"/>
      <c r="B30" s="27"/>
      <c r="C30" s="27"/>
      <c r="D30" s="27" t="s">
        <v>145</v>
      </c>
      <c r="E30" s="27"/>
      <c r="F30" s="173">
        <f>IF(C16=0,0,F22/C16)</f>
        <v>6.6412086999833968E-4</v>
      </c>
      <c r="G30" s="27"/>
    </row>
    <row r="31" spans="1:7" ht="15" customHeight="1">
      <c r="A31" s="27"/>
      <c r="B31" s="81"/>
      <c r="C31" s="81"/>
      <c r="D31" s="81"/>
      <c r="E31" s="81"/>
      <c r="F31" s="81"/>
      <c r="G31" s="81"/>
    </row>
    <row r="32" spans="1:7" ht="15" customHeight="1">
      <c r="A32" s="27"/>
      <c r="B32" s="81"/>
      <c r="C32" s="81"/>
      <c r="D32" s="81"/>
      <c r="E32" s="81"/>
      <c r="F32" s="81"/>
      <c r="G32" s="81"/>
    </row>
    <row r="36" ht="16.5" customHeight="1"/>
    <row r="37" ht="15.95" customHeight="1"/>
    <row r="38" s="184"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84" orientation="portrait" blackAndWhite="1" r:id="rId1"/>
  <headerFooter alignWithMargins="0">
    <oddHeader xml:space="preserve">&amp;RState of Kansas
City
</oddHeader>
    <oddFooter>&amp;CPage No.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Normal="100" workbookViewId="0"/>
  </sheetViews>
  <sheetFormatPr defaultRowHeight="15"/>
  <cols>
    <col min="1" max="1" width="17.77734375" style="89" customWidth="1"/>
    <col min="2" max="2" width="19.77734375" style="89" customWidth="1"/>
    <col min="3" max="6" width="12.77734375" style="89" customWidth="1"/>
    <col min="7" max="16384" width="8.88671875" style="89"/>
  </cols>
  <sheetData>
    <row r="1" spans="1:6" ht="15.75">
      <c r="A1" s="162" t="str">
        <f>inputPrYr!D2</f>
        <v>City of Horace</v>
      </c>
      <c r="B1" s="27"/>
      <c r="C1" s="27"/>
      <c r="D1" s="27"/>
      <c r="E1" s="27"/>
      <c r="F1" s="27">
        <f>inputPrYr!C5</f>
        <v>2013</v>
      </c>
    </row>
    <row r="2" spans="1:6" ht="15.75">
      <c r="A2" s="27"/>
      <c r="B2" s="27"/>
      <c r="C2" s="27"/>
      <c r="D2" s="27"/>
      <c r="E2" s="27"/>
      <c r="F2" s="27"/>
    </row>
    <row r="3" spans="1:6" ht="15.75">
      <c r="A3" s="538" t="s">
        <v>204</v>
      </c>
      <c r="B3" s="538"/>
      <c r="C3" s="538"/>
      <c r="D3" s="538"/>
      <c r="E3" s="538"/>
      <c r="F3" s="538"/>
    </row>
    <row r="4" spans="1:6" ht="15.75">
      <c r="A4" s="185"/>
      <c r="B4" s="185"/>
      <c r="C4" s="185"/>
      <c r="D4" s="185"/>
      <c r="E4" s="185"/>
      <c r="F4" s="185"/>
    </row>
    <row r="5" spans="1:6" ht="15.75">
      <c r="A5" s="186" t="s">
        <v>249</v>
      </c>
      <c r="B5" s="186" t="s">
        <v>251</v>
      </c>
      <c r="C5" s="186" t="s">
        <v>97</v>
      </c>
      <c r="D5" s="186" t="s">
        <v>212</v>
      </c>
      <c r="E5" s="186" t="s">
        <v>213</v>
      </c>
      <c r="F5" s="186" t="s">
        <v>225</v>
      </c>
    </row>
    <row r="6" spans="1:6" ht="15.75">
      <c r="A6" s="187" t="s">
        <v>248</v>
      </c>
      <c r="B6" s="187" t="s">
        <v>250</v>
      </c>
      <c r="C6" s="187" t="s">
        <v>224</v>
      </c>
      <c r="D6" s="187" t="s">
        <v>224</v>
      </c>
      <c r="E6" s="187" t="s">
        <v>224</v>
      </c>
      <c r="F6" s="187" t="s">
        <v>214</v>
      </c>
    </row>
    <row r="7" spans="1:6" ht="15.75">
      <c r="A7" s="188" t="s">
        <v>222</v>
      </c>
      <c r="B7" s="188" t="s">
        <v>223</v>
      </c>
      <c r="C7" s="189">
        <f>F1-2</f>
        <v>2011</v>
      </c>
      <c r="D7" s="189">
        <f>F1-1</f>
        <v>2012</v>
      </c>
      <c r="E7" s="189">
        <f>F1</f>
        <v>2013</v>
      </c>
      <c r="F7" s="188" t="s">
        <v>215</v>
      </c>
    </row>
    <row r="8" spans="1:6" ht="15.75">
      <c r="A8" s="190" t="s">
        <v>308</v>
      </c>
      <c r="B8" s="190" t="s">
        <v>310</v>
      </c>
      <c r="C8" s="191">
        <v>4620</v>
      </c>
      <c r="D8" s="191">
        <v>4620</v>
      </c>
      <c r="E8" s="191">
        <v>4620</v>
      </c>
      <c r="F8" s="190" t="s">
        <v>318</v>
      </c>
    </row>
    <row r="9" spans="1:6" ht="15.75">
      <c r="A9" s="192" t="s">
        <v>308</v>
      </c>
      <c r="B9" s="192" t="s">
        <v>319</v>
      </c>
      <c r="C9" s="193">
        <v>462</v>
      </c>
      <c r="D9" s="193">
        <v>462</v>
      </c>
      <c r="E9" s="193">
        <v>462</v>
      </c>
      <c r="F9" s="192" t="s">
        <v>318</v>
      </c>
    </row>
    <row r="10" spans="1:6" ht="15.75">
      <c r="A10" s="192" t="s">
        <v>309</v>
      </c>
      <c r="B10" s="192" t="s">
        <v>320</v>
      </c>
      <c r="C10" s="193">
        <v>2000</v>
      </c>
      <c r="D10" s="193">
        <v>2000</v>
      </c>
      <c r="E10" s="193">
        <v>2000</v>
      </c>
      <c r="F10" s="192" t="s">
        <v>318</v>
      </c>
    </row>
    <row r="11" spans="1:6" ht="15.75">
      <c r="A11" s="192" t="s">
        <v>320</v>
      </c>
      <c r="B11" s="192" t="s">
        <v>308</v>
      </c>
      <c r="C11" s="193"/>
      <c r="D11" s="193"/>
      <c r="E11" s="193"/>
      <c r="F11" s="192" t="s">
        <v>318</v>
      </c>
    </row>
    <row r="12" spans="1:6" ht="15.75">
      <c r="A12" s="192"/>
      <c r="B12" s="192"/>
      <c r="C12" s="193"/>
      <c r="D12" s="193"/>
      <c r="E12" s="193"/>
      <c r="F12" s="192"/>
    </row>
    <row r="13" spans="1:6" ht="15.75">
      <c r="A13" s="159"/>
      <c r="B13" s="194" t="s">
        <v>81</v>
      </c>
      <c r="C13" s="195">
        <f>SUM(C8:C12)</f>
        <v>7082</v>
      </c>
      <c r="D13" s="195">
        <f>SUM(D8:D12)</f>
        <v>7082</v>
      </c>
      <c r="E13" s="195">
        <f>SUM(E8:E12)</f>
        <v>7082</v>
      </c>
      <c r="F13" s="159"/>
    </row>
    <row r="14" spans="1:6" ht="15.75">
      <c r="A14" s="159"/>
      <c r="B14" s="196" t="s">
        <v>247</v>
      </c>
      <c r="C14" s="197"/>
      <c r="D14" s="198"/>
      <c r="E14" s="198"/>
      <c r="F14" s="159"/>
    </row>
    <row r="15" spans="1:6" ht="15.75">
      <c r="A15" s="159"/>
      <c r="B15" s="194" t="s">
        <v>41</v>
      </c>
      <c r="C15" s="195">
        <f>C13</f>
        <v>7082</v>
      </c>
      <c r="D15" s="195">
        <f>SUM(D13-D14)</f>
        <v>7082</v>
      </c>
      <c r="E15" s="195">
        <f>SUM(E13-E14)</f>
        <v>7082</v>
      </c>
      <c r="F15" s="159"/>
    </row>
    <row r="16" spans="1:6" ht="15.75">
      <c r="A16" s="81"/>
      <c r="B16" s="81"/>
      <c r="C16" s="81"/>
      <c r="D16" s="81"/>
      <c r="E16" s="81"/>
      <c r="F16" s="81"/>
    </row>
    <row r="17" spans="1:6" ht="15.75">
      <c r="A17" s="81"/>
      <c r="B17" s="81"/>
      <c r="C17" s="81"/>
      <c r="D17" s="81"/>
      <c r="E17" s="81"/>
      <c r="F17" s="81"/>
    </row>
    <row r="18" spans="1:6" ht="15.75">
      <c r="A18" s="316" t="s">
        <v>252</v>
      </c>
      <c r="B18" s="315" t="str">
        <f>CONCATENATE("Adjustments are required only if the transfer is being made in ",D7," and/or ",E7," from a non-budgeted fund.")</f>
        <v>Adjustments are required only if the transfer is being made in 2012 and/or 2013 from a non-budgeted fund.</v>
      </c>
      <c r="C18" s="81"/>
      <c r="D18" s="81"/>
      <c r="E18" s="81"/>
      <c r="F18" s="81"/>
    </row>
    <row r="19" spans="1:6" ht="15.75">
      <c r="A19" s="81"/>
      <c r="B19" s="81"/>
      <c r="C19" s="81"/>
      <c r="D19" s="81"/>
      <c r="E19" s="81"/>
      <c r="F19" s="81"/>
    </row>
    <row r="20" spans="1:6" ht="15.75">
      <c r="A20" s="81"/>
      <c r="B20" s="81"/>
      <c r="C20" s="81"/>
      <c r="D20" s="81"/>
      <c r="E20" s="81"/>
      <c r="F20" s="81"/>
    </row>
  </sheetData>
  <mergeCells count="1">
    <mergeCell ref="A3:F3"/>
  </mergeCells>
  <phoneticPr fontId="10" type="noConversion"/>
  <pageMargins left="0.75" right="0.75" top="1" bottom="1" header="0.5" footer="0.5"/>
  <pageSetup scale="79" orientation="portrait" blackAndWhite="1" r:id="rId1"/>
  <headerFooter alignWithMargins="0">
    <oddHeader>&amp;RState of Kansas
City</oddHeader>
    <oddFooter>&amp;CPage No. 4</oddFooter>
  </headerFooter>
</worksheet>
</file>

<file path=xl/worksheets/sheet6.xml><?xml version="1.0" encoding="utf-8"?>
<worksheet xmlns="http://schemas.openxmlformats.org/spreadsheetml/2006/main" xmlns:r="http://schemas.openxmlformats.org/officeDocument/2006/relationships">
  <dimension ref="B1:AC36"/>
  <sheetViews>
    <sheetView view="pageBreakPreview" topLeftCell="B1" zoomScale="60" zoomScaleNormal="100" workbookViewId="0">
      <selection activeCell="M18" sqref="M18"/>
    </sheetView>
  </sheetViews>
  <sheetFormatPr defaultRowHeight="15.75"/>
  <cols>
    <col min="1" max="1" width="4.88671875" style="28" customWidth="1"/>
    <col min="2" max="2" width="20.77734375" style="28" customWidth="1"/>
    <col min="3" max="3" width="9.33203125" style="28" customWidth="1"/>
    <col min="4" max="4" width="9" style="28" customWidth="1"/>
    <col min="5" max="5" width="8.77734375" style="28" customWidth="1"/>
    <col min="6" max="6" width="12.77734375" style="28" customWidth="1"/>
    <col min="7" max="7" width="12.6640625" style="28" customWidth="1"/>
    <col min="8" max="13" width="9.77734375" style="28" customWidth="1"/>
    <col min="14" max="16384" width="8.88671875" style="28"/>
  </cols>
  <sheetData>
    <row r="1" spans="2:13">
      <c r="B1" s="162" t="str">
        <f>inputPrYr!$D$2</f>
        <v>City of Horace</v>
      </c>
      <c r="C1" s="27"/>
      <c r="D1" s="27"/>
      <c r="E1" s="27"/>
      <c r="F1" s="27"/>
      <c r="G1" s="27"/>
      <c r="H1" s="27"/>
      <c r="I1" s="27"/>
      <c r="J1" s="27"/>
      <c r="K1" s="27"/>
      <c r="L1" s="27"/>
      <c r="M1" s="123">
        <f>inputPrYr!$C$5</f>
        <v>2013</v>
      </c>
    </row>
    <row r="2" spans="2:13">
      <c r="B2" s="162"/>
      <c r="C2" s="27"/>
      <c r="D2" s="27"/>
      <c r="E2" s="27"/>
      <c r="F2" s="27"/>
      <c r="G2" s="27"/>
      <c r="H2" s="27"/>
      <c r="I2" s="27"/>
      <c r="J2" s="27"/>
      <c r="K2" s="27"/>
      <c r="L2" s="27"/>
      <c r="M2" s="178"/>
    </row>
    <row r="3" spans="2:13">
      <c r="B3" s="199" t="s">
        <v>143</v>
      </c>
      <c r="C3" s="36"/>
      <c r="D3" s="36"/>
      <c r="E3" s="36"/>
      <c r="F3" s="36"/>
      <c r="G3" s="36"/>
      <c r="H3" s="36"/>
      <c r="I3" s="36"/>
      <c r="J3" s="36"/>
      <c r="K3" s="36"/>
      <c r="L3" s="36"/>
      <c r="M3" s="36"/>
    </row>
    <row r="4" spans="2:13">
      <c r="B4" s="27"/>
      <c r="C4" s="200"/>
      <c r="D4" s="200"/>
      <c r="E4" s="200"/>
      <c r="F4" s="200"/>
      <c r="G4" s="200"/>
      <c r="H4" s="200"/>
      <c r="I4" s="200"/>
      <c r="J4" s="200"/>
      <c r="K4" s="200"/>
      <c r="L4" s="200"/>
      <c r="M4" s="200"/>
    </row>
    <row r="5" spans="2:13">
      <c r="B5" s="179"/>
      <c r="C5" s="179" t="s">
        <v>114</v>
      </c>
      <c r="D5" s="179" t="s">
        <v>114</v>
      </c>
      <c r="E5" s="179" t="s">
        <v>128</v>
      </c>
      <c r="F5" s="179"/>
      <c r="G5" s="179" t="s">
        <v>256</v>
      </c>
      <c r="H5" s="27"/>
      <c r="I5" s="27"/>
      <c r="J5" s="201" t="s">
        <v>115</v>
      </c>
      <c r="K5" s="202"/>
      <c r="L5" s="201" t="s">
        <v>115</v>
      </c>
      <c r="M5" s="202"/>
    </row>
    <row r="6" spans="2:13">
      <c r="B6" s="203" t="s">
        <v>297</v>
      </c>
      <c r="C6" s="203" t="s">
        <v>116</v>
      </c>
      <c r="D6" s="203" t="s">
        <v>226</v>
      </c>
      <c r="E6" s="203" t="s">
        <v>117</v>
      </c>
      <c r="F6" s="203" t="s">
        <v>74</v>
      </c>
      <c r="G6" s="203" t="s">
        <v>205</v>
      </c>
      <c r="H6" s="542" t="s">
        <v>118</v>
      </c>
      <c r="I6" s="543"/>
      <c r="J6" s="542">
        <f>inputPrYr!$C$5-1</f>
        <v>2012</v>
      </c>
      <c r="K6" s="545"/>
      <c r="L6" s="544">
        <f>inputPrYr!$C$5</f>
        <v>2013</v>
      </c>
      <c r="M6" s="545"/>
    </row>
    <row r="7" spans="2:13">
      <c r="B7" s="206" t="s">
        <v>296</v>
      </c>
      <c r="C7" s="206" t="s">
        <v>119</v>
      </c>
      <c r="D7" s="206" t="s">
        <v>227</v>
      </c>
      <c r="E7" s="206" t="s">
        <v>95</v>
      </c>
      <c r="F7" s="206" t="s">
        <v>120</v>
      </c>
      <c r="G7" s="204" t="str">
        <f>CONCATENATE("Jan 1,",M1-1,"")</f>
        <v>Jan 1,2012</v>
      </c>
      <c r="H7" s="149" t="s">
        <v>128</v>
      </c>
      <c r="I7" s="149" t="s">
        <v>130</v>
      </c>
      <c r="J7" s="149" t="s">
        <v>128</v>
      </c>
      <c r="K7" s="149" t="s">
        <v>130</v>
      </c>
      <c r="L7" s="149" t="s">
        <v>128</v>
      </c>
      <c r="M7" s="149" t="s">
        <v>130</v>
      </c>
    </row>
    <row r="8" spans="2:13">
      <c r="B8" s="205" t="s">
        <v>121</v>
      </c>
      <c r="C8" s="49"/>
      <c r="D8" s="49"/>
      <c r="E8" s="207"/>
      <c r="F8" s="151"/>
      <c r="G8" s="151"/>
      <c r="H8" s="49"/>
      <c r="I8" s="49"/>
      <c r="J8" s="151"/>
      <c r="K8" s="151"/>
      <c r="L8" s="151"/>
      <c r="M8" s="151"/>
    </row>
    <row r="9" spans="2:13">
      <c r="B9" s="208"/>
      <c r="C9" s="231"/>
      <c r="D9" s="231"/>
      <c r="E9" s="209"/>
      <c r="F9" s="210"/>
      <c r="G9" s="211"/>
      <c r="H9" s="212"/>
      <c r="I9" s="212"/>
      <c r="J9" s="211"/>
      <c r="K9" s="211"/>
      <c r="L9" s="211"/>
      <c r="M9" s="211"/>
    </row>
    <row r="10" spans="2:13">
      <c r="B10" s="208"/>
      <c r="C10" s="231"/>
      <c r="D10" s="231"/>
      <c r="E10" s="209"/>
      <c r="F10" s="210"/>
      <c r="G10" s="211"/>
      <c r="H10" s="212"/>
      <c r="I10" s="212"/>
      <c r="J10" s="211"/>
      <c r="K10" s="211"/>
      <c r="L10" s="211"/>
      <c r="M10" s="211"/>
    </row>
    <row r="11" spans="2:13">
      <c r="B11" s="208"/>
      <c r="C11" s="231"/>
      <c r="D11" s="231"/>
      <c r="E11" s="209"/>
      <c r="F11" s="210"/>
      <c r="G11" s="211"/>
      <c r="H11" s="212"/>
      <c r="I11" s="212"/>
      <c r="J11" s="211"/>
      <c r="K11" s="211"/>
      <c r="L11" s="211"/>
      <c r="M11" s="211"/>
    </row>
    <row r="12" spans="2:13">
      <c r="B12" s="208"/>
      <c r="C12" s="231"/>
      <c r="D12" s="231"/>
      <c r="E12" s="209"/>
      <c r="F12" s="210"/>
      <c r="G12" s="211"/>
      <c r="H12" s="212"/>
      <c r="I12" s="212"/>
      <c r="J12" s="211"/>
      <c r="K12" s="211"/>
      <c r="L12" s="211"/>
      <c r="M12" s="211"/>
    </row>
    <row r="13" spans="2:13">
      <c r="B13" s="208"/>
      <c r="C13" s="231"/>
      <c r="D13" s="231"/>
      <c r="E13" s="209"/>
      <c r="F13" s="210"/>
      <c r="G13" s="211"/>
      <c r="H13" s="212"/>
      <c r="I13" s="212"/>
      <c r="J13" s="211"/>
      <c r="K13" s="211"/>
      <c r="L13" s="211"/>
      <c r="M13" s="211"/>
    </row>
    <row r="14" spans="2:13">
      <c r="B14" s="208"/>
      <c r="C14" s="231"/>
      <c r="D14" s="231"/>
      <c r="E14" s="209"/>
      <c r="F14" s="210"/>
      <c r="G14" s="211"/>
      <c r="H14" s="212"/>
      <c r="I14" s="212"/>
      <c r="J14" s="211"/>
      <c r="K14" s="211"/>
      <c r="L14" s="211"/>
      <c r="M14" s="211"/>
    </row>
    <row r="15" spans="2:13">
      <c r="B15" s="194" t="s">
        <v>122</v>
      </c>
      <c r="C15" s="213"/>
      <c r="D15" s="213"/>
      <c r="E15" s="214"/>
      <c r="F15" s="215"/>
      <c r="G15" s="216">
        <f>SUM(G9:G14)</f>
        <v>0</v>
      </c>
      <c r="H15" s="217"/>
      <c r="I15" s="217"/>
      <c r="J15" s="216">
        <f>SUM(J9:J14)</f>
        <v>0</v>
      </c>
      <c r="K15" s="216">
        <f>SUM(K9:K14)</f>
        <v>0</v>
      </c>
      <c r="L15" s="216">
        <f>SUM(L9:L14)</f>
        <v>0</v>
      </c>
      <c r="M15" s="216">
        <f>SUM(M9:M14)</f>
        <v>0</v>
      </c>
    </row>
    <row r="16" spans="2:13">
      <c r="B16" s="149" t="s">
        <v>123</v>
      </c>
      <c r="C16" s="218"/>
      <c r="D16" s="218"/>
      <c r="E16" s="219"/>
      <c r="F16" s="181"/>
      <c r="G16" s="181"/>
      <c r="H16" s="220"/>
      <c r="I16" s="220"/>
      <c r="J16" s="181"/>
      <c r="K16" s="181"/>
      <c r="L16" s="181"/>
      <c r="M16" s="181"/>
    </row>
    <row r="17" spans="2:29">
      <c r="B17" s="208" t="s">
        <v>321</v>
      </c>
      <c r="C17" s="231">
        <v>33592</v>
      </c>
      <c r="D17" s="231">
        <v>48202</v>
      </c>
      <c r="E17" s="209">
        <v>5.88</v>
      </c>
      <c r="F17" s="210">
        <v>70500</v>
      </c>
      <c r="G17" s="211">
        <v>53500</v>
      </c>
      <c r="H17" s="212" t="s">
        <v>322</v>
      </c>
      <c r="I17" s="212">
        <v>41263</v>
      </c>
      <c r="J17" s="211">
        <v>3144</v>
      </c>
      <c r="K17" s="211">
        <v>1500</v>
      </c>
      <c r="L17" s="211">
        <v>3055</v>
      </c>
      <c r="M17" s="211">
        <v>1500</v>
      </c>
    </row>
    <row r="18" spans="2:29">
      <c r="B18" s="208"/>
      <c r="C18" s="231"/>
      <c r="D18" s="231"/>
      <c r="E18" s="209"/>
      <c r="F18" s="210"/>
      <c r="G18" s="211"/>
      <c r="H18" s="212"/>
      <c r="I18" s="212"/>
      <c r="J18" s="211"/>
      <c r="K18" s="211"/>
      <c r="L18" s="211"/>
      <c r="M18" s="211"/>
    </row>
    <row r="19" spans="2:29">
      <c r="B19" s="208"/>
      <c r="C19" s="231"/>
      <c r="D19" s="231"/>
      <c r="E19" s="209"/>
      <c r="F19" s="210"/>
      <c r="G19" s="211"/>
      <c r="H19" s="212"/>
      <c r="I19" s="212"/>
      <c r="J19" s="211"/>
      <c r="K19" s="211"/>
      <c r="L19" s="211"/>
      <c r="M19" s="211"/>
    </row>
    <row r="20" spans="2:29">
      <c r="B20" s="208"/>
      <c r="C20" s="231"/>
      <c r="D20" s="231"/>
      <c r="E20" s="209"/>
      <c r="F20" s="210"/>
      <c r="G20" s="211"/>
      <c r="H20" s="212"/>
      <c r="I20" s="212"/>
      <c r="J20" s="211"/>
      <c r="K20" s="211"/>
      <c r="L20" s="211"/>
      <c r="M20" s="211"/>
    </row>
    <row r="21" spans="2:29">
      <c r="B21" s="208"/>
      <c r="C21" s="231"/>
      <c r="D21" s="231"/>
      <c r="E21" s="209"/>
      <c r="F21" s="210"/>
      <c r="G21" s="211"/>
      <c r="H21" s="212"/>
      <c r="I21" s="212"/>
      <c r="J21" s="211"/>
      <c r="K21" s="211"/>
      <c r="L21" s="211"/>
      <c r="M21" s="211"/>
    </row>
    <row r="22" spans="2:29">
      <c r="B22" s="194" t="s">
        <v>124</v>
      </c>
      <c r="C22" s="213"/>
      <c r="D22" s="213"/>
      <c r="E22" s="221"/>
      <c r="F22" s="215"/>
      <c r="G22" s="222">
        <f>SUM(G17:G21)</f>
        <v>53500</v>
      </c>
      <c r="H22" s="217"/>
      <c r="I22" s="217"/>
      <c r="J22" s="222">
        <f>SUM(J17:J21)</f>
        <v>3144</v>
      </c>
      <c r="K22" s="222">
        <f>SUM(K17:K21)</f>
        <v>1500</v>
      </c>
      <c r="L22" s="216">
        <f>SUM(L17:L21)</f>
        <v>3055</v>
      </c>
      <c r="M22" s="222">
        <f>SUM(M17:M21)</f>
        <v>1500</v>
      </c>
    </row>
    <row r="23" spans="2:29">
      <c r="B23" s="149" t="s">
        <v>125</v>
      </c>
      <c r="C23" s="218"/>
      <c r="D23" s="218"/>
      <c r="E23" s="219"/>
      <c r="F23" s="181"/>
      <c r="G23" s="223"/>
      <c r="H23" s="220"/>
      <c r="I23" s="220"/>
      <c r="J23" s="181"/>
      <c r="K23" s="181"/>
      <c r="L23" s="181"/>
      <c r="M23" s="181"/>
    </row>
    <row r="24" spans="2:29">
      <c r="B24" s="208"/>
      <c r="C24" s="231"/>
      <c r="D24" s="231"/>
      <c r="E24" s="209"/>
      <c r="F24" s="210"/>
      <c r="G24" s="211"/>
      <c r="H24" s="212"/>
      <c r="I24" s="212"/>
      <c r="J24" s="211"/>
      <c r="K24" s="211"/>
      <c r="L24" s="211"/>
      <c r="M24" s="211"/>
    </row>
    <row r="25" spans="2:29">
      <c r="B25" s="208"/>
      <c r="C25" s="317"/>
      <c r="D25" s="231"/>
      <c r="E25" s="209"/>
      <c r="F25" s="210"/>
      <c r="G25" s="211"/>
      <c r="H25" s="212"/>
      <c r="I25" s="212"/>
      <c r="J25" s="211"/>
      <c r="K25" s="211"/>
      <c r="L25" s="211"/>
      <c r="M25" s="211"/>
    </row>
    <row r="26" spans="2:29">
      <c r="B26" s="208"/>
      <c r="C26" s="231"/>
      <c r="D26" s="231"/>
      <c r="E26" s="209"/>
      <c r="F26" s="210"/>
      <c r="G26" s="211"/>
      <c r="H26" s="212"/>
      <c r="I26" s="212"/>
      <c r="J26" s="211"/>
      <c r="K26" s="211"/>
      <c r="L26" s="211"/>
      <c r="M26" s="211"/>
    </row>
    <row r="27" spans="2:29">
      <c r="B27" s="208"/>
      <c r="C27" s="231"/>
      <c r="D27" s="231"/>
      <c r="E27" s="209"/>
      <c r="F27" s="210"/>
      <c r="G27" s="211"/>
      <c r="H27" s="212"/>
      <c r="I27" s="212"/>
      <c r="J27" s="211"/>
      <c r="K27" s="211"/>
      <c r="L27" s="211"/>
      <c r="M27" s="211"/>
    </row>
    <row r="28" spans="2:29">
      <c r="B28" s="208"/>
      <c r="C28" s="231"/>
      <c r="D28" s="231"/>
      <c r="E28" s="209"/>
      <c r="F28" s="210"/>
      <c r="G28" s="211"/>
      <c r="H28" s="212"/>
      <c r="I28" s="212"/>
      <c r="J28" s="211"/>
      <c r="K28" s="211"/>
      <c r="L28" s="211"/>
      <c r="M28" s="211"/>
    </row>
    <row r="29" spans="2:29">
      <c r="B29" s="208"/>
      <c r="C29" s="231"/>
      <c r="D29" s="231"/>
      <c r="E29" s="209"/>
      <c r="F29" s="210"/>
      <c r="G29" s="211"/>
      <c r="H29" s="212"/>
      <c r="I29" s="212"/>
      <c r="J29" s="211"/>
      <c r="K29" s="211"/>
      <c r="L29" s="211"/>
      <c r="M29" s="211"/>
      <c r="N29" s="24"/>
      <c r="O29" s="24"/>
      <c r="P29" s="24"/>
      <c r="Q29" s="24"/>
      <c r="R29" s="24"/>
      <c r="S29" s="24"/>
      <c r="T29" s="24"/>
      <c r="U29" s="24"/>
      <c r="V29" s="24"/>
      <c r="W29" s="24"/>
      <c r="X29" s="24"/>
      <c r="Y29" s="24"/>
      <c r="Z29" s="24"/>
      <c r="AA29" s="24"/>
      <c r="AB29" s="24"/>
      <c r="AC29" s="24"/>
    </row>
    <row r="30" spans="2:29">
      <c r="B30" s="194" t="s">
        <v>210</v>
      </c>
      <c r="C30" s="194"/>
      <c r="D30" s="194"/>
      <c r="E30" s="221"/>
      <c r="F30" s="215"/>
      <c r="G30" s="222">
        <f>SUM(G24:G29)</f>
        <v>0</v>
      </c>
      <c r="H30" s="215"/>
      <c r="I30" s="215"/>
      <c r="J30" s="222">
        <f>SUM(J24:J29)</f>
        <v>0</v>
      </c>
      <c r="K30" s="222">
        <f>SUM(K24:K29)</f>
        <v>0</v>
      </c>
      <c r="L30" s="222">
        <f>SUM(L24:L29)</f>
        <v>0</v>
      </c>
      <c r="M30" s="222">
        <f>SUM(M24:M29)</f>
        <v>0</v>
      </c>
    </row>
    <row r="31" spans="2:29">
      <c r="B31" s="194" t="s">
        <v>126</v>
      </c>
      <c r="C31" s="194"/>
      <c r="D31" s="194"/>
      <c r="E31" s="194"/>
      <c r="F31" s="215"/>
      <c r="G31" s="222">
        <f>SUM(G15+G22+G30)</f>
        <v>53500</v>
      </c>
      <c r="H31" s="215"/>
      <c r="I31" s="215"/>
      <c r="J31" s="222">
        <f>SUM(J15+J22+J30)</f>
        <v>3144</v>
      </c>
      <c r="K31" s="222">
        <f>SUM(K15+K22+K30)</f>
        <v>1500</v>
      </c>
      <c r="L31" s="222">
        <f>SUM(L15+L22+L30)</f>
        <v>3055</v>
      </c>
      <c r="M31" s="222">
        <f>SUM(M15+M22+M30)</f>
        <v>1500</v>
      </c>
    </row>
    <row r="32" spans="2:29">
      <c r="C32" s="24"/>
      <c r="D32" s="24"/>
      <c r="E32" s="24"/>
      <c r="F32" s="24"/>
      <c r="G32" s="24"/>
      <c r="H32" s="24"/>
      <c r="I32" s="24"/>
      <c r="J32" s="24"/>
      <c r="K32" s="24"/>
      <c r="L32" s="24"/>
      <c r="M32" s="24"/>
    </row>
    <row r="33" spans="2:14">
      <c r="F33" s="224"/>
      <c r="G33" s="224"/>
      <c r="J33" s="224"/>
      <c r="K33" s="224"/>
      <c r="L33" s="224"/>
      <c r="M33" s="224"/>
    </row>
    <row r="34" spans="2:14">
      <c r="B34" s="24"/>
      <c r="F34" s="24"/>
      <c r="H34" s="225"/>
      <c r="N34" s="24"/>
    </row>
    <row r="35" spans="2:14">
      <c r="B35" s="24"/>
      <c r="C35" s="24"/>
      <c r="D35" s="24"/>
      <c r="E35" s="24"/>
      <c r="F35" s="24"/>
      <c r="G35" s="24"/>
      <c r="H35" s="24"/>
      <c r="I35" s="24"/>
      <c r="J35" s="24"/>
      <c r="K35" s="24"/>
      <c r="L35" s="24"/>
      <c r="M35" s="24"/>
    </row>
    <row r="36" spans="2:14">
      <c r="C36" s="24"/>
      <c r="D36" s="24"/>
      <c r="E36" s="24"/>
      <c r="F36" s="24"/>
      <c r="G36" s="24"/>
      <c r="H36" s="24"/>
      <c r="I36" s="24"/>
      <c r="J36" s="24"/>
      <c r="K36" s="24"/>
      <c r="L36" s="24"/>
      <c r="M36" s="24"/>
    </row>
  </sheetData>
  <sheetProtection sheet="1"/>
  <mergeCells count="3">
    <mergeCell ref="H6:I6"/>
    <mergeCell ref="L6:M6"/>
    <mergeCell ref="J6:K6"/>
  </mergeCells>
  <phoneticPr fontId="0" type="noConversion"/>
  <pageMargins left="0.15" right="0.15" top="1" bottom="0.5" header="0.5" footer="0"/>
  <pageSetup scale="77" orientation="landscape" blackAndWhite="1" r:id="rId1"/>
  <headerFooter alignWithMargins="0">
    <oddHeader xml:space="preserve">&amp;RState of Kansas
City
</oddHeader>
    <oddFooter>&amp;CPage No. 5</oddFooter>
  </headerFooter>
</worksheet>
</file>

<file path=xl/worksheets/sheet7.xml><?xml version="1.0" encoding="utf-8"?>
<worksheet xmlns="http://schemas.openxmlformats.org/spreadsheetml/2006/main" xmlns:r="http://schemas.openxmlformats.org/officeDocument/2006/relationships">
  <dimension ref="B1:K31"/>
  <sheetViews>
    <sheetView zoomScaleNormal="100" workbookViewId="0">
      <selection activeCell="B20" sqref="B20"/>
    </sheetView>
  </sheetViews>
  <sheetFormatPr defaultRowHeight="15.75"/>
  <cols>
    <col min="1" max="1" width="10.77734375" style="28" customWidth="1"/>
    <col min="2" max="2" width="25.77734375" style="28" customWidth="1"/>
    <col min="3" max="3" width="11.77734375" style="28" customWidth="1"/>
    <col min="4" max="5" width="9.77734375" style="28" customWidth="1"/>
    <col min="6" max="6" width="17.109375" style="28" customWidth="1"/>
    <col min="7" max="9" width="15.77734375" style="28" customWidth="1"/>
    <col min="10" max="11" width="9.77734375" style="28" customWidth="1"/>
    <col min="12" max="16384" width="8.88671875" style="28"/>
  </cols>
  <sheetData>
    <row r="1" spans="2:11">
      <c r="B1" s="162" t="str">
        <f>inputPrYr!$D$2</f>
        <v>City of Horace</v>
      </c>
      <c r="C1" s="27"/>
      <c r="D1" s="27"/>
      <c r="E1" s="27"/>
      <c r="F1" s="27"/>
      <c r="G1" s="27"/>
      <c r="H1" s="27"/>
      <c r="I1" s="123">
        <f>inputPrYr!$C$5</f>
        <v>2013</v>
      </c>
      <c r="J1" s="24"/>
      <c r="K1" s="226"/>
    </row>
    <row r="2" spans="2:11">
      <c r="B2" s="162"/>
      <c r="C2" s="27"/>
      <c r="D2" s="27"/>
      <c r="E2" s="27"/>
      <c r="F2" s="27"/>
      <c r="G2" s="27"/>
      <c r="H2" s="27"/>
      <c r="I2" s="27"/>
      <c r="J2" s="24"/>
      <c r="K2" s="226"/>
    </row>
    <row r="3" spans="2:11">
      <c r="B3" s="199" t="s">
        <v>178</v>
      </c>
      <c r="C3" s="36"/>
      <c r="D3" s="36"/>
      <c r="E3" s="36"/>
      <c r="F3" s="36"/>
      <c r="G3" s="36"/>
      <c r="H3" s="36"/>
      <c r="I3" s="36"/>
      <c r="J3" s="227"/>
      <c r="K3" s="227"/>
    </row>
    <row r="4" spans="2:11">
      <c r="B4" s="27"/>
      <c r="C4" s="200"/>
      <c r="D4" s="200"/>
      <c r="E4" s="200"/>
      <c r="F4" s="200"/>
      <c r="G4" s="200"/>
      <c r="H4" s="200"/>
      <c r="I4" s="200"/>
      <c r="J4" s="228"/>
      <c r="K4" s="228"/>
    </row>
    <row r="5" spans="2:11">
      <c r="B5" s="154"/>
      <c r="C5" s="154"/>
      <c r="D5" s="154"/>
      <c r="E5" s="154"/>
      <c r="F5" s="179" t="s">
        <v>52</v>
      </c>
      <c r="G5" s="154"/>
      <c r="H5" s="154"/>
      <c r="I5" s="154"/>
      <c r="J5" s="229"/>
      <c r="K5" s="126"/>
    </row>
    <row r="6" spans="2:11">
      <c r="B6" s="144"/>
      <c r="C6" s="203"/>
      <c r="D6" s="203" t="s">
        <v>127</v>
      </c>
      <c r="E6" s="203" t="s">
        <v>128</v>
      </c>
      <c r="F6" s="203" t="s">
        <v>74</v>
      </c>
      <c r="G6" s="203" t="s">
        <v>220</v>
      </c>
      <c r="H6" s="203" t="s">
        <v>131</v>
      </c>
      <c r="I6" s="203" t="s">
        <v>131</v>
      </c>
    </row>
    <row r="7" spans="2:11">
      <c r="B7" s="203" t="s">
        <v>298</v>
      </c>
      <c r="C7" s="203" t="s">
        <v>132</v>
      </c>
      <c r="D7" s="203" t="s">
        <v>133</v>
      </c>
      <c r="E7" s="203" t="s">
        <v>117</v>
      </c>
      <c r="F7" s="203" t="s">
        <v>134</v>
      </c>
      <c r="G7" s="203" t="s">
        <v>221</v>
      </c>
      <c r="H7" s="203" t="s">
        <v>135</v>
      </c>
      <c r="I7" s="203" t="s">
        <v>135</v>
      </c>
    </row>
    <row r="8" spans="2:11">
      <c r="B8" s="206" t="s">
        <v>299</v>
      </c>
      <c r="C8" s="206" t="s">
        <v>114</v>
      </c>
      <c r="D8" s="230" t="s">
        <v>136</v>
      </c>
      <c r="E8" s="206" t="s">
        <v>95</v>
      </c>
      <c r="F8" s="230" t="s">
        <v>206</v>
      </c>
      <c r="G8" s="206">
        <f>inputPrYr!C5-1</f>
        <v>2012</v>
      </c>
      <c r="H8" s="206">
        <f>inputPrYr!C5-1</f>
        <v>2012</v>
      </c>
      <c r="I8" s="189">
        <f>inputPrYr!$C$5</f>
        <v>2013</v>
      </c>
    </row>
    <row r="9" spans="2:11">
      <c r="B9" s="208"/>
      <c r="C9" s="231"/>
      <c r="D9" s="231"/>
      <c r="E9" s="209"/>
      <c r="F9" s="210"/>
      <c r="G9" s="210"/>
      <c r="H9" s="210"/>
      <c r="I9" s="210"/>
    </row>
    <row r="10" spans="2:11">
      <c r="B10" s="208"/>
      <c r="C10" s="231"/>
      <c r="D10" s="231"/>
      <c r="E10" s="209"/>
      <c r="F10" s="210"/>
      <c r="G10" s="210"/>
      <c r="H10" s="210"/>
      <c r="I10" s="210"/>
    </row>
    <row r="11" spans="2:11">
      <c r="B11" s="208"/>
      <c r="C11" s="208"/>
      <c r="D11" s="231"/>
      <c r="E11" s="209"/>
      <c r="F11" s="210"/>
      <c r="G11" s="210"/>
      <c r="H11" s="210"/>
      <c r="I11" s="210"/>
    </row>
    <row r="12" spans="2:11">
      <c r="B12" s="208"/>
      <c r="C12" s="208"/>
      <c r="D12" s="231"/>
      <c r="E12" s="209"/>
      <c r="F12" s="210"/>
      <c r="G12" s="210"/>
      <c r="H12" s="210"/>
      <c r="I12" s="210"/>
    </row>
    <row r="13" spans="2:11">
      <c r="B13" s="208"/>
      <c r="C13" s="208"/>
      <c r="D13" s="231"/>
      <c r="E13" s="209"/>
      <c r="F13" s="210"/>
      <c r="G13" s="210"/>
      <c r="H13" s="210"/>
      <c r="I13" s="210"/>
    </row>
    <row r="14" spans="2:11">
      <c r="B14" s="208"/>
      <c r="C14" s="231"/>
      <c r="D14" s="231"/>
      <c r="E14" s="209"/>
      <c r="F14" s="210"/>
      <c r="G14" s="210"/>
      <c r="H14" s="210"/>
      <c r="I14" s="210"/>
    </row>
    <row r="15" spans="2:11">
      <c r="B15" s="208"/>
      <c r="C15" s="208"/>
      <c r="D15" s="231"/>
      <c r="E15" s="209"/>
      <c r="F15" s="210"/>
      <c r="G15" s="210"/>
      <c r="H15" s="210"/>
      <c r="I15" s="210"/>
    </row>
    <row r="16" spans="2:11">
      <c r="B16" s="208"/>
      <c r="C16" s="208"/>
      <c r="D16" s="231"/>
      <c r="E16" s="209"/>
      <c r="F16" s="210"/>
      <c r="G16" s="210"/>
      <c r="H16" s="210"/>
      <c r="I16" s="210"/>
    </row>
    <row r="17" spans="2:11">
      <c r="B17" s="208"/>
      <c r="C17" s="208"/>
      <c r="D17" s="231"/>
      <c r="E17" s="209"/>
      <c r="F17" s="210"/>
      <c r="G17" s="210"/>
      <c r="H17" s="210"/>
      <c r="I17" s="210"/>
    </row>
    <row r="18" spans="2:11">
      <c r="B18" s="208"/>
      <c r="C18" s="208"/>
      <c r="D18" s="231"/>
      <c r="E18" s="209"/>
      <c r="F18" s="210"/>
      <c r="G18" s="210"/>
      <c r="H18" s="210"/>
      <c r="I18" s="210"/>
    </row>
    <row r="19" spans="2:11">
      <c r="B19" s="208"/>
      <c r="C19" s="208"/>
      <c r="D19" s="231"/>
      <c r="E19" s="209"/>
      <c r="F19" s="210"/>
      <c r="G19" s="210"/>
      <c r="H19" s="210"/>
      <c r="I19" s="210"/>
    </row>
    <row r="20" spans="2:11" ht="16.5" thickBot="1">
      <c r="B20" s="163"/>
      <c r="C20" s="163"/>
      <c r="D20" s="163"/>
      <c r="E20" s="163"/>
      <c r="F20" s="163" t="s">
        <v>81</v>
      </c>
      <c r="G20" s="232">
        <f>SUM(G9:G19)</f>
        <v>0</v>
      </c>
      <c r="H20" s="232">
        <f>SUM(H9:H19)</f>
        <v>0</v>
      </c>
      <c r="I20" s="233">
        <f>SUM(I9:I19)</f>
        <v>0</v>
      </c>
    </row>
    <row r="21" spans="2:11" ht="16.5" thickTop="1">
      <c r="B21" s="27"/>
      <c r="C21" s="27"/>
      <c r="D21" s="27"/>
      <c r="E21" s="27"/>
      <c r="F21" s="27"/>
      <c r="G21" s="27"/>
      <c r="H21" s="27"/>
      <c r="I21" s="27"/>
      <c r="J21" s="224"/>
      <c r="K21" s="224"/>
    </row>
    <row r="22" spans="2:11">
      <c r="B22" s="234" t="s">
        <v>37</v>
      </c>
      <c r="C22" s="235"/>
      <c r="D22" s="235"/>
      <c r="E22" s="235"/>
      <c r="F22" s="235"/>
      <c r="G22" s="235"/>
      <c r="H22" s="27"/>
      <c r="I22" s="27"/>
      <c r="J22" s="224"/>
      <c r="K22" s="224"/>
    </row>
    <row r="31" spans="2:11">
      <c r="D31" s="225"/>
    </row>
  </sheetData>
  <sheetProtection sheet="1"/>
  <phoneticPr fontId="0" type="noConversion"/>
  <pageMargins left="0.47" right="0.4" top="1" bottom="0.5" header="0.5" footer="0.5"/>
  <pageSetup scale="80" orientation="landscape" blackAndWhite="1" r:id="rId1"/>
  <headerFooter alignWithMargins="0">
    <oddHeader xml:space="preserve">&amp;RState of Kansas
City
</oddHeader>
    <oddFooter>&amp;CPage No. 6</oddFooter>
  </headerFooter>
</worksheet>
</file>

<file path=xl/worksheets/sheet8.xml><?xml version="1.0" encoding="utf-8"?>
<worksheet xmlns="http://schemas.openxmlformats.org/spreadsheetml/2006/main" xmlns:r="http://schemas.openxmlformats.org/officeDocument/2006/relationships">
  <dimension ref="B1:P77"/>
  <sheetViews>
    <sheetView topLeftCell="A38" zoomScaleNormal="100" workbookViewId="0">
      <selection activeCell="K35" sqref="K35"/>
    </sheetView>
  </sheetViews>
  <sheetFormatPr defaultRowHeight="15.75"/>
  <cols>
    <col min="1" max="1" width="2.44140625" style="28" customWidth="1"/>
    <col min="2" max="2" width="31.109375" style="28" customWidth="1"/>
    <col min="3" max="4" width="15.77734375" style="28" customWidth="1"/>
    <col min="5" max="5" width="16.21875" style="28" customWidth="1"/>
    <col min="6" max="6" width="7.21875" style="28" customWidth="1"/>
    <col min="7" max="7" width="10.21875" style="28" customWidth="1"/>
    <col min="8" max="8" width="8.88671875" style="28"/>
    <col min="9" max="9" width="5" style="28" customWidth="1"/>
    <col min="10" max="10" width="10" style="28" customWidth="1"/>
    <col min="11" max="16384" width="8.88671875" style="28"/>
  </cols>
  <sheetData>
    <row r="1" spans="2:5">
      <c r="B1" s="162" t="str">
        <f>(inputPrYr!D2)</f>
        <v>City of Horace</v>
      </c>
      <c r="C1" s="27"/>
      <c r="D1" s="27"/>
      <c r="E1" s="123">
        <f>inputPrYr!$C$5</f>
        <v>2013</v>
      </c>
    </row>
    <row r="2" spans="2:5">
      <c r="B2" s="27"/>
      <c r="C2" s="27"/>
      <c r="D2" s="27"/>
      <c r="E2" s="178"/>
    </row>
    <row r="3" spans="2:5">
      <c r="B3" s="44"/>
      <c r="C3" s="183"/>
      <c r="D3" s="183"/>
      <c r="E3" s="125"/>
    </row>
    <row r="4" spans="2:5">
      <c r="B4" s="44" t="s">
        <v>141</v>
      </c>
      <c r="C4" s="236"/>
      <c r="D4" s="236"/>
      <c r="E4" s="236"/>
    </row>
    <row r="5" spans="2:5">
      <c r="B5" s="32" t="s">
        <v>82</v>
      </c>
      <c r="C5" s="497" t="s">
        <v>288</v>
      </c>
      <c r="D5" s="498" t="s">
        <v>289</v>
      </c>
      <c r="E5" s="136" t="s">
        <v>290</v>
      </c>
    </row>
    <row r="6" spans="2:5">
      <c r="B6" s="364" t="str">
        <f>+(inputPrYr!B17)</f>
        <v>General</v>
      </c>
      <c r="C6" s="291" t="str">
        <f>CONCATENATE("Actual for ",$E$1-2,"")</f>
        <v>Actual for 2011</v>
      </c>
      <c r="D6" s="327" t="str">
        <f>CONCATENATE("Estimate for ",$E$1-1,"")</f>
        <v>Estimate for 2012</v>
      </c>
      <c r="E6" s="189" t="str">
        <f>CONCATENATE("Year for ",$E$1,"")</f>
        <v>Year for 2013</v>
      </c>
    </row>
    <row r="7" spans="2:5">
      <c r="B7" s="140" t="s">
        <v>198</v>
      </c>
      <c r="C7" s="334">
        <v>13140</v>
      </c>
      <c r="D7" s="352">
        <f>C52</f>
        <v>9193</v>
      </c>
      <c r="E7" s="237">
        <f>D52</f>
        <v>9140</v>
      </c>
    </row>
    <row r="8" spans="2:5">
      <c r="B8" s="238" t="s">
        <v>200</v>
      </c>
      <c r="C8" s="335"/>
      <c r="D8" s="352"/>
      <c r="E8" s="239"/>
    </row>
    <row r="9" spans="2:5">
      <c r="B9" s="140" t="s">
        <v>83</v>
      </c>
      <c r="C9" s="334">
        <v>15827</v>
      </c>
      <c r="D9" s="352">
        <f>IF(inputPrYr!H16&gt;0,inputPrYr!G17,inputPrYr!E17)</f>
        <v>17009</v>
      </c>
      <c r="E9" s="240" t="s">
        <v>70</v>
      </c>
    </row>
    <row r="10" spans="2:5">
      <c r="B10" s="140" t="s">
        <v>84</v>
      </c>
      <c r="C10" s="334">
        <v>463</v>
      </c>
      <c r="D10" s="336">
        <v>250</v>
      </c>
      <c r="E10" s="241">
        <v>250</v>
      </c>
    </row>
    <row r="11" spans="2:5">
      <c r="B11" s="140" t="s">
        <v>85</v>
      </c>
      <c r="C11" s="334">
        <f>5529+21</f>
        <v>5550</v>
      </c>
      <c r="D11" s="336">
        <v>3971</v>
      </c>
      <c r="E11" s="242">
        <f>Mvalloc!D9</f>
        <v>3780</v>
      </c>
    </row>
    <row r="12" spans="2:5">
      <c r="B12" s="140" t="s">
        <v>86</v>
      </c>
      <c r="C12" s="334">
        <v>227</v>
      </c>
      <c r="D12" s="336">
        <v>112</v>
      </c>
      <c r="E12" s="242">
        <f>Mvalloc!E9</f>
        <v>169</v>
      </c>
    </row>
    <row r="13" spans="2:5">
      <c r="B13" s="243" t="s">
        <v>137</v>
      </c>
      <c r="C13" s="334">
        <v>14</v>
      </c>
      <c r="D13" s="336">
        <v>13</v>
      </c>
      <c r="E13" s="242">
        <f>Mvalloc!F9</f>
        <v>11</v>
      </c>
    </row>
    <row r="14" spans="2:5">
      <c r="B14" s="243" t="s">
        <v>179</v>
      </c>
      <c r="C14" s="334"/>
      <c r="D14" s="336"/>
      <c r="E14" s="242">
        <f>inputOth!E16</f>
        <v>0</v>
      </c>
    </row>
    <row r="15" spans="2:5">
      <c r="B15" s="243" t="s">
        <v>42</v>
      </c>
      <c r="C15" s="334"/>
      <c r="D15" s="336"/>
      <c r="E15" s="242">
        <f>inputOth!E36</f>
        <v>0</v>
      </c>
    </row>
    <row r="16" spans="2:5">
      <c r="B16" s="243" t="s">
        <v>44</v>
      </c>
      <c r="C16" s="334"/>
      <c r="D16" s="336"/>
      <c r="E16" s="242">
        <f>inputOth!E37</f>
        <v>0</v>
      </c>
    </row>
    <row r="17" spans="2:5" hidden="1">
      <c r="B17" s="336"/>
      <c r="C17" s="334"/>
      <c r="D17" s="336"/>
      <c r="E17" s="241"/>
    </row>
    <row r="18" spans="2:5">
      <c r="B18" s="244" t="s">
        <v>87</v>
      </c>
      <c r="C18" s="334"/>
      <c r="D18" s="336"/>
      <c r="E18" s="241"/>
    </row>
    <row r="19" spans="2:5">
      <c r="B19" s="353" t="s">
        <v>174</v>
      </c>
      <c r="C19" s="334">
        <v>7311</v>
      </c>
      <c r="D19" s="336">
        <v>7500</v>
      </c>
      <c r="E19" s="241">
        <v>8000</v>
      </c>
    </row>
    <row r="20" spans="2:5">
      <c r="B20" s="244" t="s">
        <v>175</v>
      </c>
      <c r="C20" s="334">
        <v>1260</v>
      </c>
      <c r="D20" s="336">
        <v>1000</v>
      </c>
      <c r="E20" s="245">
        <v>1000</v>
      </c>
    </row>
    <row r="21" spans="2:5">
      <c r="B21" s="244" t="s">
        <v>323</v>
      </c>
      <c r="C21" s="334">
        <v>159</v>
      </c>
      <c r="D21" s="336"/>
      <c r="E21" s="241"/>
    </row>
    <row r="22" spans="2:5">
      <c r="B22" s="244" t="s">
        <v>324</v>
      </c>
      <c r="C22" s="334">
        <v>-215</v>
      </c>
      <c r="D22" s="336"/>
      <c r="E22" s="241"/>
    </row>
    <row r="23" spans="2:5">
      <c r="B23" s="244" t="s">
        <v>325</v>
      </c>
      <c r="C23" s="334">
        <v>-1257</v>
      </c>
      <c r="D23" s="336"/>
      <c r="E23" s="241"/>
    </row>
    <row r="24" spans="2:5" hidden="1">
      <c r="B24" s="22"/>
      <c r="C24" s="334"/>
      <c r="D24" s="336"/>
      <c r="E24" s="241"/>
    </row>
    <row r="25" spans="2:5" hidden="1">
      <c r="B25" s="244"/>
      <c r="C25" s="334"/>
      <c r="D25" s="336"/>
      <c r="E25" s="241"/>
    </row>
    <row r="26" spans="2:5" hidden="1">
      <c r="B26" s="244"/>
      <c r="C26" s="332"/>
      <c r="D26" s="336"/>
      <c r="E26" s="241"/>
    </row>
    <row r="27" spans="2:5" hidden="1">
      <c r="B27" s="244"/>
      <c r="C27" s="332"/>
      <c r="D27" s="336"/>
      <c r="E27" s="241"/>
    </row>
    <row r="28" spans="2:5" hidden="1">
      <c r="B28" s="244"/>
      <c r="C28" s="334"/>
      <c r="D28" s="336"/>
      <c r="E28" s="241"/>
    </row>
    <row r="29" spans="2:5">
      <c r="B29" s="244" t="s">
        <v>88</v>
      </c>
      <c r="C29" s="334"/>
      <c r="D29" s="336"/>
      <c r="E29" s="241"/>
    </row>
    <row r="30" spans="2:5">
      <c r="B30" s="246" t="s">
        <v>89</v>
      </c>
      <c r="C30" s="334">
        <v>478</v>
      </c>
      <c r="D30" s="336">
        <v>592</v>
      </c>
      <c r="E30" s="241">
        <v>400</v>
      </c>
    </row>
    <row r="31" spans="2:5">
      <c r="B31" s="153" t="s">
        <v>176</v>
      </c>
      <c r="C31" s="332">
        <v>157</v>
      </c>
      <c r="D31" s="336"/>
      <c r="E31" s="247"/>
    </row>
    <row r="32" spans="2:5">
      <c r="B32" s="153" t="s">
        <v>258</v>
      </c>
      <c r="C32" s="326" t="str">
        <f>IF(C33*0.1&lt;C31,"Exceed 10% Rule","")</f>
        <v/>
      </c>
      <c r="D32" s="337" t="str">
        <f>IF(D33*0.1&lt;D31,"Exceed 10% Rule","")</f>
        <v/>
      </c>
      <c r="E32" s="248" t="str">
        <f>IF(E33*0.1+E58&lt;E31,"Exceed 10% Rule","")</f>
        <v/>
      </c>
    </row>
    <row r="33" spans="2:10">
      <c r="B33" s="249" t="s">
        <v>90</v>
      </c>
      <c r="C33" s="331">
        <f>SUM(C9:C31)</f>
        <v>29974</v>
      </c>
      <c r="D33" s="338">
        <f>SUM(D9:D31)</f>
        <v>30447</v>
      </c>
      <c r="E33" s="250">
        <f>SUM(E9:E31)</f>
        <v>13610</v>
      </c>
    </row>
    <row r="34" spans="2:10">
      <c r="B34" s="249" t="s">
        <v>91</v>
      </c>
      <c r="C34" s="331">
        <f>C7+C33</f>
        <v>43114</v>
      </c>
      <c r="D34" s="338">
        <f>D7+D33</f>
        <v>39640</v>
      </c>
      <c r="E34" s="251">
        <f>E7+E33</f>
        <v>22750</v>
      </c>
    </row>
    <row r="35" spans="2:10">
      <c r="B35" s="238" t="s">
        <v>92</v>
      </c>
      <c r="C35" s="333"/>
      <c r="D35" s="339"/>
      <c r="E35" s="242"/>
    </row>
    <row r="36" spans="2:10">
      <c r="B36" s="252" t="s">
        <v>326</v>
      </c>
      <c r="C36" s="332">
        <v>15280</v>
      </c>
      <c r="D36" s="336">
        <v>16000</v>
      </c>
      <c r="E36" s="350">
        <v>16000</v>
      </c>
    </row>
    <row r="37" spans="2:10">
      <c r="B37" s="252" t="s">
        <v>327</v>
      </c>
      <c r="C37" s="332">
        <f>14+822</f>
        <v>836</v>
      </c>
      <c r="D37" s="436">
        <v>1000</v>
      </c>
      <c r="E37" s="443">
        <v>1000</v>
      </c>
    </row>
    <row r="38" spans="2:10">
      <c r="B38" s="252" t="s">
        <v>328</v>
      </c>
      <c r="C38" s="332">
        <v>5521</v>
      </c>
      <c r="D38" s="436">
        <v>2000</v>
      </c>
      <c r="E38" s="443">
        <v>3000</v>
      </c>
    </row>
    <row r="39" spans="2:10">
      <c r="B39" s="439" t="s">
        <v>329</v>
      </c>
      <c r="C39" s="332">
        <v>3343</v>
      </c>
      <c r="D39" s="436">
        <v>3500</v>
      </c>
      <c r="E39" s="443">
        <v>4000</v>
      </c>
    </row>
    <row r="40" spans="2:10">
      <c r="B40" s="439" t="s">
        <v>330</v>
      </c>
      <c r="C40" s="332">
        <v>4453</v>
      </c>
      <c r="D40" s="436">
        <v>5000</v>
      </c>
      <c r="E40" s="443">
        <v>5000</v>
      </c>
    </row>
    <row r="41" spans="2:10">
      <c r="B41" s="439" t="s">
        <v>331</v>
      </c>
      <c r="C41" s="332">
        <v>750</v>
      </c>
      <c r="D41" s="436">
        <v>1000</v>
      </c>
      <c r="E41" s="443">
        <v>1000</v>
      </c>
    </row>
    <row r="42" spans="2:10">
      <c r="B42" s="439" t="s">
        <v>332</v>
      </c>
      <c r="C42" s="332">
        <v>737</v>
      </c>
      <c r="D42" s="436">
        <v>1000</v>
      </c>
      <c r="E42" s="443">
        <v>2000</v>
      </c>
    </row>
    <row r="43" spans="2:10">
      <c r="B43" s="439" t="s">
        <v>333</v>
      </c>
      <c r="C43" s="332">
        <f>155+76+276+536</f>
        <v>1043</v>
      </c>
      <c r="D43" s="436">
        <v>1000</v>
      </c>
      <c r="E43" s="443">
        <v>1000</v>
      </c>
    </row>
    <row r="44" spans="2:10">
      <c r="B44" s="439" t="s">
        <v>334</v>
      </c>
      <c r="C44" s="332">
        <v>1020</v>
      </c>
      <c r="D44" s="436"/>
      <c r="E44" s="443">
        <v>7000</v>
      </c>
    </row>
    <row r="45" spans="2:10">
      <c r="B45" s="439" t="s">
        <v>360</v>
      </c>
      <c r="C45" s="332">
        <v>308</v>
      </c>
      <c r="D45" s="436"/>
      <c r="E45" s="443"/>
    </row>
    <row r="46" spans="2:10">
      <c r="B46" s="439" t="s">
        <v>335</v>
      </c>
      <c r="C46" s="332"/>
      <c r="D46" s="436"/>
      <c r="E46" s="443"/>
    </row>
    <row r="47" spans="2:10">
      <c r="B47" s="439" t="s">
        <v>336</v>
      </c>
      <c r="C47" s="332"/>
      <c r="D47" s="436"/>
      <c r="E47" s="443"/>
      <c r="G47" s="546"/>
      <c r="H47" s="557"/>
      <c r="I47" s="557"/>
      <c r="J47" s="557"/>
    </row>
    <row r="48" spans="2:10">
      <c r="B48" s="153" t="s">
        <v>31</v>
      </c>
      <c r="C48" s="332"/>
      <c r="D48" s="336"/>
      <c r="E48" s="242"/>
    </row>
    <row r="49" spans="2:11">
      <c r="B49" s="153" t="s">
        <v>176</v>
      </c>
      <c r="C49" s="332">
        <v>630</v>
      </c>
      <c r="D49" s="336"/>
      <c r="E49" s="241"/>
    </row>
    <row r="50" spans="2:11">
      <c r="B50" s="153" t="s">
        <v>257</v>
      </c>
      <c r="C50" s="326" t="str">
        <f>IF(C51*0.1&lt;C49,"Exceed 10% Rule","")</f>
        <v/>
      </c>
      <c r="D50" s="337" t="str">
        <f>IF(D51*0.1&lt;D49,"Exceed 10% Rule","")</f>
        <v/>
      </c>
      <c r="E50" s="248" t="str">
        <f>IF(E51*0.1&lt;E49,"Exceed 10% Rule","")</f>
        <v/>
      </c>
    </row>
    <row r="51" spans="2:11">
      <c r="B51" s="249" t="s">
        <v>93</v>
      </c>
      <c r="C51" s="331">
        <f>SUM(C36:C49)</f>
        <v>33921</v>
      </c>
      <c r="D51" s="338">
        <f>SUM(D36:D49)</f>
        <v>30500</v>
      </c>
      <c r="E51" s="250">
        <f>SUM(E36:E49)</f>
        <v>40000</v>
      </c>
      <c r="G51" s="558" t="str">
        <f>CONCATENATE("Desired Carryover Into ",E1+1,"")</f>
        <v>Desired Carryover Into 2014</v>
      </c>
      <c r="H51" s="559"/>
      <c r="I51" s="559"/>
      <c r="J51" s="560"/>
    </row>
    <row r="52" spans="2:11">
      <c r="B52" s="140" t="s">
        <v>199</v>
      </c>
      <c r="C52" s="325">
        <f>C34-C51</f>
        <v>9193</v>
      </c>
      <c r="D52" s="195">
        <f>D34-D51</f>
        <v>9140</v>
      </c>
      <c r="E52" s="240" t="s">
        <v>70</v>
      </c>
      <c r="G52" s="426"/>
      <c r="H52" s="375"/>
      <c r="I52" s="391"/>
      <c r="J52" s="427"/>
    </row>
    <row r="53" spans="2:11">
      <c r="B53" s="171" t="str">
        <f>CONCATENATE("",E1-2,"/",E1-1," Budget Authority Amount:")</f>
        <v>2011/2012 Budget Authority Amount:</v>
      </c>
      <c r="C53" s="181">
        <f>inputOth!B55</f>
        <v>69500</v>
      </c>
      <c r="D53" s="181">
        <f>inputPrYr!D17</f>
        <v>45600</v>
      </c>
      <c r="E53" s="240" t="s">
        <v>70</v>
      </c>
      <c r="G53" s="397" t="s">
        <v>265</v>
      </c>
      <c r="H53" s="391"/>
      <c r="I53" s="391"/>
      <c r="J53" s="385">
        <v>0</v>
      </c>
    </row>
    <row r="54" spans="2:11">
      <c r="B54" s="171"/>
      <c r="C54" s="550" t="s">
        <v>259</v>
      </c>
      <c r="D54" s="551"/>
      <c r="E54" s="50"/>
      <c r="G54" s="426" t="s">
        <v>264</v>
      </c>
      <c r="H54" s="375"/>
      <c r="I54" s="375"/>
      <c r="J54" s="472" t="str">
        <f>IF(J53=0,"",ROUND((J53+E58-G66)/inputOth!E7*1000,3)-G71)</f>
        <v/>
      </c>
    </row>
    <row r="55" spans="2:11">
      <c r="B55" s="340" t="str">
        <f>CONCATENATE(C67,"     ",D67)</f>
        <v xml:space="preserve">     </v>
      </c>
      <c r="C55" s="552" t="s">
        <v>260</v>
      </c>
      <c r="D55" s="553"/>
      <c r="E55" s="151">
        <f>E51+E54</f>
        <v>40000</v>
      </c>
      <c r="G55" s="473" t="str">
        <f>CONCATENATE("",E1," Tot Exp/Non-Appr Must Be:")</f>
        <v>2013 Tot Exp/Non-Appr Must Be:</v>
      </c>
      <c r="H55" s="470"/>
      <c r="I55" s="471"/>
      <c r="J55" s="467">
        <f>IF(J53&gt;0,IF(E55&lt;E34,IF(J53=G66,E55,((J53-G66)*(1-D57))+E34),E55+(J53-G66)),0)</f>
        <v>0</v>
      </c>
    </row>
    <row r="56" spans="2:11">
      <c r="B56" s="340" t="str">
        <f>CONCATENATE(C68,"     ",D68)</f>
        <v xml:space="preserve">     </v>
      </c>
      <c r="C56" s="254"/>
      <c r="D56" s="178" t="s">
        <v>94</v>
      </c>
      <c r="E56" s="455">
        <f>IF(E55-E34&gt;0,E55-E34,0)</f>
        <v>17250</v>
      </c>
      <c r="G56" s="480" t="s">
        <v>292</v>
      </c>
      <c r="H56" s="484"/>
      <c r="I56" s="484"/>
      <c r="J56" s="474">
        <f>IF(J53&gt;0,J55-E55,0)</f>
        <v>0</v>
      </c>
    </row>
    <row r="57" spans="2:11">
      <c r="B57" s="255"/>
      <c r="C57" s="354" t="s">
        <v>261</v>
      </c>
      <c r="D57" s="489">
        <f>inputOth!E41</f>
        <v>0</v>
      </c>
      <c r="E57" s="151">
        <f>ROUND(IF(inputOth!E41&gt;0,(E56*inputOth!E41),0),0)</f>
        <v>0</v>
      </c>
    </row>
    <row r="58" spans="2:11" ht="16.5" thickBot="1">
      <c r="B58" s="27"/>
      <c r="C58" s="548" t="str">
        <f>CONCATENATE("Amount of  ",E1-1," Ad Valorem Tax")</f>
        <v>Amount of  2012 Ad Valorem Tax</v>
      </c>
      <c r="D58" s="549"/>
      <c r="E58" s="490">
        <f>E56+E57</f>
        <v>17250</v>
      </c>
      <c r="G58" s="558" t="str">
        <f>CONCATENATE("Projected Carryover Into ",E1+1,"")</f>
        <v>Projected Carryover Into 2014</v>
      </c>
      <c r="H58" s="559"/>
      <c r="I58" s="559"/>
      <c r="J58" s="560"/>
    </row>
    <row r="59" spans="2:11" ht="16.5" thickTop="1">
      <c r="B59" s="178"/>
      <c r="C59" s="548"/>
      <c r="D59" s="549"/>
      <c r="E59" s="27"/>
      <c r="G59" s="386"/>
      <c r="H59" s="375"/>
      <c r="I59" s="375"/>
      <c r="J59" s="387"/>
    </row>
    <row r="60" spans="2:11">
      <c r="B60" s="171"/>
      <c r="C60" s="178"/>
      <c r="D60" s="376"/>
      <c r="E60" s="27"/>
      <c r="G60" s="388">
        <f>D52</f>
        <v>9140</v>
      </c>
      <c r="H60" s="389" t="str">
        <f>CONCATENATE("",E1-1," Ending Cash Balance (est.)")</f>
        <v>2012 Ending Cash Balance (est.)</v>
      </c>
      <c r="I60" s="390"/>
      <c r="J60" s="387"/>
    </row>
    <row r="61" spans="2:11">
      <c r="B61" s="171" t="s">
        <v>96</v>
      </c>
      <c r="C61" s="32">
        <f>IF(inputPrYr!D19&gt;0,8,7)</f>
        <v>7</v>
      </c>
      <c r="D61" s="178"/>
      <c r="E61" s="178"/>
      <c r="G61" s="388">
        <f>E33</f>
        <v>13610</v>
      </c>
      <c r="H61" s="391" t="str">
        <f>CONCATENATE("",E1," Non-AV Receipts (est.)")</f>
        <v>2013 Non-AV Receipts (est.)</v>
      </c>
      <c r="I61" s="390"/>
      <c r="J61" s="387"/>
    </row>
    <row r="62" spans="2:11">
      <c r="C62" s="328"/>
      <c r="D62" s="328"/>
      <c r="E62" s="382"/>
      <c r="F62" s="253"/>
      <c r="G62" s="392">
        <f>IF(E57&gt;0,E56,E58)</f>
        <v>17250</v>
      </c>
      <c r="H62" s="391" t="str">
        <f>CONCATENATE("",E1," Ad Valorem Tax (est.)")</f>
        <v>2013 Ad Valorem Tax (est.)</v>
      </c>
      <c r="I62" s="390"/>
      <c r="J62" s="387"/>
      <c r="K62" s="486" t="str">
        <f>IF(G62=E58,"","Note: Does not include Delinquent Taxes")</f>
        <v/>
      </c>
    </row>
    <row r="63" spans="2:11">
      <c r="C63" s="383"/>
      <c r="D63" s="478"/>
      <c r="E63" s="479"/>
      <c r="F63" s="381" t="str">
        <f>IF(E51/0.95-E51&lt;E54,"Exceeds 5%","")</f>
        <v/>
      </c>
      <c r="G63" s="388">
        <f>SUM(G60:G62)</f>
        <v>40000</v>
      </c>
      <c r="H63" s="391" t="str">
        <f>CONCATENATE("Total ",E1," Resources Available")</f>
        <v>Total 2013 Resources Available</v>
      </c>
      <c r="I63" s="390"/>
      <c r="J63" s="387"/>
    </row>
    <row r="64" spans="2:11">
      <c r="C64" s="384"/>
      <c r="D64" s="330"/>
      <c r="E64" s="330"/>
      <c r="G64" s="393"/>
      <c r="H64" s="391"/>
      <c r="I64" s="391"/>
      <c r="J64" s="387"/>
    </row>
    <row r="65" spans="3:16">
      <c r="C65" s="329"/>
      <c r="D65" s="477"/>
      <c r="E65" s="405"/>
      <c r="G65" s="392">
        <f>ROUND(C51*0.05+C51,0)</f>
        <v>35617</v>
      </c>
      <c r="H65" s="391" t="str">
        <f>CONCATENATE("Less ",E1-2," Expenditures + 5%")</f>
        <v>Less 2011 Expenditures + 5%</v>
      </c>
      <c r="I65" s="390"/>
      <c r="J65" s="387"/>
    </row>
    <row r="66" spans="3:16">
      <c r="C66" s="329"/>
      <c r="D66" s="330"/>
      <c r="E66" s="330"/>
      <c r="G66" s="398">
        <f>G63-G65</f>
        <v>4383</v>
      </c>
      <c r="H66" s="394" t="str">
        <f>CONCATENATE("Projected ",E1+1," Carryover (est.)")</f>
        <v>Projected 2014 Carryover (est.)</v>
      </c>
      <c r="I66" s="395"/>
      <c r="J66" s="396"/>
    </row>
    <row r="67" spans="3:16">
      <c r="C67" s="370" t="str">
        <f>IF(C51&gt;C53,"See Tab A","")</f>
        <v/>
      </c>
      <c r="D67" s="369" t="str">
        <f>IF(D51&gt;D53,"See Tab C","")</f>
        <v/>
      </c>
      <c r="E67" s="330"/>
    </row>
    <row r="68" spans="3:16">
      <c r="C68" s="368" t="str">
        <f>IF(C52&lt;0,"See Tab B","")</f>
        <v/>
      </c>
      <c r="D68" s="368" t="str">
        <f>IF(D52&lt;0,"See Tab D","")</f>
        <v/>
      </c>
      <c r="G68" s="554" t="s">
        <v>301</v>
      </c>
      <c r="H68" s="555"/>
      <c r="I68" s="555"/>
      <c r="J68" s="556"/>
    </row>
    <row r="69" spans="3:16">
      <c r="G69" s="491"/>
      <c r="H69" s="389"/>
      <c r="I69" s="468"/>
      <c r="J69" s="469"/>
      <c r="M69" s="546"/>
      <c r="N69" s="546"/>
      <c r="O69" s="546"/>
      <c r="P69" s="547"/>
    </row>
    <row r="70" spans="3:16">
      <c r="G70" s="493">
        <f>summ!H17</f>
        <v>50.014000000000003</v>
      </c>
      <c r="H70" s="389" t="str">
        <f>CONCATENATE("",E1," Fund Mill Rate")</f>
        <v>2013 Fund Mill Rate</v>
      </c>
      <c r="I70" s="468"/>
      <c r="J70" s="469"/>
      <c r="M70" s="402"/>
      <c r="N70" s="402"/>
      <c r="O70" s="402"/>
      <c r="P70" s="402"/>
    </row>
    <row r="71" spans="3:16">
      <c r="F71" s="371"/>
      <c r="G71" s="492">
        <f>summ!E17</f>
        <v>50.988999999999997</v>
      </c>
      <c r="H71" s="389" t="str">
        <f>CONCATENATE("",E1-1," Fund Mill Rate")</f>
        <v>2012 Fund Mill Rate</v>
      </c>
      <c r="I71" s="468"/>
      <c r="J71" s="469"/>
      <c r="L71" s="407"/>
      <c r="M71" s="403"/>
      <c r="N71" s="404"/>
      <c r="O71" s="404"/>
      <c r="P71" s="405"/>
    </row>
    <row r="72" spans="3:16">
      <c r="F72" s="330"/>
      <c r="G72" s="494">
        <f>summ!H24</f>
        <v>53.882000000000005</v>
      </c>
      <c r="H72" s="389" t="str">
        <f>CONCATENATE("Total ",E1," Mill Rate")</f>
        <v>Total 2013 Mill Rate</v>
      </c>
      <c r="I72" s="468"/>
      <c r="J72" s="469"/>
      <c r="M72" s="383"/>
      <c r="N72" s="330"/>
      <c r="O72" s="383"/>
      <c r="P72" s="405"/>
    </row>
    <row r="73" spans="3:16">
      <c r="F73" s="330"/>
      <c r="G73" s="492">
        <f>summ!E24</f>
        <v>53.625</v>
      </c>
      <c r="H73" s="456" t="str">
        <f>CONCATENATE("Total ",E1-1," Mill Rate")</f>
        <v>Total 2012 Mill Rate</v>
      </c>
      <c r="I73" s="457"/>
      <c r="J73" s="458"/>
      <c r="M73" s="383"/>
      <c r="N73" s="330"/>
      <c r="O73" s="383"/>
      <c r="P73" s="406"/>
    </row>
    <row r="74" spans="3:16" ht="14.25" customHeight="1">
      <c r="F74" s="330"/>
    </row>
    <row r="75" spans="3:16">
      <c r="F75" s="330"/>
    </row>
    <row r="76" spans="3:16" ht="15.75" hidden="1" customHeight="1">
      <c r="F76" s="330"/>
    </row>
    <row r="77" spans="3:16" ht="15.75" hidden="1" customHeight="1">
      <c r="G77" s="561" t="s">
        <v>291</v>
      </c>
      <c r="H77" s="562"/>
      <c r="I77" s="562"/>
      <c r="J77" s="467">
        <f>IF(J52&gt;0,J54-E55,0)</f>
        <v>0</v>
      </c>
    </row>
  </sheetData>
  <mergeCells count="10">
    <mergeCell ref="G47:J47"/>
    <mergeCell ref="G58:J58"/>
    <mergeCell ref="G51:J51"/>
    <mergeCell ref="C59:D59"/>
    <mergeCell ref="G77:I77"/>
    <mergeCell ref="M69:P69"/>
    <mergeCell ref="C58:D58"/>
    <mergeCell ref="C54:D54"/>
    <mergeCell ref="C55:D55"/>
    <mergeCell ref="G68:J68"/>
  </mergeCells>
  <phoneticPr fontId="0" type="noConversion"/>
  <conditionalFormatting sqref="E49">
    <cfRule type="cellIs" dxfId="71" priority="3" stopIfTrue="1" operator="greaterThan">
      <formula>$E$51*0.1</formula>
    </cfRule>
  </conditionalFormatting>
  <conditionalFormatting sqref="E54">
    <cfRule type="cellIs" dxfId="70" priority="4" stopIfTrue="1" operator="greaterThan">
      <formula>$E$51/0.95-$E$51</formula>
    </cfRule>
  </conditionalFormatting>
  <conditionalFormatting sqref="C52">
    <cfRule type="cellIs" dxfId="69" priority="5" stopIfTrue="1" operator="lessThan">
      <formula>0</formula>
    </cfRule>
  </conditionalFormatting>
  <conditionalFormatting sqref="D51">
    <cfRule type="cellIs" dxfId="68" priority="6" stopIfTrue="1" operator="greaterThan">
      <formula>$D$53</formula>
    </cfRule>
  </conditionalFormatting>
  <conditionalFormatting sqref="C49">
    <cfRule type="cellIs" dxfId="67" priority="8" stopIfTrue="1" operator="greaterThan">
      <formula>$C$51*0.1</formula>
    </cfRule>
  </conditionalFormatting>
  <conditionalFormatting sqref="D49">
    <cfRule type="cellIs" dxfId="66" priority="9" stopIfTrue="1" operator="greaterThan">
      <formula>$D$51*0.1</formula>
    </cfRule>
  </conditionalFormatting>
  <conditionalFormatting sqref="C31">
    <cfRule type="cellIs" dxfId="65" priority="10" stopIfTrue="1" operator="greaterThan">
      <formula>$C$33*0.1</formula>
    </cfRule>
  </conditionalFormatting>
  <conditionalFormatting sqref="D31">
    <cfRule type="cellIs" dxfId="64" priority="11" stopIfTrue="1" operator="greaterThan">
      <formula>$D$33*0.1</formula>
    </cfRule>
  </conditionalFormatting>
  <conditionalFormatting sqref="E31">
    <cfRule type="cellIs" dxfId="63" priority="12" stopIfTrue="1" operator="greaterThan">
      <formula>$E$33*0.1+E58</formula>
    </cfRule>
  </conditionalFormatting>
  <conditionalFormatting sqref="D52">
    <cfRule type="cellIs" dxfId="62" priority="2" stopIfTrue="1" operator="lessThan">
      <formula>0</formula>
    </cfRule>
  </conditionalFormatting>
  <conditionalFormatting sqref="C51">
    <cfRule type="cellIs" dxfId="61" priority="1" stopIfTrue="1" operator="greaterThan">
      <formula>$C$53</formula>
    </cfRule>
  </conditionalFormatting>
  <pageMargins left="0.5" right="0.5" top="1" bottom="0.5" header="0.5" footer="0.5"/>
  <pageSetup scale="78" orientation="portrait" blackAndWhite="1" r:id="rId1"/>
  <headerFooter alignWithMargins="0">
    <oddHeader xml:space="preserve">&amp;RState of Kansas
City
</oddHeader>
  </headerFooter>
</worksheet>
</file>

<file path=xl/worksheets/sheet9.xml><?xml version="1.0" encoding="utf-8"?>
<worksheet xmlns="http://schemas.openxmlformats.org/spreadsheetml/2006/main" xmlns:r="http://schemas.openxmlformats.org/officeDocument/2006/relationships">
  <dimension ref="B1:K91"/>
  <sheetViews>
    <sheetView zoomScaleNormal="100" workbookViewId="0">
      <selection activeCell="E55" sqref="E55"/>
    </sheetView>
  </sheetViews>
  <sheetFormatPr defaultRowHeight="15.75"/>
  <cols>
    <col min="1" max="1" width="2.44140625" style="28" customWidth="1"/>
    <col min="2" max="2" width="31.109375" style="28" customWidth="1"/>
    <col min="3" max="4" width="15.77734375" style="28" customWidth="1"/>
    <col min="5" max="5" width="16.21875" style="28" customWidth="1"/>
    <col min="6" max="6" width="8.88671875" style="28"/>
    <col min="7" max="7" width="10.21875" style="28" customWidth="1"/>
    <col min="8" max="8" width="8.88671875" style="28"/>
    <col min="9" max="9" width="5" style="28" customWidth="1"/>
    <col min="10" max="10" width="10" style="28" customWidth="1"/>
    <col min="11" max="16384" width="8.88671875" style="28"/>
  </cols>
  <sheetData>
    <row r="1" spans="2:5">
      <c r="B1" s="162" t="str">
        <f>(inputPrYr!D2)</f>
        <v>City of Horace</v>
      </c>
      <c r="C1" s="162"/>
      <c r="D1" s="27"/>
      <c r="E1" s="123">
        <f>inputPrYr!$C$5</f>
        <v>2013</v>
      </c>
    </row>
    <row r="2" spans="2:5">
      <c r="B2" s="27"/>
      <c r="C2" s="27"/>
      <c r="D2" s="27"/>
      <c r="E2" s="178"/>
    </row>
    <row r="3" spans="2:5">
      <c r="B3" s="44" t="s">
        <v>141</v>
      </c>
      <c r="C3" s="44"/>
      <c r="D3" s="236"/>
      <c r="E3" s="125"/>
    </row>
    <row r="4" spans="2:5">
      <c r="B4" s="32" t="s">
        <v>82</v>
      </c>
      <c r="C4" s="497" t="s">
        <v>288</v>
      </c>
      <c r="D4" s="498" t="s">
        <v>289</v>
      </c>
      <c r="E4" s="136" t="s">
        <v>290</v>
      </c>
    </row>
    <row r="5" spans="2:5">
      <c r="B5" s="363" t="str">
        <f>(inputPrYr!B21)</f>
        <v>Social Security</v>
      </c>
      <c r="C5" s="291" t="str">
        <f>CONCATENATE("Actual for ",$E$1-2,"")</f>
        <v>Actual for 2011</v>
      </c>
      <c r="D5" s="327" t="str">
        <f>CONCATENATE("Estimate for ",$E$1-1,"")</f>
        <v>Estimate for 2012</v>
      </c>
      <c r="E5" s="189" t="str">
        <f>CONCATENATE("Year for ",$E$1,"")</f>
        <v>Year for 2013</v>
      </c>
    </row>
    <row r="6" spans="2:5">
      <c r="B6" s="140" t="s">
        <v>198</v>
      </c>
      <c r="C6" s="359">
        <v>2138</v>
      </c>
      <c r="D6" s="358">
        <f>C28</f>
        <v>1807</v>
      </c>
      <c r="E6" s="151">
        <f>D28</f>
        <v>951</v>
      </c>
    </row>
    <row r="7" spans="2:5">
      <c r="B7" s="140" t="s">
        <v>200</v>
      </c>
      <c r="C7" s="152"/>
      <c r="D7" s="358"/>
      <c r="E7" s="151"/>
    </row>
    <row r="8" spans="2:5">
      <c r="B8" s="140" t="s">
        <v>83</v>
      </c>
      <c r="C8" s="355">
        <v>984</v>
      </c>
      <c r="D8" s="358">
        <f>IF(inputPrYr!H16&gt;0,inputPrYr!G21,inputPrYr!E21)</f>
        <v>879</v>
      </c>
      <c r="E8" s="299" t="s">
        <v>70</v>
      </c>
    </row>
    <row r="9" spans="2:5">
      <c r="B9" s="140" t="s">
        <v>84</v>
      </c>
      <c r="C9" s="355">
        <v>34</v>
      </c>
      <c r="D9" s="360">
        <v>10</v>
      </c>
      <c r="E9" s="50">
        <v>10</v>
      </c>
    </row>
    <row r="10" spans="2:5">
      <c r="B10" s="140" t="s">
        <v>85</v>
      </c>
      <c r="C10" s="355">
        <v>425</v>
      </c>
      <c r="D10" s="360">
        <v>247</v>
      </c>
      <c r="E10" s="151">
        <f>Mvalloc!D12</f>
        <v>195</v>
      </c>
    </row>
    <row r="11" spans="2:5">
      <c r="B11" s="140" t="s">
        <v>86</v>
      </c>
      <c r="C11" s="355">
        <v>18</v>
      </c>
      <c r="D11" s="360">
        <v>7</v>
      </c>
      <c r="E11" s="151">
        <f>Mvalloc!E12</f>
        <v>9</v>
      </c>
    </row>
    <row r="12" spans="2:5">
      <c r="B12" s="153" t="s">
        <v>137</v>
      </c>
      <c r="C12" s="355">
        <v>1</v>
      </c>
      <c r="D12" s="360">
        <v>1</v>
      </c>
      <c r="E12" s="151">
        <f>Mvalloc!F12</f>
        <v>1</v>
      </c>
    </row>
    <row r="13" spans="2:5">
      <c r="B13" s="301" t="s">
        <v>323</v>
      </c>
      <c r="C13" s="355">
        <v>10</v>
      </c>
      <c r="D13" s="360"/>
      <c r="E13" s="303"/>
    </row>
    <row r="14" spans="2:5">
      <c r="B14" s="301" t="s">
        <v>324</v>
      </c>
      <c r="C14" s="355">
        <v>-17</v>
      </c>
      <c r="D14" s="360"/>
      <c r="E14" s="50"/>
    </row>
    <row r="15" spans="2:5">
      <c r="B15" s="301" t="s">
        <v>325</v>
      </c>
      <c r="C15" s="355">
        <v>-83</v>
      </c>
      <c r="D15" s="360"/>
      <c r="E15" s="50"/>
    </row>
    <row r="16" spans="2:5">
      <c r="B16" s="293" t="s">
        <v>89</v>
      </c>
      <c r="C16" s="355"/>
      <c r="D16" s="360"/>
      <c r="E16" s="50"/>
    </row>
    <row r="17" spans="2:10">
      <c r="B17" s="140" t="s">
        <v>176</v>
      </c>
      <c r="C17" s="355"/>
      <c r="D17" s="360"/>
      <c r="E17" s="50"/>
    </row>
    <row r="18" spans="2:10">
      <c r="B18" s="140" t="s">
        <v>258</v>
      </c>
      <c r="C18" s="356" t="str">
        <f>IF(C19*0.1&lt;C17,"Exceed 10% Rule","")</f>
        <v/>
      </c>
      <c r="D18" s="365" t="str">
        <f>IF(D19*0.1&lt;D17,"Exceed 10% Rule","")</f>
        <v/>
      </c>
      <c r="E18" s="294" t="str">
        <f>IF(E19*0.1+E34&lt;E17,"Exceed 10% Rule","")</f>
        <v/>
      </c>
    </row>
    <row r="19" spans="2:10">
      <c r="B19" s="249" t="s">
        <v>90</v>
      </c>
      <c r="C19" s="361">
        <f>SUM(C8:C17)</f>
        <v>1372</v>
      </c>
      <c r="D19" s="361">
        <f>SUM(D8:D17)</f>
        <v>1144</v>
      </c>
      <c r="E19" s="302">
        <f>SUM(E8:E17)</f>
        <v>215</v>
      </c>
    </row>
    <row r="20" spans="2:10">
      <c r="B20" s="249" t="s">
        <v>91</v>
      </c>
      <c r="C20" s="361">
        <f>C6+C19</f>
        <v>3510</v>
      </c>
      <c r="D20" s="361">
        <f>D6+D19</f>
        <v>2951</v>
      </c>
      <c r="E20" s="302">
        <f>E6+E19</f>
        <v>1166</v>
      </c>
    </row>
    <row r="21" spans="2:10">
      <c r="B21" s="140" t="s">
        <v>92</v>
      </c>
      <c r="C21" s="140"/>
      <c r="D21" s="358"/>
      <c r="E21" s="151"/>
    </row>
    <row r="22" spans="2:10">
      <c r="B22" s="301" t="s">
        <v>306</v>
      </c>
      <c r="C22" s="355">
        <v>2627</v>
      </c>
      <c r="D22" s="360">
        <v>3000</v>
      </c>
      <c r="E22" s="50">
        <v>3500</v>
      </c>
    </row>
    <row r="23" spans="2:10">
      <c r="B23" s="301" t="s">
        <v>337</v>
      </c>
      <c r="C23" s="355">
        <v>-924</v>
      </c>
      <c r="D23" s="360">
        <v>-1000</v>
      </c>
      <c r="E23" s="50">
        <v>-1000</v>
      </c>
      <c r="G23" s="558" t="str">
        <f>CONCATENATE("Desired Carryover Into ",E1+1,"")</f>
        <v>Desired Carryover Into 2014</v>
      </c>
      <c r="H23" s="559"/>
      <c r="I23" s="559"/>
      <c r="J23" s="560"/>
    </row>
    <row r="24" spans="2:10">
      <c r="B24" s="298" t="s">
        <v>31</v>
      </c>
      <c r="C24" s="355"/>
      <c r="D24" s="360"/>
      <c r="E24" s="151"/>
      <c r="G24" s="426"/>
      <c r="H24" s="375"/>
      <c r="I24" s="391"/>
      <c r="J24" s="427"/>
    </row>
    <row r="25" spans="2:10">
      <c r="B25" s="298" t="s">
        <v>176</v>
      </c>
      <c r="C25" s="355"/>
      <c r="D25" s="360"/>
      <c r="E25" s="50"/>
      <c r="G25" s="397" t="s">
        <v>265</v>
      </c>
      <c r="H25" s="391"/>
      <c r="I25" s="391"/>
      <c r="J25" s="385">
        <v>0</v>
      </c>
    </row>
    <row r="26" spans="2:10">
      <c r="B26" s="298" t="s">
        <v>262</v>
      </c>
      <c r="C26" s="326" t="str">
        <f>IF(C27*0.1&lt;C25,"Exceed 10% Rule","")</f>
        <v/>
      </c>
      <c r="D26" s="337" t="str">
        <f>IF(D27*0.1&lt;D25,"Exceed 10% Rule","")</f>
        <v/>
      </c>
      <c r="E26" s="248" t="str">
        <f>IF(E27*0.1&lt;E25,"Exceed 10% Rule","")</f>
        <v/>
      </c>
      <c r="G26" s="426" t="s">
        <v>264</v>
      </c>
      <c r="H26" s="375"/>
      <c r="I26" s="375"/>
      <c r="J26" s="481" t="str">
        <f>IF(J25=0,"",ROUND((J25+E34-G38)/inputOth!E7*1000,3)-G43)</f>
        <v/>
      </c>
    </row>
    <row r="27" spans="2:10">
      <c r="B27" s="249" t="s">
        <v>93</v>
      </c>
      <c r="C27" s="357">
        <f>SUM(C22:C25)</f>
        <v>1703</v>
      </c>
      <c r="D27" s="357">
        <f>SUM(D22:D25)</f>
        <v>2000</v>
      </c>
      <c r="E27" s="295">
        <f>SUM(E22:E25)</f>
        <v>2500</v>
      </c>
      <c r="G27" s="473" t="str">
        <f>CONCATENATE("",E1," Tot Exp/Non-Appr Must Be:")</f>
        <v>2013 Tot Exp/Non-Appr Must Be:</v>
      </c>
      <c r="H27" s="470"/>
      <c r="I27" s="471"/>
      <c r="J27" s="467">
        <f>IF(J25&gt;0,IF(E31&lt;E20,IF(J25=G38,E32,((J25-G38)*(1-D33))+E20),E32+(J25-G38)),0)</f>
        <v>0</v>
      </c>
    </row>
    <row r="28" spans="2:10">
      <c r="B28" s="140" t="s">
        <v>199</v>
      </c>
      <c r="C28" s="362">
        <f>C20-C27</f>
        <v>1807</v>
      </c>
      <c r="D28" s="362">
        <f>D20-D27</f>
        <v>951</v>
      </c>
      <c r="E28" s="299" t="s">
        <v>70</v>
      </c>
      <c r="G28" s="480" t="s">
        <v>292</v>
      </c>
      <c r="H28" s="484"/>
      <c r="I28" s="484"/>
      <c r="J28" s="474">
        <f>IF(J25&gt;0,J27-E32,0)</f>
        <v>0</v>
      </c>
    </row>
    <row r="29" spans="2:10">
      <c r="B29" s="171" t="str">
        <f>CONCATENATE("",E1-2,"/",E1-1," Budget Authority Amount:")</f>
        <v>2011/2012 Budget Authority Amount:</v>
      </c>
      <c r="C29" s="373">
        <f>inputOth!B58</f>
        <v>2600</v>
      </c>
      <c r="D29" s="181">
        <f>inputPrYr!D21</f>
        <v>3100</v>
      </c>
      <c r="E29" s="299" t="s">
        <v>70</v>
      </c>
      <c r="J29" s="2"/>
    </row>
    <row r="30" spans="2:10">
      <c r="B30" s="171"/>
      <c r="C30" s="550" t="s">
        <v>259</v>
      </c>
      <c r="D30" s="551"/>
      <c r="E30" s="50"/>
      <c r="G30" s="558" t="str">
        <f>CONCATENATE("Projected Carryover Into ",E1+1,"")</f>
        <v>Projected Carryover Into 2014</v>
      </c>
      <c r="H30" s="563"/>
      <c r="I30" s="563"/>
      <c r="J30" s="564"/>
    </row>
    <row r="31" spans="2:10">
      <c r="B31" s="366" t="str">
        <f>CONCATENATE(C79,"     ",D79)</f>
        <v xml:space="preserve">     </v>
      </c>
      <c r="C31" s="552" t="s">
        <v>260</v>
      </c>
      <c r="D31" s="553"/>
      <c r="E31" s="151">
        <f>E27+E30</f>
        <v>2500</v>
      </c>
      <c r="G31" s="426"/>
      <c r="H31" s="391"/>
      <c r="I31" s="391"/>
      <c r="J31" s="495"/>
    </row>
    <row r="32" spans="2:10">
      <c r="B32" s="366" t="str">
        <f>CONCATENATE(C80,"     ",D80)</f>
        <v xml:space="preserve">     </v>
      </c>
      <c r="C32" s="254"/>
      <c r="D32" s="178" t="s">
        <v>94</v>
      </c>
      <c r="E32" s="57">
        <f>IF(E31-E20&gt;0,E31-E20,0)</f>
        <v>1334</v>
      </c>
      <c r="G32" s="388">
        <f>D28</f>
        <v>951</v>
      </c>
      <c r="H32" s="389" t="str">
        <f>CONCATENATE("",E1-1," Ending Cash Balance (est.)")</f>
        <v>2012 Ending Cash Balance (est.)</v>
      </c>
      <c r="I32" s="390"/>
      <c r="J32" s="495"/>
    </row>
    <row r="33" spans="2:11">
      <c r="B33" s="178"/>
      <c r="C33" s="354" t="s">
        <v>261</v>
      </c>
      <c r="D33" s="489">
        <f>inputOth!E41</f>
        <v>0</v>
      </c>
      <c r="E33" s="151">
        <f>ROUND(IF(D33&gt;0,(E32*D33),0),0)</f>
        <v>0</v>
      </c>
      <c r="G33" s="388">
        <f>E19</f>
        <v>215</v>
      </c>
      <c r="H33" s="391" t="str">
        <f>CONCATENATE("",E1," Non-AV Receipts (est.)")</f>
        <v>2013 Non-AV Receipts (est.)</v>
      </c>
      <c r="I33" s="390"/>
      <c r="J33" s="495"/>
    </row>
    <row r="34" spans="2:11" ht="16.5" thickBot="1">
      <c r="B34" s="27"/>
      <c r="C34" s="548" t="str">
        <f>CONCATENATE("Amount of  ",E1-1," Ad Valorem Tax")</f>
        <v>Amount of  2012 Ad Valorem Tax</v>
      </c>
      <c r="D34" s="549"/>
      <c r="E34" s="496">
        <f>E32+E33</f>
        <v>1334</v>
      </c>
      <c r="F34" s="253"/>
      <c r="G34" s="392">
        <f>IF(E33&gt;0,E32,E34)</f>
        <v>1334</v>
      </c>
      <c r="H34" s="391" t="str">
        <f>CONCATENATE("",E1," Ad Valorem Tax (est.)")</f>
        <v>2013 Ad Valorem Tax (est.)</v>
      </c>
      <c r="I34" s="390"/>
      <c r="J34" s="512"/>
      <c r="K34" s="486" t="str">
        <f>IF(G34=E34,"","Note: Does not include Delinquent Taxes")</f>
        <v/>
      </c>
    </row>
    <row r="35" spans="2:11" ht="16.5" thickTop="1">
      <c r="B35" s="27"/>
      <c r="C35" s="548"/>
      <c r="D35" s="549"/>
      <c r="E35" s="27"/>
      <c r="F35" s="253" t="str">
        <f>IF(E27/0.95-E27&lt;E30,"Exceeds 5%","")</f>
        <v/>
      </c>
      <c r="G35" s="388">
        <f>SUM(G32:G34)</f>
        <v>2500</v>
      </c>
      <c r="H35" s="391" t="str">
        <f>CONCATENATE("Total ",E1," Resources Available")</f>
        <v>Total 2013 Resources Available</v>
      </c>
      <c r="I35" s="390"/>
      <c r="J35" s="495"/>
    </row>
    <row r="36" spans="2:11">
      <c r="B36" s="27"/>
      <c r="C36" s="444"/>
      <c r="D36" s="27"/>
      <c r="E36" s="27"/>
      <c r="G36" s="393"/>
      <c r="H36" s="391"/>
      <c r="I36" s="391"/>
      <c r="J36" s="495"/>
    </row>
    <row r="37" spans="2:11">
      <c r="B37" s="32" t="s">
        <v>82</v>
      </c>
      <c r="C37" s="32"/>
      <c r="D37" s="236"/>
      <c r="E37" s="236"/>
      <c r="G37" s="392">
        <f>ROUND(C27*0.05+C27,0)</f>
        <v>1788</v>
      </c>
      <c r="H37" s="391" t="str">
        <f>CONCATENATE("Less ",E1-2," Expenditures + 5%")</f>
        <v>Less 2011 Expenditures + 5%</v>
      </c>
      <c r="I37" s="390"/>
      <c r="J37" s="495"/>
    </row>
    <row r="38" spans="2:11">
      <c r="B38" s="27"/>
      <c r="C38" s="497" t="s">
        <v>288</v>
      </c>
      <c r="D38" s="498" t="s">
        <v>289</v>
      </c>
      <c r="E38" s="136" t="s">
        <v>290</v>
      </c>
      <c r="G38" s="482">
        <f>G35-G37</f>
        <v>712</v>
      </c>
      <c r="H38" s="483" t="str">
        <f>CONCATENATE("Projected ",E1+1," carryover (est.)")</f>
        <v>Projected 2014 carryover (est.)</v>
      </c>
      <c r="I38" s="395"/>
      <c r="J38" s="511"/>
    </row>
    <row r="39" spans="2:11">
      <c r="B39" s="364">
        <f>(inputPrYr!B22)</f>
        <v>0</v>
      </c>
      <c r="C39" s="291" t="str">
        <f>CONCATENATE("Actual for ",$E$1-2,"")</f>
        <v>Actual for 2011</v>
      </c>
      <c r="D39" s="327" t="str">
        <f>CONCATENATE("Estimate for ",$E$1-1,"")</f>
        <v>Estimate for 2012</v>
      </c>
      <c r="E39" s="189" t="str">
        <f>CONCATENATE("Year for ",$E$1,"")</f>
        <v>Year for 2013</v>
      </c>
      <c r="G39" s="2"/>
      <c r="H39" s="2"/>
      <c r="I39" s="2"/>
      <c r="J39" s="2"/>
    </row>
    <row r="40" spans="2:11">
      <c r="B40" s="140" t="s">
        <v>198</v>
      </c>
      <c r="C40" s="355"/>
      <c r="D40" s="358">
        <f>C59</f>
        <v>0</v>
      </c>
      <c r="E40" s="151">
        <f>D59</f>
        <v>0</v>
      </c>
      <c r="G40" s="554" t="s">
        <v>301</v>
      </c>
      <c r="H40" s="555"/>
      <c r="I40" s="555"/>
      <c r="J40" s="556"/>
    </row>
    <row r="41" spans="2:11">
      <c r="B41" s="238" t="s">
        <v>200</v>
      </c>
      <c r="C41" s="140"/>
      <c r="D41" s="358"/>
      <c r="E41" s="151"/>
      <c r="G41" s="491"/>
      <c r="H41" s="389"/>
      <c r="I41" s="468"/>
      <c r="J41" s="469"/>
    </row>
    <row r="42" spans="2:11">
      <c r="B42" s="140" t="s">
        <v>83</v>
      </c>
      <c r="C42" s="355"/>
      <c r="D42" s="358">
        <f>IF(inputPrYr!H16&gt;0,inputPrYr!G22,inputPrYr!E22)</f>
        <v>0</v>
      </c>
      <c r="E42" s="299" t="s">
        <v>70</v>
      </c>
      <c r="G42" s="493">
        <f>summ!H18</f>
        <v>3.8679999999999999</v>
      </c>
      <c r="H42" s="389" t="str">
        <f>CONCATENATE("",E1," Fund Mill Rate")</f>
        <v>2013 Fund Mill Rate</v>
      </c>
      <c r="I42" s="468"/>
      <c r="J42" s="469"/>
    </row>
    <row r="43" spans="2:11">
      <c r="B43" s="140" t="s">
        <v>84</v>
      </c>
      <c r="C43" s="355"/>
      <c r="D43" s="360"/>
      <c r="E43" s="50"/>
      <c r="G43" s="492">
        <f>summ!E18</f>
        <v>2.6360000000000001</v>
      </c>
      <c r="H43" s="389" t="str">
        <f>CONCATENATE("",E1-1," Fund Mill Rate")</f>
        <v>2012 Fund Mill Rate</v>
      </c>
      <c r="I43" s="468"/>
      <c r="J43" s="469"/>
    </row>
    <row r="44" spans="2:11">
      <c r="B44" s="140" t="s">
        <v>85</v>
      </c>
      <c r="C44" s="355"/>
      <c r="D44" s="360"/>
      <c r="E44" s="151" t="str">
        <f>Mvalloc!D13</f>
        <v xml:space="preserve">  </v>
      </c>
      <c r="G44" s="494">
        <f>summ!H24</f>
        <v>53.882000000000005</v>
      </c>
      <c r="H44" s="389" t="str">
        <f>CONCATENATE("Total ",E1," Mill Rate")</f>
        <v>Total 2013 Mill Rate</v>
      </c>
      <c r="I44" s="468"/>
      <c r="J44" s="469"/>
    </row>
    <row r="45" spans="2:11">
      <c r="B45" s="140" t="s">
        <v>86</v>
      </c>
      <c r="C45" s="355"/>
      <c r="D45" s="360"/>
      <c r="E45" s="151" t="str">
        <f>Mvalloc!E13</f>
        <v xml:space="preserve">  </v>
      </c>
      <c r="G45" s="492">
        <f>summ!E24</f>
        <v>53.625</v>
      </c>
      <c r="H45" s="456" t="str">
        <f>CONCATENATE("Total ",E1-1," Mill Rate")</f>
        <v>Total 2012 Mill Rate</v>
      </c>
      <c r="I45" s="457"/>
      <c r="J45" s="458"/>
    </row>
    <row r="46" spans="2:11">
      <c r="B46" s="153" t="s">
        <v>137</v>
      </c>
      <c r="C46" s="355"/>
      <c r="D46" s="360"/>
      <c r="E46" s="151" t="str">
        <f>Mvalloc!F13</f>
        <v xml:space="preserve">  </v>
      </c>
    </row>
    <row r="47" spans="2:11">
      <c r="B47" s="293" t="s">
        <v>89</v>
      </c>
      <c r="C47" s="355"/>
      <c r="D47" s="360"/>
      <c r="E47" s="50"/>
    </row>
    <row r="48" spans="2:11">
      <c r="B48" s="140" t="s">
        <v>176</v>
      </c>
      <c r="C48" s="355"/>
      <c r="D48" s="360"/>
      <c r="E48" s="50"/>
    </row>
    <row r="49" spans="2:5">
      <c r="B49" s="140" t="s">
        <v>258</v>
      </c>
      <c r="C49" s="356" t="str">
        <f>IF(C50*0.1&lt;C48,"Exceed 10% Rule","")</f>
        <v/>
      </c>
      <c r="D49" s="365" t="str">
        <f>IF(D50*0.1&lt;D48,"Exceed 10% Rule","")</f>
        <v/>
      </c>
      <c r="E49" s="294" t="str">
        <f>IF(E50*0.1+E64&lt;E48,"Exceed 10% Rule","")</f>
        <v/>
      </c>
    </row>
    <row r="50" spans="2:5">
      <c r="B50" s="249" t="s">
        <v>90</v>
      </c>
      <c r="C50" s="357">
        <f>SUM(C42:C48)</f>
        <v>0</v>
      </c>
      <c r="D50" s="357">
        <f>SUM(D42:D48)</f>
        <v>0</v>
      </c>
      <c r="E50" s="295">
        <f>SUM(E42:E48)</f>
        <v>0</v>
      </c>
    </row>
    <row r="51" spans="2:5">
      <c r="B51" s="249" t="s">
        <v>91</v>
      </c>
      <c r="C51" s="357">
        <f>C40+C50</f>
        <v>0</v>
      </c>
      <c r="D51" s="357">
        <f>D40+D50</f>
        <v>0</v>
      </c>
      <c r="E51" s="295">
        <f>E40+E50</f>
        <v>0</v>
      </c>
    </row>
    <row r="52" spans="2:5">
      <c r="B52" s="140" t="s">
        <v>92</v>
      </c>
      <c r="C52" s="140"/>
      <c r="D52" s="358"/>
      <c r="E52" s="151"/>
    </row>
    <row r="53" spans="2:5">
      <c r="B53" s="301"/>
      <c r="C53" s="355"/>
      <c r="D53" s="360"/>
      <c r="E53" s="50"/>
    </row>
    <row r="54" spans="2:5">
      <c r="B54" s="301"/>
      <c r="C54" s="355"/>
      <c r="D54" s="360"/>
      <c r="E54" s="50"/>
    </row>
    <row r="55" spans="2:5">
      <c r="B55" s="153" t="s">
        <v>31</v>
      </c>
      <c r="C55" s="355"/>
      <c r="D55" s="360"/>
      <c r="E55" s="151"/>
    </row>
    <row r="56" spans="2:5">
      <c r="B56" s="153" t="s">
        <v>176</v>
      </c>
      <c r="C56" s="355"/>
      <c r="D56" s="360"/>
      <c r="E56" s="50"/>
    </row>
    <row r="57" spans="2:5">
      <c r="B57" s="153" t="s">
        <v>257</v>
      </c>
      <c r="C57" s="356" t="str">
        <f>IF(C58*0.1&lt;C56,"Exceed 10% Rule","")</f>
        <v/>
      </c>
      <c r="D57" s="365" t="str">
        <f>IF(D58*0.1&lt;D56,"Exceed 10% Rule","")</f>
        <v/>
      </c>
      <c r="E57" s="294" t="str">
        <f>IF(E58*0.1&lt;E56,"Exceed 10% Rule","")</f>
        <v/>
      </c>
    </row>
    <row r="58" spans="2:5">
      <c r="B58" s="249" t="s">
        <v>93</v>
      </c>
      <c r="C58" s="357">
        <f>SUM(C53:C56)</f>
        <v>0</v>
      </c>
      <c r="D58" s="357">
        <f>SUM(D53:D56)</f>
        <v>0</v>
      </c>
      <c r="E58" s="295">
        <f>SUM(E53:E56)</f>
        <v>0</v>
      </c>
    </row>
    <row r="59" spans="2:5">
      <c r="B59" s="140" t="s">
        <v>199</v>
      </c>
      <c r="C59" s="362">
        <f>C51-C58</f>
        <v>0</v>
      </c>
      <c r="D59" s="362">
        <f>D51-D58</f>
        <v>0</v>
      </c>
      <c r="E59" s="299" t="s">
        <v>70</v>
      </c>
    </row>
    <row r="60" spans="2:5">
      <c r="B60" s="171" t="str">
        <f>CONCATENATE("",E1-2,"/",E1-1," Budget Authority Amount:")</f>
        <v>2011/2012 Budget Authority Amount:</v>
      </c>
      <c r="C60" s="181">
        <f>inputOth!B59</f>
        <v>0</v>
      </c>
      <c r="D60" s="181">
        <f>inputPrYr!D22</f>
        <v>0</v>
      </c>
      <c r="E60" s="299" t="s">
        <v>70</v>
      </c>
    </row>
    <row r="61" spans="2:5">
      <c r="B61" s="171"/>
      <c r="C61" s="550" t="s">
        <v>259</v>
      </c>
      <c r="D61" s="551"/>
      <c r="E61" s="50"/>
    </row>
    <row r="62" spans="2:5">
      <c r="B62" s="366" t="str">
        <f>CONCATENATE(C81,"     ",D81)</f>
        <v xml:space="preserve">     </v>
      </c>
      <c r="C62" s="552" t="s">
        <v>260</v>
      </c>
      <c r="D62" s="553"/>
      <c r="E62" s="151">
        <f>E58+E61</f>
        <v>0</v>
      </c>
    </row>
    <row r="63" spans="2:5">
      <c r="B63" s="366" t="str">
        <f>CONCATENATE(C82,"     ",D82)</f>
        <v xml:space="preserve">     </v>
      </c>
      <c r="C63" s="254"/>
      <c r="D63" s="178" t="s">
        <v>94</v>
      </c>
      <c r="E63" s="57">
        <f>IF(E62-E51&gt;0,E62-E51,0)</f>
        <v>0</v>
      </c>
    </row>
    <row r="64" spans="2:5">
      <c r="B64" s="178"/>
      <c r="C64" s="354" t="s">
        <v>261</v>
      </c>
      <c r="D64" s="489">
        <f>inputOth!E41</f>
        <v>0</v>
      </c>
      <c r="E64" s="151">
        <f>ROUND(IF(D64&gt;0,(E63*D64),0),0)</f>
        <v>0</v>
      </c>
    </row>
    <row r="65" spans="2:6" ht="16.5" thickBot="1">
      <c r="B65" s="27"/>
      <c r="C65" s="548" t="str">
        <f>CONCATENATE("Amount of  ",E1-1," Ad Valorem Tax")</f>
        <v>Amount of  2012 Ad Valorem Tax</v>
      </c>
      <c r="D65" s="549"/>
      <c r="E65" s="496">
        <f>E63+E64</f>
        <v>0</v>
      </c>
    </row>
    <row r="66" spans="2:6" ht="16.5" thickTop="1">
      <c r="B66" s="27"/>
      <c r="C66" s="548"/>
      <c r="D66" s="549"/>
      <c r="E66" s="27"/>
    </row>
    <row r="67" spans="2:6">
      <c r="B67" s="27"/>
      <c r="C67" s="444"/>
      <c r="D67" s="27"/>
      <c r="E67" s="27"/>
    </row>
    <row r="68" spans="2:6">
      <c r="B68" s="178" t="s">
        <v>96</v>
      </c>
      <c r="C68" s="300">
        <v>8</v>
      </c>
      <c r="D68" s="81"/>
      <c r="E68" s="27"/>
    </row>
    <row r="69" spans="2:6">
      <c r="F69" s="253"/>
    </row>
    <row r="70" spans="2:6">
      <c r="B70" s="89"/>
      <c r="C70" s="89"/>
      <c r="F70" s="253" t="str">
        <f>IF(E58/0.95-E58&lt;E61,"Exceeds 5%","")</f>
        <v/>
      </c>
    </row>
    <row r="79" spans="2:6">
      <c r="C79" s="374" t="str">
        <f>IF(C27&gt;C29,"See Tab A","")</f>
        <v/>
      </c>
      <c r="D79" s="374" t="str">
        <f>IF(D27&gt;D29,"See Tab C","")</f>
        <v/>
      </c>
    </row>
    <row r="80" spans="2:6">
      <c r="C80" s="374" t="str">
        <f>IF(C28&lt;0,"See Tab B","")</f>
        <v/>
      </c>
      <c r="D80" s="374" t="str">
        <f>IF(D28&lt;0,"See Tab D","")</f>
        <v/>
      </c>
    </row>
    <row r="81" spans="3:4">
      <c r="C81" s="367" t="str">
        <f>IF(C58&gt;C60,"See Tab A","")</f>
        <v/>
      </c>
      <c r="D81" s="367" t="str">
        <f>IF(D58&gt;D60,"See Tab C","")</f>
        <v/>
      </c>
    </row>
    <row r="82" spans="3:4">
      <c r="C82" s="367" t="str">
        <f>IF(C59&lt;0,"See Tab B","")</f>
        <v/>
      </c>
      <c r="D82" s="367" t="str">
        <f>IF(D59&lt;0,"See Tab D","")</f>
        <v/>
      </c>
    </row>
    <row r="88" spans="3:4" hidden="1"/>
    <row r="89" spans="3:4" hidden="1"/>
    <row r="90" spans="3:4" hidden="1"/>
    <row r="91" spans="3:4" hidden="1"/>
  </sheetData>
  <mergeCells count="11">
    <mergeCell ref="G23:J23"/>
    <mergeCell ref="C34:D34"/>
    <mergeCell ref="C65:D65"/>
    <mergeCell ref="C61:D61"/>
    <mergeCell ref="C62:D62"/>
    <mergeCell ref="G40:J40"/>
    <mergeCell ref="C66:D66"/>
    <mergeCell ref="C35:D35"/>
    <mergeCell ref="C30:D30"/>
    <mergeCell ref="C31:D31"/>
    <mergeCell ref="G30:J30"/>
  </mergeCells>
  <phoneticPr fontId="0" type="noConversion"/>
  <conditionalFormatting sqref="E56">
    <cfRule type="cellIs" dxfId="60" priority="3" stopIfTrue="1" operator="greaterThan">
      <formula>$E$58*0.1</formula>
    </cfRule>
  </conditionalFormatting>
  <conditionalFormatting sqref="E61">
    <cfRule type="cellIs" dxfId="59" priority="4" stopIfTrue="1" operator="greaterThan">
      <formula>$E$58/0.95-$E$58</formula>
    </cfRule>
  </conditionalFormatting>
  <conditionalFormatting sqref="E25">
    <cfRule type="cellIs" dxfId="58" priority="5" stopIfTrue="1" operator="greaterThan">
      <formula>$E$27*0.1</formula>
    </cfRule>
  </conditionalFormatting>
  <conditionalFormatting sqref="E30">
    <cfRule type="cellIs" dxfId="57" priority="6" stopIfTrue="1" operator="greaterThan">
      <formula>$E$27/0.95-$E$27</formula>
    </cfRule>
  </conditionalFormatting>
  <conditionalFormatting sqref="C58">
    <cfRule type="cellIs" dxfId="56" priority="7" stopIfTrue="1" operator="greaterThan">
      <formula>$C$60</formula>
    </cfRule>
  </conditionalFormatting>
  <conditionalFormatting sqref="C59 C28">
    <cfRule type="cellIs" dxfId="55" priority="8" stopIfTrue="1" operator="lessThan">
      <formula>0</formula>
    </cfRule>
  </conditionalFormatting>
  <conditionalFormatting sqref="D58">
    <cfRule type="cellIs" dxfId="54" priority="9" stopIfTrue="1" operator="greaterThan">
      <formula>$D$60</formula>
    </cfRule>
  </conditionalFormatting>
  <conditionalFormatting sqref="C27">
    <cfRule type="cellIs" dxfId="53" priority="10" stopIfTrue="1" operator="greaterThan">
      <formula>$C$29</formula>
    </cfRule>
  </conditionalFormatting>
  <conditionalFormatting sqref="D27">
    <cfRule type="cellIs" dxfId="52" priority="11" stopIfTrue="1" operator="greaterThan">
      <formula>$D$29</formula>
    </cfRule>
  </conditionalFormatting>
  <conditionalFormatting sqref="C25">
    <cfRule type="cellIs" dxfId="51" priority="12" stopIfTrue="1" operator="greaterThan">
      <formula>$C$27*0.1</formula>
    </cfRule>
  </conditionalFormatting>
  <conditionalFormatting sqref="D25">
    <cfRule type="cellIs" dxfId="50" priority="13" stopIfTrue="1" operator="greaterThan">
      <formula>$D$27*0.1</formula>
    </cfRule>
  </conditionalFormatting>
  <conditionalFormatting sqref="C56">
    <cfRule type="cellIs" dxfId="49" priority="14" stopIfTrue="1" operator="greaterThan">
      <formula>$C$58*0.1</formula>
    </cfRule>
  </conditionalFormatting>
  <conditionalFormatting sqref="D56">
    <cfRule type="cellIs" dxfId="48" priority="15" stopIfTrue="1" operator="greaterThan">
      <formula>$D$58*0.1</formula>
    </cfRule>
  </conditionalFormatting>
  <conditionalFormatting sqref="D17">
    <cfRule type="cellIs" dxfId="47" priority="16" stopIfTrue="1" operator="greaterThan">
      <formula>$D$19*0.1</formula>
    </cfRule>
  </conditionalFormatting>
  <conditionalFormatting sqref="C17">
    <cfRule type="cellIs" dxfId="46" priority="17" stopIfTrue="1" operator="greaterThan">
      <formula>$C$19*0.1</formula>
    </cfRule>
  </conditionalFormatting>
  <conditionalFormatting sqref="E17">
    <cfRule type="cellIs" dxfId="45" priority="18" stopIfTrue="1" operator="greaterThan">
      <formula>$E$19*0.1+E33</formula>
    </cfRule>
  </conditionalFormatting>
  <conditionalFormatting sqref="C48">
    <cfRule type="cellIs" dxfId="44" priority="19" stopIfTrue="1" operator="greaterThan">
      <formula>$C$50*0.1</formula>
    </cfRule>
  </conditionalFormatting>
  <conditionalFormatting sqref="D48">
    <cfRule type="cellIs" dxfId="43" priority="20" stopIfTrue="1" operator="greaterThan">
      <formula>$D$50*0.1</formula>
    </cfRule>
  </conditionalFormatting>
  <conditionalFormatting sqref="E48">
    <cfRule type="cellIs" dxfId="42" priority="21" stopIfTrue="1" operator="greaterThan">
      <formula>$E$50*0.1+E64</formula>
    </cfRule>
  </conditionalFormatting>
  <conditionalFormatting sqref="D59 D28">
    <cfRule type="cellIs" dxfId="41" priority="2" stopIfTrue="1" operator="lessThan">
      <formula>0</formula>
    </cfRule>
  </conditionalFormatting>
  <pageMargins left="0.5" right="0.5" top="1" bottom="0.5" header="0.5" footer="0.5"/>
  <pageSetup scale="64" orientation="portrait" blackAndWhite="1" r:id="rId1"/>
  <headerFooter alignWithMargins="0">
    <oddHeader xml:space="preserve">&amp;RState of Kansas
City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cert</vt:lpstr>
      <vt:lpstr>signed cert</vt:lpstr>
      <vt:lpstr>computation</vt:lpstr>
      <vt:lpstr>Mvalloc</vt:lpstr>
      <vt:lpstr>Transfers</vt:lpstr>
      <vt:lpstr>debt</vt:lpstr>
      <vt:lpstr>lpform</vt:lpstr>
      <vt:lpstr>general</vt:lpstr>
      <vt:lpstr>SocSecurity</vt:lpstr>
      <vt:lpstr>SpecHwy  Water</vt:lpstr>
      <vt:lpstr>Sewer  WaterDebt</vt:lpstr>
      <vt:lpstr>nonbud</vt:lpstr>
      <vt:lpstr>summ</vt:lpstr>
      <vt:lpstr>publication</vt:lpstr>
      <vt:lpstr>inputPrYr</vt:lpstr>
      <vt:lpstr>inputOth</vt:lpstr>
      <vt:lpstr>inputBudSum</vt:lpstr>
      <vt:lpstr>general!Print_Area</vt:lpstr>
      <vt:lpstr>inputBudSum!Print_Area</vt:lpstr>
      <vt:lpstr>inputPrYr!Print_Area</vt:lpstr>
      <vt:lpstr>lpform!Print_Area</vt:lpstr>
      <vt:lpstr>SocSecurity!Print_Area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2012-08-20T16:15:45Z</cp:lastPrinted>
  <dcterms:created xsi:type="dcterms:W3CDTF">1998-12-22T16:13:18Z</dcterms:created>
  <dcterms:modified xsi:type="dcterms:W3CDTF">2014-01-21T19:07:03Z</dcterms:modified>
</cp:coreProperties>
</file>