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4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<sst xmlns="http://schemas.openxmlformats.org/spreadsheetml/2006/main" count="2547" uniqueCount="1180">
  <si>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</si>
  <si>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</si>
  <si>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</si>
  <si>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</si>
  <si>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</si>
  <si>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</si>
  <si>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</si>
  <si>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</si>
  <si>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</si>
  <si>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</si>
  <si>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</si>
  <si>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</si>
  <si>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</si>
  <si>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</si>
  <si>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</si>
  <si>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</si>
  <si>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</si>
  <si>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</si>
  <si>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</si>
  <si>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</si>
  <si>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</si>
  <si>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</si>
  <si>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</si>
  <si>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</si>
  <si>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</si>
  <si>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</si>
  <si>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</si>
  <si>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</si>
  <si>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</si>
  <si>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</si>
  <si>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</si>
  <si>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</si>
  <si>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The following were changed to this spreadsheet on 7/11/12</t>
  </si>
  <si>
    <t xml:space="preserve">1.  Corrected the Debt Service/Library Fund Page.  Established the link (cell d47)  for current year for Ad Valorem taxes to the imput page for the Library Fund.  </t>
  </si>
  <si>
    <t>City of Haysville</t>
  </si>
  <si>
    <t>Sedgwick County</t>
  </si>
  <si>
    <t>Law Enforcement</t>
  </si>
  <si>
    <t>12-110b</t>
  </si>
  <si>
    <t>Special Liability</t>
  </si>
  <si>
    <t>75-6110</t>
  </si>
  <si>
    <t>Highway Improvement Reserve</t>
  </si>
  <si>
    <t>Office Equipment Repair/Acq</t>
  </si>
  <si>
    <t>Special Parks &amp; Recreation</t>
  </si>
  <si>
    <t>Special Alcohol</t>
  </si>
  <si>
    <t>Stormwater</t>
  </si>
  <si>
    <t>Wastewater Debt Service Res.</t>
  </si>
  <si>
    <t>Sp. Park Improvement Res.</t>
  </si>
  <si>
    <t>Water/Wastewater Surplus</t>
  </si>
  <si>
    <t>Equipment Reserve</t>
  </si>
  <si>
    <t>Risk Management Reserve</t>
  </si>
  <si>
    <t>Transient Guest Tax</t>
  </si>
  <si>
    <t>Municipal Pool</t>
  </si>
  <si>
    <t>Water/Wastewater</t>
  </si>
  <si>
    <t>Recreation</t>
  </si>
  <si>
    <t>Capital Improvements</t>
  </si>
  <si>
    <t>Janie Cox</t>
  </si>
  <si>
    <t>City Clerk/Treasurer</t>
  </si>
  <si>
    <t>August 13, 2012</t>
  </si>
  <si>
    <t>7:00 p.m.</t>
  </si>
  <si>
    <t>Haysville Municipal Building, 200 W. Grand, Haysville, KS</t>
  </si>
  <si>
    <t>Haysville Municipal Building</t>
  </si>
  <si>
    <t>General Fund</t>
  </si>
  <si>
    <t>Sp. Highway Impr. Res.</t>
  </si>
  <si>
    <t>Equipment Reserve Fd</t>
  </si>
  <si>
    <t>Water</t>
  </si>
  <si>
    <t>Wastewater Debt Res.</t>
  </si>
  <si>
    <t>Wastewater Fund</t>
  </si>
  <si>
    <t>Water/WW Surplus</t>
  </si>
  <si>
    <t>Stormwater Utility</t>
  </si>
  <si>
    <t>Recreation Dept.</t>
  </si>
  <si>
    <t>12-197</t>
  </si>
  <si>
    <t>68-590</t>
  </si>
  <si>
    <t>12-16,102</t>
  </si>
  <si>
    <t>12-1,117</t>
  </si>
  <si>
    <t>12-825d</t>
  </si>
  <si>
    <t>G.O. Internal Improvements</t>
  </si>
  <si>
    <t>Refunding G.O. Internal Impr.</t>
  </si>
  <si>
    <t>4/1 &amp; 10/1</t>
  </si>
  <si>
    <t>5/1 &amp; 11/1</t>
  </si>
  <si>
    <t>Water/Wastewater Utility System Refunding</t>
  </si>
  <si>
    <t>3.56 Avg</t>
  </si>
  <si>
    <t>Interest*</t>
  </si>
  <si>
    <t>* $322,000 to be paid out of General Fund.</t>
  </si>
  <si>
    <t>3.157 A</t>
  </si>
  <si>
    <t>3.865% Av</t>
  </si>
  <si>
    <t>3.379% Av</t>
  </si>
  <si>
    <t>3.929% Av</t>
  </si>
  <si>
    <t>4.297% Av</t>
  </si>
  <si>
    <t>Haysville Activity Center</t>
  </si>
  <si>
    <t>John Deere Loader/Backhoe</t>
  </si>
  <si>
    <t>120 Mos.</t>
  </si>
  <si>
    <t>Permits</t>
  </si>
  <si>
    <t>Fines</t>
  </si>
  <si>
    <t>Reimbursed Expense/Police SRO</t>
  </si>
  <si>
    <t>Insurance Dividend</t>
  </si>
  <si>
    <t>Transfer from Water for Emp. Benefits</t>
  </si>
  <si>
    <t>Transfer from Wastewater for Emp. Benefits</t>
  </si>
  <si>
    <t>Transfer from Stormwater for Emp. Benefits</t>
  </si>
  <si>
    <t>Transfer from Special Highway for Emp. Benefits</t>
  </si>
  <si>
    <t>Police</t>
  </si>
  <si>
    <t>Park</t>
  </si>
  <si>
    <t>Planning</t>
  </si>
  <si>
    <t>Municipal Court</t>
  </si>
  <si>
    <t>Street Lights</t>
  </si>
  <si>
    <t>Buildings &amp; Grounds</t>
  </si>
  <si>
    <t>Special Funds</t>
  </si>
  <si>
    <t>Senior Center</t>
  </si>
  <si>
    <t>Governmental Services</t>
  </si>
  <si>
    <t>Inspection</t>
  </si>
  <si>
    <t>Information Systems</t>
  </si>
  <si>
    <t>Media Specialist</t>
  </si>
  <si>
    <t>Miscellaneous Funds</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</si>
  <si>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</si>
  <si>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</si>
  <si>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</si>
  <si>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</si>
  <si>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</si>
  <si>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</si>
  <si>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</si>
  <si>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</si>
  <si>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</si>
  <si>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</si>
  <si>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</si>
  <si>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</si>
  <si>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</si>
  <si>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</si>
  <si>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</si>
  <si>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</si>
  <si>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</si>
  <si>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</si>
  <si>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</si>
  <si>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</si>
  <si>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</si>
  <si>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</si>
  <si>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</si>
  <si>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</si>
  <si>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</si>
  <si>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</si>
  <si>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</si>
  <si>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</si>
  <si>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</si>
  <si>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</si>
  <si>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</si>
  <si>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</si>
  <si>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</si>
  <si>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</si>
  <si>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</si>
  <si>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</si>
  <si>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</si>
  <si>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</si>
  <si>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</si>
  <si>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</si>
  <si>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</si>
  <si>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</si>
  <si>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</si>
  <si>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</si>
  <si>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</si>
  <si>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</si>
  <si>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</si>
  <si>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</si>
  <si>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</si>
  <si>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</si>
  <si>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</si>
  <si>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</si>
  <si>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</si>
  <si>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</si>
  <si>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</si>
  <si>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</si>
  <si>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</si>
  <si>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</si>
  <si>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</si>
  <si>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</si>
  <si>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</si>
  <si>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</si>
  <si>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</si>
  <si>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</si>
  <si>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</si>
  <si>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</si>
  <si>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</si>
  <si>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</si>
  <si>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</si>
  <si>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</si>
  <si>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</si>
  <si>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</si>
  <si>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</si>
  <si>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</si>
  <si>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</si>
  <si>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</si>
  <si>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</si>
  <si>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</si>
  <si>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</si>
  <si>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</si>
  <si>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</si>
  <si>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</si>
  <si>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</si>
  <si>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</si>
  <si>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</si>
  <si>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</si>
  <si>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</si>
  <si>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</si>
  <si>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</si>
  <si>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</si>
  <si>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</si>
  <si>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</si>
  <si>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</si>
  <si>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</si>
  <si>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</si>
  <si>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</si>
  <si>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</si>
  <si>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</si>
  <si>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</si>
  <si>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</si>
  <si>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</si>
  <si>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</si>
  <si>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</si>
  <si>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</si>
  <si>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</si>
  <si>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</si>
  <si>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</si>
  <si>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</si>
  <si>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</si>
  <si>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</si>
  <si>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</si>
  <si>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</si>
  <si>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</si>
  <si>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</si>
  <si>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</si>
  <si>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</si>
  <si>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</si>
  <si>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</si>
  <si>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</si>
  <si>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</si>
  <si>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</si>
  <si>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</si>
  <si>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</si>
  <si>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</si>
  <si>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</si>
  <si>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</si>
  <si>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</si>
  <si>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</si>
  <si>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</si>
  <si>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</si>
  <si>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</si>
  <si>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</si>
  <si>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</si>
  <si>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</si>
  <si>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</si>
  <si>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</si>
  <si>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</si>
  <si>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</si>
  <si>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</si>
  <si>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</si>
  <si>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</si>
  <si>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</si>
  <si>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</si>
  <si>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</si>
  <si>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</si>
  <si>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</si>
  <si>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</si>
  <si>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</si>
  <si>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</si>
  <si>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</si>
  <si>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</si>
  <si>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</si>
  <si>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</si>
  <si>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</si>
  <si>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</si>
  <si>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</si>
  <si>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</si>
  <si>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</si>
  <si>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</si>
  <si>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</si>
  <si>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</si>
  <si>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</si>
  <si>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</si>
  <si>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Special Assessments</t>
  </si>
  <si>
    <t>Transfer from Capital Improvements</t>
  </si>
  <si>
    <t>Close out Bond Funds</t>
  </si>
  <si>
    <t>Commission</t>
  </si>
  <si>
    <t>Int On Coupons</t>
  </si>
  <si>
    <t>Transfer from Utilities</t>
  </si>
  <si>
    <t>Library Board</t>
  </si>
  <si>
    <t>Vending Machine</t>
  </si>
  <si>
    <t>Prior Year Revenue</t>
  </si>
  <si>
    <t>Reimbursed Expenses</t>
  </si>
  <si>
    <t>Personnel Services</t>
  </si>
  <si>
    <t>Capital Outlay</t>
  </si>
  <si>
    <t>Insurance</t>
  </si>
  <si>
    <t>Reimbursed Expense</t>
  </si>
  <si>
    <t>Prior Yr Misc Revenue</t>
  </si>
  <si>
    <t>Sale Surplus Property</t>
  </si>
  <si>
    <t>Sale Of Scrap/Recycling</t>
  </si>
  <si>
    <t>Contractual</t>
  </si>
  <si>
    <t>Commodities</t>
  </si>
  <si>
    <t>Transfer to Highway Improvement Reserve</t>
  </si>
  <si>
    <t>Transfer to General Fund</t>
  </si>
  <si>
    <t>Transfer to Equipment Reserve</t>
  </si>
  <si>
    <t>Transfer from Special Highway</t>
  </si>
  <si>
    <t>Road and Bridge Repair</t>
  </si>
  <si>
    <t>Sale of Scrap / Recycling</t>
  </si>
  <si>
    <t>Office Equipment Repair &amp; Acquisition</t>
  </si>
  <si>
    <t>Local Alcohol Liquor Tax</t>
  </si>
  <si>
    <t>Donations</t>
  </si>
  <si>
    <t>Park Programs</t>
  </si>
  <si>
    <t>Education Connection</t>
  </si>
  <si>
    <t>Prevention &amp; Education</t>
  </si>
  <si>
    <t>User Fees</t>
  </si>
  <si>
    <t>Transfer to General - Reimburse Employee Benefits</t>
  </si>
  <si>
    <t>Transfer to Debt Service</t>
  </si>
  <si>
    <t>Transfer from Water Fund</t>
  </si>
  <si>
    <t>Transfer from Wastewater Fund</t>
  </si>
  <si>
    <t>Bond Principal</t>
  </si>
  <si>
    <t>Interest on Coupons</t>
  </si>
  <si>
    <t>Transfer from General Fund - Special Funds</t>
  </si>
  <si>
    <t>Parks Capital Outlay</t>
  </si>
  <si>
    <t>Transfer to Wastewater Fund</t>
  </si>
  <si>
    <t>Water/Wastewater Surplus Expense</t>
  </si>
  <si>
    <t>Transfer from Utility Funds - Water</t>
  </si>
  <si>
    <t>Transfer from Utility Funds - Wastewater</t>
  </si>
  <si>
    <t>Transfer from Utility Funds - Stormwater</t>
  </si>
  <si>
    <t>Transfer from Recreation</t>
  </si>
  <si>
    <t>General Fund Assistance</t>
  </si>
  <si>
    <t>Claims</t>
  </si>
  <si>
    <t>Premiums</t>
  </si>
  <si>
    <t>Administrative Fee</t>
  </si>
  <si>
    <t>Tourism &amp; Convention Promotion</t>
  </si>
  <si>
    <t>Admissions/Passes/Swim Tickets</t>
  </si>
  <si>
    <t>Swim Lessons</t>
  </si>
  <si>
    <t>Concessions</t>
  </si>
  <si>
    <t>Pool Rentals</t>
  </si>
  <si>
    <t>WATER DEPARTMENT</t>
  </si>
  <si>
    <t>Sale of Water to Customers</t>
  </si>
  <si>
    <t>Water Set Up/Transfer/Hook Up Fees</t>
  </si>
  <si>
    <t>Nonpayment Penalty</t>
  </si>
  <si>
    <t>Sales Tax/Water Protection Fees</t>
  </si>
  <si>
    <t>Does Miscellaneous Exceed 10% of Total Receipts</t>
  </si>
  <si>
    <t>Water Revenue Sub-Total</t>
  </si>
  <si>
    <t>WASTEWATER DEPARTMENT</t>
  </si>
  <si>
    <t>Service Charges</t>
  </si>
  <si>
    <t>Sewer Fees</t>
  </si>
  <si>
    <t>Hook Up Fees</t>
  </si>
  <si>
    <t>Transfer From Wastewater Surplus</t>
  </si>
  <si>
    <t>Wastewater Revenue Sub-Total</t>
  </si>
  <si>
    <t>Transfer to General Employee Benefits</t>
  </si>
  <si>
    <t>Transfer Debt Service to Reserve</t>
  </si>
  <si>
    <t>Water Expense Sub-Total</t>
  </si>
  <si>
    <t>Transfer to Water/Wastewater Surplus</t>
  </si>
  <si>
    <t>Wastewater Expense Sub-Total</t>
  </si>
  <si>
    <t>Sale of Surplus Property / Scrap / Recyciling</t>
  </si>
  <si>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</si>
  <si>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</si>
  <si>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</si>
  <si>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</si>
  <si>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</si>
  <si>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</si>
  <si>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</si>
  <si>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</si>
  <si>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</si>
  <si>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</si>
  <si>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</si>
  <si>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</si>
  <si>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</si>
  <si>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</si>
  <si>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</si>
  <si>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</si>
  <si>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</si>
  <si>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</si>
  <si>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</si>
  <si>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</si>
  <si>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</si>
  <si>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</si>
  <si>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</si>
  <si>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</si>
  <si>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</si>
  <si>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</si>
  <si>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</si>
  <si>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</si>
  <si>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</si>
  <si>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</si>
  <si>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</si>
  <si>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</si>
  <si>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</si>
  <si>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</si>
  <si>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</si>
  <si>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</si>
  <si>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</si>
  <si>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</si>
  <si>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</si>
  <si>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</si>
  <si>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</si>
  <si>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</si>
  <si>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</si>
  <si>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</si>
  <si>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</si>
  <si>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</si>
  <si>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</si>
  <si>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</si>
  <si>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</si>
  <si>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</si>
  <si>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</si>
  <si>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</si>
  <si>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</si>
  <si>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</si>
  <si>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</si>
  <si>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</si>
  <si>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</si>
  <si>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</si>
  <si>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</si>
  <si>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</si>
  <si>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</si>
  <si>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</si>
  <si>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</si>
  <si>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</si>
  <si>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</si>
  <si>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</si>
  <si>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</si>
  <si>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</si>
  <si>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</si>
  <si>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</si>
  <si>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</si>
  <si>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</si>
  <si>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</si>
  <si>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</si>
  <si>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</si>
  <si>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</si>
  <si>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</si>
  <si>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</si>
  <si>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</si>
  <si>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</si>
  <si>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</si>
  <si>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</si>
  <si>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</si>
  <si>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</si>
  <si>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</si>
  <si>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</si>
  <si>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</si>
  <si>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</si>
  <si>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</si>
  <si>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</si>
  <si>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</si>
  <si>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</si>
  <si>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</si>
  <si>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</si>
  <si>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</si>
  <si>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</si>
  <si>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</si>
  <si>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</si>
  <si>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</si>
  <si>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</si>
  <si>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</si>
  <si>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</si>
  <si>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</si>
  <si>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</si>
  <si>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</si>
  <si>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</si>
  <si>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</si>
  <si>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</si>
  <si>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</si>
  <si>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</si>
  <si>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</si>
  <si>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</si>
  <si>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</si>
  <si>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</si>
  <si>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</si>
  <si>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</si>
  <si>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</si>
  <si>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</si>
  <si>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</si>
  <si>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</si>
  <si>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</si>
  <si>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</si>
  <si>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</si>
  <si>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</si>
  <si>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</si>
  <si>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</si>
  <si>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</si>
  <si>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</si>
  <si>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</si>
  <si>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</si>
  <si>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</si>
  <si>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</si>
  <si>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</si>
  <si>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</si>
  <si>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</si>
  <si>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</si>
  <si>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</si>
  <si>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</si>
  <si>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</si>
  <si>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</si>
  <si>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</si>
  <si>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</si>
  <si>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</si>
  <si>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</si>
  <si>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</si>
  <si>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</si>
  <si>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</si>
  <si>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</si>
  <si>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</si>
  <si>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</si>
  <si>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</si>
  <si>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</si>
  <si>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</si>
  <si>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</si>
  <si>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</si>
  <si>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</si>
  <si>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</si>
  <si>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</si>
  <si>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</si>
  <si>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</si>
  <si>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</si>
  <si>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</si>
  <si>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</si>
  <si>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</si>
  <si>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</si>
  <si>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</si>
  <si>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</si>
  <si>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</si>
  <si>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</si>
  <si>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</si>
  <si>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</si>
  <si>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</si>
  <si>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</si>
  <si>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</si>
  <si>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</si>
  <si>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</si>
  <si>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</si>
  <si>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</si>
  <si>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</si>
  <si>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</si>
  <si>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</si>
  <si>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</si>
  <si>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</si>
  <si>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</si>
  <si>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</si>
  <si>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</si>
  <si>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</si>
  <si>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</si>
  <si>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</si>
  <si>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</si>
  <si>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</si>
  <si>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</si>
  <si>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</si>
  <si>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</si>
  <si>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</si>
  <si>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</si>
  <si>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</si>
  <si>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</si>
  <si>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</si>
  <si>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</si>
  <si>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</si>
  <si>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</si>
  <si>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</si>
  <si>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</si>
  <si>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</si>
  <si>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</si>
  <si>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</si>
  <si>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</si>
  <si>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</si>
  <si>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</si>
  <si>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</si>
  <si>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</si>
  <si>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</si>
  <si>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</si>
  <si>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</si>
  <si>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</si>
  <si>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</si>
  <si>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</si>
  <si>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</si>
  <si>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</si>
  <si>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</si>
  <si>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</si>
  <si>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</si>
  <si>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</si>
  <si>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</si>
  <si>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</si>
  <si>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</si>
  <si>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</si>
  <si>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</si>
  <si>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</si>
  <si>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</si>
  <si>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</si>
  <si>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</si>
  <si>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</si>
  <si>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</si>
  <si>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</si>
  <si>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</si>
  <si>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</si>
  <si>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</si>
  <si>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</si>
  <si>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</si>
  <si>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</si>
  <si>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</si>
  <si>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</si>
  <si>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</si>
  <si>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</si>
  <si>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</si>
  <si>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</si>
  <si>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</si>
  <si>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</si>
  <si>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</si>
  <si>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</si>
  <si>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</si>
  <si>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</si>
  <si>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</si>
  <si>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</si>
  <si>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</si>
  <si>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</si>
  <si>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</si>
  <si>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</si>
  <si>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</si>
  <si>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</si>
  <si>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</si>
  <si>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</si>
  <si>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</si>
  <si>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</si>
  <si>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</si>
  <si>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</si>
  <si>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</si>
  <si>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</si>
  <si>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</si>
  <si>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</si>
  <si>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</si>
  <si>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</si>
  <si>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</si>
  <si>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</si>
  <si>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</si>
  <si>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</si>
  <si>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</si>
  <si>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</si>
  <si>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</si>
  <si>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</si>
  <si>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</si>
  <si>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</si>
  <si>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</si>
  <si>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</si>
  <si>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</si>
  <si>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</si>
  <si>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</si>
  <si>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</si>
  <si>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</si>
  <si>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</si>
  <si>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</si>
  <si>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</si>
  <si>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</si>
  <si>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</si>
  <si>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</si>
  <si>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</si>
  <si>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</si>
  <si>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</si>
  <si>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</si>
  <si>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</si>
  <si>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</si>
  <si>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</si>
  <si>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</si>
  <si>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</si>
  <si>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</si>
  <si>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</si>
  <si>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</si>
  <si>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</si>
  <si>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</si>
  <si>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</si>
  <si>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</si>
  <si>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</si>
  <si>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</si>
  <si>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</si>
  <si>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</si>
  <si>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</si>
  <si>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</si>
  <si>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</si>
  <si>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</si>
  <si>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</si>
  <si>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</si>
  <si>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</si>
  <si>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</si>
  <si>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</si>
  <si>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</si>
  <si>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</si>
  <si>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</si>
  <si>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</si>
  <si>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</si>
  <si>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</si>
  <si>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</si>
  <si>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</si>
  <si>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</si>
  <si>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</si>
  <si>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</si>
  <si>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</si>
  <si>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</si>
  <si>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</si>
  <si>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</si>
  <si>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</si>
  <si>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</si>
  <si>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</si>
  <si>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</si>
  <si>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</si>
  <si>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</si>
  <si>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</si>
  <si>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</si>
  <si>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</si>
  <si>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</si>
  <si>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</si>
  <si>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</si>
  <si>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</si>
  <si>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</si>
  <si>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</si>
  <si>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</si>
  <si>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</si>
  <si>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</si>
  <si>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</si>
  <si>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</si>
  <si>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</si>
  <si>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</si>
  <si>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</si>
  <si>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</si>
  <si>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</si>
  <si>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</si>
  <si>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</si>
  <si>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</si>
  <si>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</si>
  <si>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</si>
  <si>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</si>
  <si>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</si>
  <si>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</si>
  <si>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</si>
  <si>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</si>
  <si>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</si>
  <si>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</si>
  <si>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</si>
  <si>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</si>
  <si>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</si>
  <si>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</si>
  <si>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</si>
  <si>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</si>
  <si>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</si>
  <si>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</si>
  <si>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</si>
  <si>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</si>
  <si>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</si>
  <si>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</si>
  <si>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</si>
  <si>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</si>
  <si>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</si>
  <si>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</si>
  <si>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</si>
  <si>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</si>
  <si>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</si>
  <si>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</si>
  <si>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</si>
  <si>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</si>
  <si>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</si>
  <si>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</si>
  <si>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</si>
  <si>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</si>
  <si>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</si>
  <si>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</si>
  <si>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</si>
  <si>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</si>
  <si>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</si>
  <si>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</si>
  <si>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</si>
  <si>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</si>
  <si>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</si>
  <si>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</si>
  <si>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</si>
  <si>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</si>
  <si>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</si>
  <si>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</si>
  <si>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</si>
  <si>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</si>
  <si>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</si>
  <si>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</si>
  <si>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</si>
  <si>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</si>
  <si>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</si>
  <si>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</si>
  <si>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</si>
  <si>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</si>
  <si>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</si>
  <si>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</si>
  <si>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</si>
  <si>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</si>
  <si>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</si>
  <si>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</si>
  <si>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</si>
  <si>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</si>
  <si>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</si>
  <si>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</si>
  <si>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</si>
  <si>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</si>
  <si>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</si>
  <si>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</si>
  <si>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</si>
  <si>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</si>
  <si>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</si>
  <si>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</si>
  <si>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</si>
  <si>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</si>
  <si>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</si>
  <si>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</si>
  <si>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</si>
  <si>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</si>
  <si>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</si>
  <si>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</si>
  <si>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</si>
  <si>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</si>
  <si>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</si>
  <si>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</si>
  <si>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</si>
  <si>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</si>
  <si>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</si>
  <si>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</si>
  <si>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</si>
  <si>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</si>
  <si>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</si>
  <si>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</si>
  <si>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</si>
  <si>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</si>
  <si>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</si>
  <si>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</si>
  <si>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</si>
  <si>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</si>
  <si>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</si>
  <si>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</si>
  <si>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</si>
  <si>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</si>
  <si>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</si>
  <si>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</si>
  <si>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</si>
  <si>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</si>
  <si>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</si>
  <si>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</si>
  <si>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</si>
  <si>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</si>
  <si>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</si>
  <si>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</si>
  <si>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</si>
  <si>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</si>
  <si>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</si>
  <si>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</si>
  <si>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</si>
  <si>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</si>
  <si>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</si>
  <si>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</si>
  <si>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</si>
  <si>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</si>
  <si>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</si>
  <si>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</si>
  <si>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</si>
  <si>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</si>
  <si>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</si>
  <si>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</si>
  <si>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</si>
  <si>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</si>
  <si>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</si>
  <si>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</si>
  <si>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</si>
  <si>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</si>
  <si>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</si>
  <si>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</si>
  <si>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</si>
  <si>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</si>
  <si>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</si>
  <si>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</si>
  <si>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</si>
  <si>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</si>
  <si>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</si>
  <si>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</si>
  <si>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</si>
  <si>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</si>
  <si>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</si>
  <si>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</si>
  <si>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</si>
  <si>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</si>
  <si>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</si>
  <si>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</si>
  <si>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</si>
  <si>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</si>
  <si>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</si>
  <si>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</si>
  <si>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</si>
  <si>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</si>
  <si>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</si>
  <si>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</si>
  <si>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</si>
  <si>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</si>
  <si>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</si>
  <si>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</si>
  <si>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</si>
  <si>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</si>
  <si>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</si>
  <si>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</si>
  <si>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</si>
  <si>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</si>
  <si>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</si>
  <si>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</si>
  <si>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</si>
  <si>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</si>
  <si>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</si>
  <si>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</si>
  <si>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</si>
  <si>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</si>
  <si>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</si>
  <si>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</si>
  <si>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</si>
  <si>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</si>
  <si>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</si>
  <si>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</si>
  <si>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</si>
  <si>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</si>
  <si>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</si>
  <si>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</si>
  <si>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</si>
  <si>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</si>
  <si>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</si>
  <si>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</si>
  <si>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</si>
  <si>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</si>
  <si>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</si>
  <si>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</si>
  <si>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</si>
  <si>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</si>
  <si>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</si>
  <si>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</si>
  <si>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</si>
  <si>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</si>
  <si>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</si>
  <si>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</si>
  <si>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</si>
  <si>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</si>
  <si>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</si>
  <si>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</si>
  <si>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</si>
  <si>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</si>
  <si>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</si>
  <si>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</si>
  <si>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</si>
  <si>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</si>
  <si>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</si>
  <si>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</si>
  <si>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</si>
  <si>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</si>
  <si>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</si>
  <si>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</si>
  <si>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</si>
  <si>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</si>
  <si>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</si>
  <si>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</si>
  <si>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</si>
  <si>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</si>
  <si>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</si>
  <si>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</si>
  <si>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</si>
  <si>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</si>
  <si>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</si>
  <si>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</si>
  <si>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</si>
  <si>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</si>
  <si>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</si>
  <si>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</si>
  <si>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</si>
  <si>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</si>
  <si>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</si>
  <si>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</si>
  <si>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</si>
  <si>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</si>
  <si>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</si>
  <si>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</si>
  <si>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</si>
  <si>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</si>
  <si>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</si>
  <si>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</si>
  <si>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</si>
  <si>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</si>
  <si>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</si>
  <si>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</si>
  <si>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</si>
  <si>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</si>
  <si>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</si>
  <si>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</si>
  <si>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</si>
  <si>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</si>
  <si>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</si>
  <si>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</si>
  <si>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</si>
  <si>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</si>
  <si>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</si>
  <si>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</si>
  <si>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</si>
  <si>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</si>
  <si>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</si>
  <si>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  Street Lights</t>
  </si>
  <si>
    <t xml:space="preserve">  Employee Benefits</t>
  </si>
  <si>
    <t xml:space="preserve">  Recreation Expense</t>
  </si>
  <si>
    <t xml:space="preserve">  Municipal Pool Expense</t>
  </si>
  <si>
    <t xml:space="preserve">  State Fees</t>
  </si>
  <si>
    <t xml:space="preserve">  Noxious Weeds</t>
  </si>
  <si>
    <t xml:space="preserve">  Bond Expense</t>
  </si>
  <si>
    <t>Transfer to Capital Impr. - Sales Tax</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</si>
  <si>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</si>
  <si>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</si>
  <si>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</si>
  <si>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</si>
  <si>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</si>
  <si>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</si>
  <si>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</si>
  <si>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</si>
  <si>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</si>
  <si>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</si>
  <si>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</si>
  <si>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</si>
  <si>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</si>
  <si>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</si>
  <si>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</si>
  <si>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</si>
  <si>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</si>
  <si>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</si>
  <si>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</si>
  <si>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</si>
  <si>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</si>
  <si>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</si>
  <si>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</si>
  <si>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</si>
  <si>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</si>
  <si>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</si>
  <si>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</si>
  <si>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</si>
  <si>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</si>
  <si>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</si>
  <si>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</si>
  <si>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</si>
  <si>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</si>
  <si>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</si>
  <si>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</si>
  <si>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</si>
  <si>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</si>
  <si>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</si>
  <si>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</si>
  <si>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</si>
  <si>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</si>
  <si>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</si>
  <si>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</si>
  <si>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</si>
  <si>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</si>
  <si>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</si>
  <si>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</si>
  <si>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</si>
  <si>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</si>
  <si>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</si>
  <si>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</si>
  <si>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</si>
  <si>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</si>
  <si>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</si>
  <si>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</si>
  <si>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</si>
  <si>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</si>
  <si>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</si>
  <si>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</si>
  <si>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</si>
  <si>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</si>
  <si>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</si>
  <si>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</si>
  <si>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</si>
  <si>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</si>
  <si>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</si>
  <si>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</si>
  <si>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</si>
  <si>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</si>
  <si>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</si>
  <si>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</si>
  <si>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</si>
  <si>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</si>
  <si>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</si>
  <si>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</si>
  <si>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</si>
  <si>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</si>
  <si>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</si>
  <si>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</si>
  <si>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</si>
  <si>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</si>
  <si>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</si>
  <si>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</si>
  <si>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</si>
  <si>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</si>
  <si>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</si>
  <si>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</si>
  <si>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</si>
  <si>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</si>
  <si>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</si>
  <si>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</si>
  <si>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</si>
  <si>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</si>
  <si>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</si>
  <si>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</si>
  <si>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</si>
  <si>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</si>
  <si>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</si>
  <si>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</si>
  <si>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</si>
  <si>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</si>
  <si>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</si>
  <si>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</si>
  <si>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</si>
  <si>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</si>
  <si>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</si>
  <si>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</si>
  <si>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</si>
  <si>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</si>
  <si>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</si>
  <si>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</si>
  <si>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</si>
  <si>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</si>
  <si>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</si>
  <si>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</si>
  <si>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</si>
  <si>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</si>
  <si>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</si>
  <si>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</si>
  <si>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</si>
  <si>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</si>
  <si>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</si>
  <si>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</si>
  <si>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</si>
  <si>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</si>
  <si>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</si>
  <si>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</si>
  <si>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</si>
  <si>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</si>
  <si>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t>Program Fees</t>
  </si>
  <si>
    <t>Admissions/Memberships</t>
  </si>
  <si>
    <t>Latchkey</t>
  </si>
  <si>
    <t>General Asst/P-C Sports Complex</t>
  </si>
  <si>
    <t>Programs</t>
  </si>
  <si>
    <t>Plagans/Carpenter Sports Complex</t>
  </si>
  <si>
    <t>Certificate of Participation Payments</t>
  </si>
  <si>
    <t>Sewer Lift Station Fees</t>
  </si>
  <si>
    <t>Transfer From General - Sales Tax</t>
  </si>
  <si>
    <t>Industrial Park</t>
  </si>
  <si>
    <t>Capital Improvements Projects</t>
  </si>
  <si>
    <t>Transfer Debt Service to Recreation Fund</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</si>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</sst>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8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6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0" fontId="5" fillId="0" borderId="0" xfId="362"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4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34" borderId="26" xfId="82" applyFont="1" applyFill="1" applyBorder="1" applyAlignment="1" applyProtection="1">
      <alignment vertical="center"/>
      <protection locked="0"/>
    </xf>
    <xf numFmtId="0" fontId="5" fillId="34" borderId="21" xfId="82" applyFont="1" applyFill="1" applyBorder="1" applyAlignment="1" applyProtection="1">
      <alignment vertical="center"/>
      <protection locked="0"/>
    </xf>
    <xf numFmtId="195" fontId="13" fillId="34" borderId="26" xfId="82" applyNumberFormat="1" applyFont="1" applyFill="1" applyBorder="1" applyAlignment="1" applyProtection="1">
      <alignment vertical="center"/>
      <protection locked="0"/>
    </xf>
    <xf numFmtId="195" fontId="13" fillId="34" borderId="25" xfId="82" applyNumberFormat="1" applyFont="1" applyFill="1" applyBorder="1" applyAlignment="1" applyProtection="1">
      <alignment horizontal="center" vertical="center"/>
      <protection locked="0"/>
    </xf>
    <xf numFmtId="195" fontId="13" fillId="34" borderId="26" xfId="82" applyNumberFormat="1" applyFont="1" applyFill="1" applyBorder="1" applyAlignment="1" applyProtection="1">
      <alignment horizontal="center" vertical="center"/>
      <protection locked="0"/>
    </xf>
    <xf numFmtId="0" fontId="13" fillId="34" borderId="0" xfId="82" applyFont="1" applyFill="1" applyBorder="1" applyAlignment="1" applyProtection="1">
      <alignment vertical="center"/>
      <protection locked="0"/>
    </xf>
    <xf numFmtId="0" fontId="13" fillId="34"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37" borderId="0" xfId="0" applyFont="1" applyFill="1" applyAlignment="1">
      <alignment/>
    </xf>
    <xf numFmtId="0" fontId="33" fillId="34" borderId="0" xfId="0" applyFont="1" applyFill="1" applyAlignment="1">
      <alignment/>
    </xf>
    <xf numFmtId="0" fontId="34" fillId="37" borderId="0" xfId="0" applyFont="1" applyFill="1" applyAlignment="1">
      <alignment horizontal="center" wrapText="1"/>
    </xf>
    <xf numFmtId="0" fontId="34" fillId="34" borderId="0" xfId="0" applyFont="1" applyFill="1" applyAlignment="1">
      <alignment/>
    </xf>
    <xf numFmtId="0" fontId="33" fillId="34" borderId="0" xfId="0" applyFont="1" applyFill="1" applyAlignment="1">
      <alignment horizontal="center"/>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195" fontId="33" fillId="34" borderId="30" xfId="0" applyNumberFormat="1" applyFont="1" applyFill="1" applyBorder="1" applyAlignment="1">
      <alignment/>
    </xf>
    <xf numFmtId="0" fontId="33" fillId="34" borderId="0" xfId="0" applyFont="1" applyFill="1" applyBorder="1" applyAlignment="1">
      <alignment/>
    </xf>
    <xf numFmtId="195" fontId="33" fillId="34" borderId="11" xfId="0" applyNumberFormat="1" applyFont="1" applyFill="1" applyBorder="1" applyAlignment="1">
      <alignment horizontal="center"/>
    </xf>
    <xf numFmtId="0" fontId="33" fillId="34" borderId="31" xfId="0" applyFont="1" applyFill="1" applyBorder="1" applyAlignment="1">
      <alignment/>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xf>
    <xf numFmtId="0" fontId="33" fillId="34" borderId="27" xfId="0" applyFont="1" applyFill="1" applyBorder="1" applyAlignment="1">
      <alignment/>
    </xf>
    <xf numFmtId="0" fontId="33" fillId="34" borderId="35" xfId="0" applyFont="1" applyFill="1" applyBorder="1" applyAlignment="1">
      <alignment/>
    </xf>
    <xf numFmtId="195" fontId="33" fillId="33" borderId="30" xfId="0" applyNumberFormat="1" applyFont="1" applyFill="1" applyBorder="1" applyAlignment="1" applyProtection="1">
      <alignment horizontal="center"/>
      <protection locked="0"/>
    </xf>
    <xf numFmtId="188" fontId="33" fillId="34" borderId="0" xfId="0" applyNumberFormat="1" applyFont="1" applyFill="1" applyBorder="1" applyAlignment="1">
      <alignment horizontal="center"/>
    </xf>
    <xf numFmtId="0" fontId="43"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7" borderId="0"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5" fontId="33" fillId="34" borderId="33" xfId="0" applyNumberFormat="1" applyFont="1" applyFill="1" applyBorder="1" applyAlignment="1">
      <alignment horizontal="center"/>
    </xf>
    <xf numFmtId="0" fontId="33" fillId="34" borderId="33" xfId="0" applyFont="1" applyFill="1" applyBorder="1" applyAlignment="1">
      <alignment horizontal="center"/>
    </xf>
    <xf numFmtId="188" fontId="33" fillId="34" borderId="33" xfId="0" applyNumberFormat="1" applyFont="1" applyFill="1" applyBorder="1" applyAlignment="1">
      <alignment horizontal="center"/>
    </xf>
    <xf numFmtId="196" fontId="33" fillId="34" borderId="33" xfId="0" applyNumberFormat="1" applyFont="1" applyFill="1" applyBorder="1" applyAlignment="1">
      <alignment horizontal="center"/>
    </xf>
    <xf numFmtId="0" fontId="33" fillId="34" borderId="0" xfId="0" applyFont="1" applyFill="1" applyAlignment="1">
      <alignment horizontal="center" wrapText="1"/>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0" fontId="33" fillId="34" borderId="35" xfId="0" applyFont="1" applyFill="1" applyBorder="1" applyAlignment="1">
      <alignment/>
    </xf>
    <xf numFmtId="0" fontId="33" fillId="34" borderId="31"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78" fontId="33" fillId="34" borderId="0" xfId="0" applyNumberFormat="1" applyFont="1" applyFill="1" applyBorder="1" applyAlignment="1">
      <alignment horizontal="center"/>
    </xf>
    <xf numFmtId="0" fontId="33" fillId="34" borderId="32" xfId="0" applyFont="1" applyFill="1" applyBorder="1" applyAlignment="1">
      <alignment/>
    </xf>
    <xf numFmtId="5" fontId="33" fillId="34" borderId="0" xfId="0" applyNumberFormat="1" applyFont="1" applyFill="1" applyBorder="1" applyAlignment="1">
      <alignment horizontal="center"/>
    </xf>
    <xf numFmtId="0" fontId="33" fillId="37" borderId="0" xfId="0" applyFont="1" applyFill="1" applyAlignment="1">
      <alignment/>
    </xf>
    <xf numFmtId="18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xf>
    <xf numFmtId="0" fontId="33" fillId="42"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33" borderId="21" xfId="82" applyNumberFormat="1" applyFont="1" applyFill="1" applyBorder="1" applyAlignment="1" applyProtection="1">
      <alignment horizontal="center"/>
      <protection locked="0"/>
    </xf>
    <xf numFmtId="0" fontId="37" fillId="34" borderId="26" xfId="82" applyFont="1" applyFill="1" applyBorder="1" applyProtection="1">
      <alignment/>
      <protection/>
    </xf>
    <xf numFmtId="0" fontId="5" fillId="34" borderId="0" xfId="82" applyFont="1" applyFill="1" applyBorder="1" applyProtection="1">
      <alignment/>
      <protection/>
    </xf>
    <xf numFmtId="195" fontId="5" fillId="34" borderId="21" xfId="82" applyNumberFormat="1" applyFont="1" applyFill="1" applyBorder="1" applyAlignment="1" applyProtection="1">
      <alignment horizontal="center"/>
      <protection/>
    </xf>
    <xf numFmtId="0" fontId="5" fillId="34" borderId="25" xfId="82" applyFont="1" applyFill="1" applyBorder="1" applyProtection="1">
      <alignment/>
      <protection/>
    </xf>
    <xf numFmtId="0" fontId="5" fillId="34" borderId="11" xfId="82" applyFont="1" applyFill="1" applyBorder="1" applyProtection="1">
      <alignment/>
      <protection/>
    </xf>
    <xf numFmtId="195" fontId="5" fillId="40"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34" borderId="26" xfId="82" applyFont="1" applyFill="1" applyBorder="1" applyProtection="1">
      <alignment/>
      <protection/>
    </xf>
    <xf numFmtId="0" fontId="5" fillId="34" borderId="21" xfId="82" applyFont="1" applyFill="1" applyBorder="1" applyProtection="1">
      <alignment/>
      <protection/>
    </xf>
    <xf numFmtId="178" fontId="5" fillId="34" borderId="21" xfId="82" applyNumberFormat="1" applyFont="1" applyFill="1" applyBorder="1" applyAlignment="1" applyProtection="1">
      <alignment horizontal="center"/>
      <protection/>
    </xf>
    <xf numFmtId="0" fontId="5" fillId="40" borderId="26" xfId="82" applyFont="1" applyFill="1" applyBorder="1" applyProtection="1">
      <alignment/>
      <protection/>
    </xf>
    <xf numFmtId="0" fontId="5" fillId="40" borderId="0" xfId="82" applyFont="1" applyFill="1" applyBorder="1" applyProtection="1">
      <alignment/>
      <protection/>
    </xf>
    <xf numFmtId="0" fontId="5" fillId="40" borderId="25" xfId="82" applyFont="1" applyFill="1" applyBorder="1" applyProtection="1">
      <alignment/>
      <protection/>
    </xf>
    <xf numFmtId="0" fontId="5" fillId="40" borderId="11" xfId="82" applyFont="1" applyFill="1" applyBorder="1" applyProtection="1">
      <alignment/>
      <protection/>
    </xf>
    <xf numFmtId="0" fontId="5" fillId="0" borderId="0" xfId="82" applyFont="1" applyProtection="1">
      <alignment/>
      <protection/>
    </xf>
    <xf numFmtId="195" fontId="5" fillId="34" borderId="17" xfId="82" applyNumberFormat="1" applyFont="1" applyFill="1" applyBorder="1" applyAlignment="1" applyProtection="1">
      <alignment horizontal="center"/>
      <protection/>
    </xf>
    <xf numFmtId="0" fontId="6" fillId="0" borderId="0" xfId="118" applyFont="1" applyAlignment="1">
      <alignment vertical="center"/>
      <protection/>
    </xf>
    <xf numFmtId="0" fontId="40" fillId="0" borderId="0" xfId="0" applyFont="1" applyAlignment="1">
      <alignment vertical="center"/>
    </xf>
    <xf numFmtId="0" fontId="17" fillId="0" borderId="0" xfId="0" applyFont="1" applyAlignment="1" applyProtection="1">
      <alignment horizontal="center" vertical="center"/>
      <protection locked="0"/>
    </xf>
    <xf numFmtId="0" fontId="18"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34" borderId="0" xfId="82" applyFont="1" applyFill="1" applyBorder="1" applyAlignment="1" applyProtection="1">
      <alignment vertical="center"/>
      <protection locked="0"/>
    </xf>
    <xf numFmtId="0" fontId="5" fillId="34" borderId="0" xfId="82" applyFont="1" applyFill="1" applyBorder="1" applyAlignment="1" applyProtection="1">
      <alignment vertical="center"/>
      <protection/>
    </xf>
    <xf numFmtId="0" fontId="37" fillId="34" borderId="0" xfId="82" applyFont="1" applyFill="1" applyBorder="1" applyAlignment="1" applyProtection="1">
      <alignment vertical="center"/>
      <protection locked="0"/>
    </xf>
    <xf numFmtId="195" fontId="37" fillId="33" borderId="10" xfId="82" applyNumberFormat="1" applyFont="1" applyFill="1" applyBorder="1" applyAlignment="1" applyProtection="1">
      <alignment horizontal="center" vertical="center"/>
      <protection locked="0"/>
    </xf>
    <xf numFmtId="0" fontId="5" fillId="34" borderId="26" xfId="82" applyFont="1" applyFill="1" applyBorder="1" applyAlignment="1" applyProtection="1">
      <alignment vertical="center"/>
      <protection/>
    </xf>
    <xf numFmtId="0" fontId="5" fillId="34" borderId="21" xfId="82" applyFont="1" applyFill="1" applyBorder="1" applyAlignment="1" applyProtection="1">
      <alignment vertical="center"/>
      <protection/>
    </xf>
    <xf numFmtId="195" fontId="37" fillId="34" borderId="26" xfId="82" applyNumberFormat="1" applyFont="1" applyFill="1" applyBorder="1" applyAlignment="1" applyProtection="1">
      <alignment horizontal="center" vertical="center"/>
      <protection/>
    </xf>
    <xf numFmtId="0" fontId="37" fillId="34" borderId="0" xfId="82" applyFont="1" applyFill="1" applyBorder="1" applyAlignment="1" applyProtection="1">
      <alignment horizontal="left" vertical="center"/>
      <protection/>
    </xf>
    <xf numFmtId="0" fontId="37" fillId="34" borderId="21" xfId="82" applyFont="1" applyFill="1" applyBorder="1" applyAlignment="1" applyProtection="1">
      <alignment vertical="center"/>
      <protection/>
    </xf>
    <xf numFmtId="0" fontId="37" fillId="34" borderId="0" xfId="82" applyFont="1" applyFill="1" applyBorder="1" applyAlignment="1" applyProtection="1">
      <alignment vertical="center"/>
      <protection/>
    </xf>
    <xf numFmtId="195" fontId="37" fillId="34" borderId="25" xfId="82" applyNumberFormat="1" applyFont="1" applyFill="1" applyBorder="1" applyAlignment="1" applyProtection="1">
      <alignment horizontal="center" vertical="center"/>
      <protection/>
    </xf>
    <xf numFmtId="195" fontId="37" fillId="34" borderId="26" xfId="82" applyNumberFormat="1" applyFont="1" applyFill="1" applyBorder="1" applyAlignment="1" applyProtection="1">
      <alignment vertical="center"/>
      <protection/>
    </xf>
    <xf numFmtId="0" fontId="39" fillId="40" borderId="11" xfId="82" applyFont="1" applyFill="1" applyBorder="1" applyAlignment="1" applyProtection="1">
      <alignment vertical="center"/>
      <protection/>
    </xf>
    <xf numFmtId="0" fontId="37" fillId="40" borderId="17" xfId="82" applyFont="1" applyFill="1" applyBorder="1" applyAlignment="1" applyProtection="1">
      <alignment vertical="center"/>
      <protection/>
    </xf>
    <xf numFmtId="0" fontId="5" fillId="40" borderId="17" xfId="82" applyFont="1" applyFill="1" applyBorder="1" applyAlignment="1" applyProtection="1">
      <alignment vertical="center"/>
      <protection/>
    </xf>
    <xf numFmtId="0" fontId="37" fillId="34" borderId="26" xfId="82" applyFont="1" applyFill="1" applyBorder="1" applyAlignment="1" applyProtection="1">
      <alignment horizontal="left" vertical="center"/>
      <protection/>
    </xf>
    <xf numFmtId="195" fontId="39" fillId="40" borderId="25" xfId="82" applyNumberFormat="1" applyFont="1" applyFill="1" applyBorder="1" applyAlignment="1" applyProtection="1">
      <alignment horizontal="center" vertical="center"/>
      <protection/>
    </xf>
    <xf numFmtId="195" fontId="39" fillId="40" borderId="17" xfId="82" applyNumberFormat="1" applyFont="1" applyFill="1" applyBorder="1" applyAlignment="1" applyProtection="1">
      <alignment horizontal="center" vertical="center"/>
      <protection locked="0"/>
    </xf>
    <xf numFmtId="188" fontId="37" fillId="34" borderId="18" xfId="82" applyNumberFormat="1" applyFont="1" applyFill="1" applyBorder="1" applyAlignment="1" applyProtection="1">
      <alignment horizontal="center" vertical="center"/>
      <protection locked="0"/>
    </xf>
    <xf numFmtId="0" fontId="37" fillId="34"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35"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34" fillId="34" borderId="35" xfId="0" applyFont="1" applyFill="1" applyBorder="1" applyAlignment="1">
      <alignment horizontal="centerContinuous" vertical="center"/>
    </xf>
    <xf numFmtId="195"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88" fontId="34" fillId="34" borderId="0" xfId="0" applyNumberFormat="1" applyFont="1" applyFill="1" applyBorder="1" applyAlignment="1" applyProtection="1">
      <alignment horizontal="centerContinuous" vertical="center"/>
      <protection locked="0"/>
    </xf>
    <xf numFmtId="196" fontId="34" fillId="34" borderId="0" xfId="0" applyNumberFormat="1" applyFont="1" applyFill="1" applyBorder="1" applyAlignment="1">
      <alignment horizontal="centerContinuous" vertical="center"/>
    </xf>
    <xf numFmtId="0" fontId="34" fillId="34" borderId="31" xfId="0" applyFont="1" applyFill="1" applyBorder="1" applyAlignment="1">
      <alignment horizontal="centerContinuous" vertical="center"/>
    </xf>
    <xf numFmtId="0" fontId="34" fillId="34" borderId="35" xfId="0" applyFont="1" applyFill="1" applyBorder="1" applyAlignment="1">
      <alignment horizontal="centerContinuous"/>
    </xf>
    <xf numFmtId="195"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88" fontId="34" fillId="34" borderId="0" xfId="0" applyNumberFormat="1" applyFont="1" applyFill="1" applyBorder="1" applyAlignment="1" applyProtection="1">
      <alignment horizontal="centerContinuous"/>
      <protection locked="0"/>
    </xf>
    <xf numFmtId="196" fontId="34" fillId="34" borderId="0" xfId="0" applyNumberFormat="1" applyFont="1" applyFill="1" applyBorder="1" applyAlignment="1">
      <alignment horizontal="centerContinuous"/>
    </xf>
    <xf numFmtId="0" fontId="34" fillId="34" borderId="31" xfId="0" applyFont="1" applyFill="1" applyBorder="1" applyAlignment="1">
      <alignment horizontal="centerContinuous"/>
    </xf>
    <xf numFmtId="195" fontId="33" fillId="0" borderId="0" xfId="0" applyNumberFormat="1" applyFont="1" applyAlignment="1">
      <alignment/>
    </xf>
    <xf numFmtId="195" fontId="33" fillId="34" borderId="33" xfId="0" applyNumberFormat="1" applyFont="1" applyFill="1" applyBorder="1" applyAlignment="1">
      <alignment horizontal="center"/>
    </xf>
    <xf numFmtId="188" fontId="33" fillId="34" borderId="33" xfId="0" applyNumberFormat="1" applyFont="1" applyFill="1" applyBorder="1" applyAlignment="1" applyProtection="1">
      <alignment horizontal="center"/>
      <protection locked="0"/>
    </xf>
    <xf numFmtId="196" fontId="33" fillId="34" borderId="33" xfId="0" applyNumberFormat="1" applyFont="1" applyFill="1" applyBorder="1" applyAlignment="1">
      <alignment/>
    </xf>
    <xf numFmtId="188" fontId="33" fillId="34" borderId="0" xfId="0" applyNumberFormat="1" applyFont="1" applyFill="1" applyBorder="1" applyAlignment="1" applyProtection="1">
      <alignment horizontal="center"/>
      <protection locked="0"/>
    </xf>
    <xf numFmtId="195" fontId="33" fillId="34" borderId="28" xfId="0" applyNumberFormat="1" applyFont="1" applyFill="1" applyBorder="1" applyAlignment="1">
      <alignment horizontal="center"/>
    </xf>
    <xf numFmtId="0" fontId="33" fillId="34" borderId="28" xfId="0" applyFont="1" applyFill="1" applyBorder="1" applyAlignment="1">
      <alignment horizontal="center"/>
    </xf>
    <xf numFmtId="188" fontId="33" fillId="34" borderId="28" xfId="0" applyNumberFormat="1" applyFont="1" applyFill="1" applyBorder="1" applyAlignment="1" applyProtection="1">
      <alignment horizontal="center"/>
      <protection locked="0"/>
    </xf>
    <xf numFmtId="196" fontId="33" fillId="34" borderId="28" xfId="0" applyNumberFormat="1" applyFont="1" applyFill="1" applyBorder="1" applyAlignment="1">
      <alignment/>
    </xf>
    <xf numFmtId="195" fontId="33" fillId="34" borderId="0" xfId="0" applyNumberFormat="1" applyFont="1" applyFill="1" applyBorder="1" applyAlignment="1" applyProtection="1">
      <alignment horizontal="center"/>
      <protection locked="0"/>
    </xf>
    <xf numFmtId="195" fontId="5" fillId="40" borderId="21" xfId="82"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195" fontId="33" fillId="34" borderId="0" xfId="0" applyNumberFormat="1" applyFont="1" applyFill="1" applyBorder="1" applyAlignment="1">
      <alignment horizontal="center"/>
    </xf>
    <xf numFmtId="196" fontId="33" fillId="34" borderId="0" xfId="0" applyNumberFormat="1" applyFont="1" applyFill="1" applyBorder="1" applyAlignment="1">
      <alignment horizontal="center"/>
    </xf>
    <xf numFmtId="0" fontId="34" fillId="34" borderId="0" xfId="0" applyFont="1" applyFill="1" applyAlignment="1">
      <alignment horizontal="center" wrapText="1"/>
    </xf>
    <xf numFmtId="0" fontId="33" fillId="34" borderId="0" xfId="0" applyFont="1" applyFill="1" applyBorder="1" applyAlignment="1">
      <alignment horizontal="center"/>
    </xf>
    <xf numFmtId="195" fontId="33" fillId="33" borderId="11" xfId="0" applyNumberFormat="1" applyFont="1" applyFill="1" applyBorder="1" applyAlignment="1" applyProtection="1">
      <alignment horizontal="center"/>
      <protection locked="0"/>
    </xf>
    <xf numFmtId="0" fontId="34" fillId="34" borderId="0" xfId="0" applyFont="1" applyFill="1" applyAlignment="1">
      <alignment horizontal="center"/>
    </xf>
    <xf numFmtId="195" fontId="33" fillId="34" borderId="0" xfId="0" applyNumberFormat="1" applyFont="1" applyFill="1" applyAlignment="1">
      <alignment horizontal="center"/>
    </xf>
    <xf numFmtId="0" fontId="33" fillId="34" borderId="0" xfId="0" applyFont="1" applyFill="1" applyBorder="1" applyAlignment="1">
      <alignment/>
    </xf>
    <xf numFmtId="0" fontId="33" fillId="34" borderId="34" xfId="0" applyFont="1" applyFill="1" applyBorder="1" applyAlignment="1">
      <alignment/>
    </xf>
    <xf numFmtId="0" fontId="33" fillId="34"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44"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45" fillId="0" borderId="0" xfId="365" applyFont="1">
      <alignment/>
      <protection/>
    </xf>
    <xf numFmtId="189" fontId="46" fillId="0" borderId="0" xfId="365" applyNumberFormat="1" applyFont="1" applyAlignment="1">
      <alignment horizontal="left" vertical="center"/>
      <protection/>
    </xf>
    <xf numFmtId="0" fontId="46" fillId="0" borderId="0" xfId="365" applyNumberFormat="1" applyFont="1" applyAlignment="1">
      <alignment horizontal="left" vertical="center"/>
      <protection/>
    </xf>
    <xf numFmtId="1" fontId="46" fillId="0" borderId="0" xfId="365" applyNumberFormat="1" applyFont="1" applyAlignment="1">
      <alignment horizontal="left" vertical="center"/>
      <protection/>
    </xf>
    <xf numFmtId="0" fontId="47"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0" borderId="26" xfId="82" applyFont="1" applyFill="1" applyBorder="1" applyAlignment="1" applyProtection="1">
      <alignment vertical="center"/>
      <protection locked="0"/>
    </xf>
    <xf numFmtId="0" fontId="5" fillId="40" borderId="0" xfId="82" applyFont="1" applyFill="1" applyBorder="1" applyAlignment="1" applyProtection="1">
      <alignment vertical="center"/>
      <protection locked="0"/>
    </xf>
    <xf numFmtId="0" fontId="37" fillId="40"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34" borderId="25" xfId="0" applyFont="1" applyFill="1" applyBorder="1" applyAlignment="1" applyProtection="1">
      <alignment vertical="center"/>
      <protection locked="0"/>
    </xf>
    <xf numFmtId="0" fontId="37" fillId="34" borderId="11"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5" fillId="40" borderId="17" xfId="0" applyFont="1" applyFill="1" applyBorder="1" applyAlignment="1" applyProtection="1">
      <alignment vertical="center"/>
      <protection locked="0"/>
    </xf>
    <xf numFmtId="188" fontId="37" fillId="34" borderId="26" xfId="0" applyNumberFormat="1" applyFont="1" applyFill="1" applyBorder="1" applyAlignment="1" applyProtection="1">
      <alignment horizontal="center" vertical="center"/>
      <protection/>
    </xf>
    <xf numFmtId="0" fontId="37" fillId="34" borderId="0" xfId="0" applyFont="1" applyFill="1" applyBorder="1" applyAlignment="1" applyProtection="1">
      <alignment horizontal="left" vertical="center"/>
      <protection/>
    </xf>
    <xf numFmtId="0" fontId="38" fillId="34" borderId="0" xfId="0" applyFont="1" applyFill="1" applyBorder="1" applyAlignment="1" applyProtection="1">
      <alignment horizontal="center" vertical="center"/>
      <protection/>
    </xf>
    <xf numFmtId="0" fontId="0" fillId="34" borderId="21" xfId="0" applyFill="1" applyBorder="1" applyAlignment="1" applyProtection="1">
      <alignment vertical="center"/>
      <protection/>
    </xf>
    <xf numFmtId="188" fontId="37" fillId="40" borderId="25" xfId="0" applyNumberFormat="1" applyFont="1" applyFill="1" applyBorder="1" applyAlignment="1" applyProtection="1">
      <alignment horizontal="center" vertical="center"/>
      <protection/>
    </xf>
    <xf numFmtId="188" fontId="37" fillId="34" borderId="20" xfId="0" applyNumberFormat="1" applyFont="1" applyFill="1" applyBorder="1" applyAlignment="1" applyProtection="1">
      <alignment horizontal="center" vertical="center"/>
      <protection/>
    </xf>
    <xf numFmtId="188" fontId="37" fillId="40" borderId="20" xfId="0" applyNumberFormat="1" applyFont="1" applyFill="1" applyBorder="1" applyAlignment="1" applyProtection="1">
      <alignment horizontal="center" vertical="center"/>
      <protection/>
    </xf>
    <xf numFmtId="0" fontId="37" fillId="34" borderId="11" xfId="0" applyFont="1" applyFill="1" applyBorder="1" applyAlignment="1" applyProtection="1">
      <alignment horizontal="left" vertical="center"/>
      <protection/>
    </xf>
    <xf numFmtId="0" fontId="38" fillId="34" borderId="11" xfId="0"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40" fillId="0" borderId="0" xfId="0" applyFont="1" applyAlignment="1" applyProtection="1">
      <alignment/>
      <protection locked="0"/>
    </xf>
    <xf numFmtId="195" fontId="13" fillId="40" borderId="25" xfId="82" applyNumberFormat="1" applyFont="1" applyFill="1" applyBorder="1" applyAlignment="1" applyProtection="1">
      <alignment horizontal="center" vertical="center"/>
      <protection locked="0"/>
    </xf>
    <xf numFmtId="0" fontId="13" fillId="40" borderId="11" xfId="82" applyFont="1" applyFill="1" applyBorder="1" applyAlignment="1" applyProtection="1">
      <alignment vertical="center"/>
      <protection locked="0"/>
    </xf>
    <xf numFmtId="0" fontId="5" fillId="40" borderId="17" xfId="82"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34" borderId="26" xfId="0" applyFont="1" applyFill="1" applyBorder="1" applyAlignment="1" applyProtection="1">
      <alignment vertical="center"/>
      <protection/>
    </xf>
    <xf numFmtId="0" fontId="37" fillId="34" borderId="0" xfId="0" applyFont="1" applyFill="1" applyBorder="1" applyAlignment="1" applyProtection="1">
      <alignment vertical="center"/>
      <protection/>
    </xf>
    <xf numFmtId="195" fontId="37" fillId="34" borderId="21" xfId="0" applyNumberFormat="1" applyFont="1" applyFill="1" applyBorder="1" applyAlignment="1" applyProtection="1">
      <alignment horizontal="center" vertical="center"/>
      <protection/>
    </xf>
    <xf numFmtId="0" fontId="37" fillId="34" borderId="26" xfId="0" applyFont="1" applyFill="1" applyBorder="1" applyAlignment="1" applyProtection="1">
      <alignment horizontal="left" vertical="center"/>
      <protection/>
    </xf>
    <xf numFmtId="195" fontId="37" fillId="33" borderId="10" xfId="0" applyNumberFormat="1" applyFont="1" applyFill="1" applyBorder="1" applyAlignment="1" applyProtection="1">
      <alignment horizontal="center" vertical="center"/>
      <protection locked="0"/>
    </xf>
    <xf numFmtId="188" fontId="39" fillId="34" borderId="18" xfId="0" applyNumberFormat="1" applyFont="1" applyFill="1" applyBorder="1" applyAlignment="1" applyProtection="1">
      <alignment horizontal="center" vertical="center"/>
      <protection/>
    </xf>
    <xf numFmtId="0" fontId="39" fillId="40" borderId="26" xfId="0" applyFont="1" applyFill="1" applyBorder="1" applyAlignment="1" applyProtection="1">
      <alignment vertical="center"/>
      <protection/>
    </xf>
    <xf numFmtId="0" fontId="5" fillId="40" borderId="0" xfId="0" applyFont="1" applyFill="1" applyBorder="1" applyAlignment="1" applyProtection="1">
      <alignment vertical="center"/>
      <protection/>
    </xf>
    <xf numFmtId="0" fontId="37" fillId="40" borderId="0" xfId="0" applyFont="1" applyFill="1" applyBorder="1" applyAlignment="1" applyProtection="1">
      <alignment vertical="center"/>
      <protection/>
    </xf>
    <xf numFmtId="195" fontId="39" fillId="40"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34" borderId="11" xfId="0" applyFont="1" applyFill="1" applyBorder="1" applyAlignment="1">
      <alignment horizontal="left" vertical="center"/>
    </xf>
    <xf numFmtId="195" fontId="39" fillId="40" borderId="17" xfId="0" applyNumberFormat="1" applyFont="1" applyFill="1" applyBorder="1" applyAlignment="1" applyProtection="1">
      <alignment horizontal="center" vertical="center"/>
      <protection locked="0"/>
    </xf>
    <xf numFmtId="0" fontId="5" fillId="34" borderId="26" xfId="0" applyFont="1" applyFill="1" applyBorder="1" applyAlignment="1" applyProtection="1">
      <alignment vertical="center"/>
      <protection/>
    </xf>
    <xf numFmtId="0" fontId="5" fillId="34" borderId="21" xfId="0" applyFont="1" applyFill="1" applyBorder="1" applyAlignment="1" applyProtection="1">
      <alignment/>
      <protection locked="0"/>
    </xf>
    <xf numFmtId="195" fontId="37" fillId="34" borderId="26" xfId="0" applyNumberFormat="1" applyFont="1" applyFill="1" applyBorder="1" applyAlignment="1" applyProtection="1">
      <alignment horizontal="center" vertical="center"/>
      <protection/>
    </xf>
    <xf numFmtId="0" fontId="37" fillId="34" borderId="21" xfId="0" applyFont="1" applyFill="1" applyBorder="1" applyAlignment="1" applyProtection="1">
      <alignment vertical="center"/>
      <protection/>
    </xf>
    <xf numFmtId="195" fontId="37" fillId="34"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34" borderId="26"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95" fontId="13" fillId="34" borderId="26" xfId="0" applyNumberFormat="1" applyFont="1" applyFill="1" applyBorder="1" applyAlignment="1" applyProtection="1">
      <alignment vertical="center"/>
      <protection/>
    </xf>
    <xf numFmtId="0" fontId="13" fillId="34" borderId="0" xfId="0" applyFont="1" applyFill="1" applyBorder="1" applyAlignment="1" applyProtection="1">
      <alignment vertical="center"/>
      <protection/>
    </xf>
    <xf numFmtId="195" fontId="13" fillId="34" borderId="25" xfId="0" applyNumberFormat="1" applyFont="1" applyFill="1" applyBorder="1" applyAlignment="1" applyProtection="1">
      <alignment horizontal="center" vertical="center"/>
      <protection/>
    </xf>
    <xf numFmtId="195" fontId="13" fillId="40" borderId="25" xfId="0" applyNumberFormat="1" applyFont="1" applyFill="1" applyBorder="1" applyAlignment="1" applyProtection="1">
      <alignment horizontal="center" vertical="center"/>
      <protection/>
    </xf>
    <xf numFmtId="0" fontId="13" fillId="40" borderId="11" xfId="0" applyFont="1" applyFill="1" applyBorder="1" applyAlignment="1" applyProtection="1">
      <alignment vertical="center"/>
      <protection/>
    </xf>
    <xf numFmtId="0" fontId="5" fillId="40" borderId="17" xfId="0" applyFont="1" applyFill="1" applyBorder="1" applyAlignment="1" applyProtection="1">
      <alignment vertical="center"/>
      <protection/>
    </xf>
    <xf numFmtId="0" fontId="5" fillId="40" borderId="17" xfId="0" applyFont="1" applyFill="1" applyBorder="1" applyAlignment="1" applyProtection="1">
      <alignment/>
      <protection locked="0"/>
    </xf>
    <xf numFmtId="0" fontId="40" fillId="0" borderId="0" xfId="0" applyFont="1" applyAlignment="1">
      <alignment/>
    </xf>
    <xf numFmtId="0" fontId="5" fillId="34" borderId="0" xfId="75" applyFont="1" applyFill="1">
      <alignment/>
      <protection/>
    </xf>
    <xf numFmtId="0" fontId="0" fillId="0" borderId="0" xfId="75">
      <alignment/>
      <protection/>
    </xf>
    <xf numFmtId="0" fontId="5" fillId="34" borderId="0" xfId="75" applyFont="1" applyFill="1" applyAlignment="1">
      <alignment vertical="center"/>
      <protection/>
    </xf>
    <xf numFmtId="37" fontId="5" fillId="34" borderId="0" xfId="75" applyNumberFormat="1" applyFont="1" applyFill="1" applyAlignment="1">
      <alignment vertical="center"/>
      <protection/>
    </xf>
    <xf numFmtId="0" fontId="5" fillId="34" borderId="11" xfId="75" applyFont="1" applyFill="1" applyBorder="1" applyAlignment="1">
      <alignment vertical="center"/>
      <protection/>
    </xf>
    <xf numFmtId="0" fontId="5" fillId="34" borderId="0" xfId="75" applyFont="1" applyFill="1" applyAlignment="1">
      <alignment horizontal="center" vertical="center"/>
      <protection/>
    </xf>
    <xf numFmtId="0" fontId="6" fillId="34" borderId="0" xfId="75" applyFont="1" applyFill="1" applyAlignment="1">
      <alignment horizontal="center" vertical="center"/>
      <protection/>
    </xf>
    <xf numFmtId="195" fontId="5" fillId="34" borderId="0" xfId="75" applyNumberFormat="1" applyFont="1" applyFill="1" applyAlignment="1">
      <alignment vertical="center"/>
      <protection/>
    </xf>
    <xf numFmtId="195" fontId="5" fillId="34" borderId="19" xfId="75" applyNumberFormat="1" applyFont="1" applyFill="1" applyBorder="1" applyAlignment="1">
      <alignment vertical="center"/>
      <protection/>
    </xf>
    <xf numFmtId="195" fontId="5" fillId="34" borderId="0" xfId="75" applyNumberFormat="1" applyFont="1" applyFill="1" applyBorder="1" applyAlignment="1">
      <alignment vertical="center"/>
      <protection/>
    </xf>
    <xf numFmtId="0" fontId="17" fillId="40" borderId="0" xfId="75" applyFont="1" applyFill="1" applyAlignment="1">
      <alignment vertical="center"/>
      <protection/>
    </xf>
    <xf numFmtId="0" fontId="17" fillId="34" borderId="0" xfId="75" applyFont="1" applyFill="1" applyAlignment="1">
      <alignment horizontal="center" vertical="center"/>
      <protection/>
    </xf>
    <xf numFmtId="188" fontId="5" fillId="34" borderId="0" xfId="75" applyNumberFormat="1" applyFont="1" applyFill="1" applyAlignment="1">
      <alignment horizontal="center" vertical="center"/>
      <protection/>
    </xf>
    <xf numFmtId="199" fontId="17" fillId="34" borderId="0" xfId="75" applyNumberFormat="1" applyFont="1" applyFill="1" applyAlignment="1">
      <alignment horizontal="center" vertical="center"/>
      <protection/>
    </xf>
    <xf numFmtId="0" fontId="17" fillId="40" borderId="0" xfId="75" applyFont="1" applyFill="1" applyAlignment="1">
      <alignment horizontal="center" vertical="center"/>
      <protection/>
    </xf>
    <xf numFmtId="0" fontId="15" fillId="40" borderId="0" xfId="75" applyFont="1" applyFill="1" applyAlignment="1">
      <alignment horizontal="center" vertical="center"/>
      <protection/>
    </xf>
    <xf numFmtId="0" fontId="5" fillId="34" borderId="0" xfId="75" applyFont="1" applyFill="1" applyAlignment="1">
      <alignment horizontal="right" vertical="center"/>
      <protection/>
    </xf>
    <xf numFmtId="0" fontId="5" fillId="34" borderId="0" xfId="75" applyFont="1" applyFill="1" applyAlignment="1">
      <alignment horizontal="left" vertical="center"/>
      <protection/>
    </xf>
    <xf numFmtId="0" fontId="5" fillId="34" borderId="0" xfId="72" applyFont="1" applyFill="1">
      <alignment/>
      <protection/>
    </xf>
    <xf numFmtId="0" fontId="0" fillId="34" borderId="0" xfId="75" applyFill="1">
      <alignment/>
      <protection/>
    </xf>
    <xf numFmtId="0" fontId="4" fillId="34" borderId="0" xfId="72" applyFont="1" applyFill="1">
      <alignment/>
      <protection/>
    </xf>
    <xf numFmtId="0" fontId="0" fillId="34" borderId="0" xfId="72" applyFill="1">
      <alignment/>
      <protection/>
    </xf>
    <xf numFmtId="0" fontId="11" fillId="0" borderId="0" xfId="64" applyAlignment="1" applyProtection="1">
      <alignment/>
      <protection/>
    </xf>
    <xf numFmtId="195" fontId="37" fillId="34" borderId="26" xfId="0" applyNumberFormat="1" applyFont="1" applyFill="1" applyBorder="1" applyAlignment="1" applyProtection="1">
      <alignment vertical="center"/>
      <protection/>
    </xf>
    <xf numFmtId="195" fontId="37" fillId="40" borderId="25" xfId="0" applyNumberFormat="1" applyFont="1" applyFill="1" applyBorder="1" applyAlignment="1" applyProtection="1">
      <alignment horizontal="center" vertical="center"/>
      <protection/>
    </xf>
    <xf numFmtId="0" fontId="37" fillId="40" borderId="11" xfId="0" applyFont="1" applyFill="1" applyBorder="1" applyAlignment="1" applyProtection="1">
      <alignment vertical="center"/>
      <protection/>
    </xf>
    <xf numFmtId="0" fontId="37" fillId="40"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34"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35" borderId="14" xfId="0" applyNumberFormat="1" applyFont="1" applyFill="1" applyBorder="1" applyAlignment="1" applyProtection="1">
      <alignment horizontal="right" vertical="center"/>
      <protection/>
    </xf>
    <xf numFmtId="188" fontId="5" fillId="35"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4" borderId="0" xfId="64" applyFill="1" applyAlignment="1" applyProtection="1">
      <alignment/>
      <protection/>
    </xf>
    <xf numFmtId="0" fontId="64" fillId="34" borderId="0" xfId="336" applyFill="1">
      <alignment/>
      <protection/>
    </xf>
    <xf numFmtId="0" fontId="64" fillId="0" borderId="0" xfId="336">
      <alignment/>
      <protection/>
    </xf>
    <xf numFmtId="0" fontId="5" fillId="0" borderId="0" xfId="146" applyFont="1" applyAlignment="1">
      <alignment vertical="center"/>
      <protection/>
    </xf>
    <xf numFmtId="43" fontId="5" fillId="0" borderId="0" xfId="42" applyFont="1" applyAlignment="1" applyProtection="1">
      <alignment vertical="center"/>
      <protection locked="0"/>
    </xf>
    <xf numFmtId="0" fontId="4" fillId="33" borderId="20" xfId="0" applyFont="1" applyFill="1" applyBorder="1" applyAlignment="1" applyProtection="1">
      <alignment horizontal="left" indent="1"/>
      <protection locked="0"/>
    </xf>
    <xf numFmtId="0" fontId="5" fillId="33" borderId="20"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20" xfId="0" applyFont="1" applyFill="1" applyBorder="1" applyAlignment="1" applyProtection="1">
      <alignment/>
      <protection locked="0"/>
    </xf>
    <xf numFmtId="3" fontId="5" fillId="33" borderId="20" xfId="0" applyNumberFormat="1" applyFont="1" applyFill="1" applyBorder="1" applyAlignment="1" applyProtection="1">
      <alignment horizontal="center"/>
      <protection locked="0"/>
    </xf>
    <xf numFmtId="3" fontId="5" fillId="33" borderId="20"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0" fontId="0" fillId="43" borderId="0" xfId="0" applyFill="1" applyAlignment="1">
      <alignment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75" applyFont="1" applyFill="1" applyAlignment="1">
      <alignment vertical="center" wrapText="1"/>
      <protection/>
    </xf>
    <xf numFmtId="0" fontId="14" fillId="34" borderId="0" xfId="369" applyFont="1" applyFill="1" applyAlignment="1">
      <alignment horizontal="center"/>
      <protection/>
    </xf>
    <xf numFmtId="0" fontId="0" fillId="34" borderId="0" xfId="75" applyFill="1" applyAlignment="1">
      <alignment horizontal="center"/>
      <protection/>
    </xf>
    <xf numFmtId="0" fontId="4" fillId="34" borderId="0" xfId="75" applyFont="1" applyFill="1" applyAlignment="1">
      <alignment horizontal="center" vertical="center"/>
      <protection/>
    </xf>
    <xf numFmtId="0" fontId="14" fillId="34" borderId="0" xfId="75" applyFont="1" applyFill="1" applyAlignment="1">
      <alignment horizontal="center" vertical="center"/>
      <protection/>
    </xf>
    <xf numFmtId="188" fontId="38" fillId="34"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8" fillId="34" borderId="24" xfId="82" applyFont="1" applyFill="1" applyBorder="1" applyAlignment="1" applyProtection="1">
      <alignment horizontal="center" vertical="center"/>
      <protection/>
    </xf>
    <xf numFmtId="0" fontId="38" fillId="34"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0" fontId="38" fillId="34"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31" fillId="34" borderId="24" xfId="82" applyFont="1" applyFill="1" applyBorder="1" applyAlignment="1" applyProtection="1">
      <alignment horizontal="center" vertical="center"/>
      <protection locked="0"/>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34" borderId="24" xfId="82" applyFont="1" applyFill="1" applyBorder="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34" borderId="19" xfId="82" applyFont="1" applyFill="1" applyBorder="1" applyAlignment="1" applyProtection="1">
      <alignment horizontal="center"/>
      <protection/>
    </xf>
    <xf numFmtId="0" fontId="14" fillId="34" borderId="22"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0" xfId="107"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33" borderId="11" xfId="0" applyNumberFormat="1" applyFont="1" applyFill="1" applyBorder="1" applyAlignment="1" applyProtection="1">
      <alignment horizontal="center"/>
      <protection locked="0"/>
    </xf>
    <xf numFmtId="5" fontId="33" fillId="34" borderId="11" xfId="0" applyNumberFormat="1" applyFont="1" applyFill="1" applyBorder="1" applyAlignment="1">
      <alignment horizontal="center"/>
    </xf>
    <xf numFmtId="0" fontId="34" fillId="34" borderId="0" xfId="0" applyFont="1" applyFill="1" applyAlignment="1">
      <alignment horizontal="center" wrapText="1"/>
    </xf>
    <xf numFmtId="195" fontId="33" fillId="34" borderId="0" xfId="0" applyNumberFormat="1" applyFont="1" applyFill="1" applyBorder="1" applyAlignment="1">
      <alignment horizontal="center"/>
    </xf>
    <xf numFmtId="0" fontId="33" fillId="34" borderId="0" xfId="0" applyFont="1" applyFill="1" applyAlignment="1">
      <alignment wrapText="1"/>
    </xf>
    <xf numFmtId="0" fontId="33" fillId="34" borderId="0" xfId="0" applyFont="1" applyFill="1" applyBorder="1" applyAlignment="1">
      <alignment wrapText="1"/>
    </xf>
    <xf numFmtId="0" fontId="33" fillId="0" borderId="0" xfId="0" applyFont="1" applyAlignment="1">
      <alignment wrapText="1"/>
    </xf>
    <xf numFmtId="195" fontId="33" fillId="34" borderId="0" xfId="0" applyNumberFormat="1" applyFont="1" applyFill="1" applyAlignment="1">
      <alignment/>
    </xf>
    <xf numFmtId="0" fontId="34" fillId="34" borderId="28" xfId="0" applyFont="1" applyFill="1" applyBorder="1" applyAlignment="1">
      <alignment horizontal="center" vertical="center"/>
    </xf>
    <xf numFmtId="0" fontId="34" fillId="34" borderId="0" xfId="0" applyFont="1" applyFill="1" applyAlignment="1">
      <alignment horizontal="center"/>
    </xf>
    <xf numFmtId="0" fontId="33" fillId="0" borderId="0" xfId="0" applyFont="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0" fontId="33" fillId="34" borderId="19" xfId="0" applyFont="1" applyFill="1" applyBorder="1" applyAlignment="1">
      <alignment horizontal="center"/>
    </xf>
    <xf numFmtId="0" fontId="34" fillId="34" borderId="0" xfId="0" applyFont="1" applyFill="1" applyBorder="1" applyAlignment="1">
      <alignment horizontal="center" wrapText="1"/>
    </xf>
    <xf numFmtId="0" fontId="34" fillId="0" borderId="0" xfId="0" applyFont="1" applyAlignment="1">
      <alignment horizontal="center" wrapText="1"/>
    </xf>
    <xf numFmtId="195" fontId="33" fillId="34" borderId="0" xfId="0" applyNumberFormat="1" applyFont="1" applyFill="1" applyAlignment="1">
      <alignment horizontal="center"/>
    </xf>
    <xf numFmtId="195" fontId="33" fillId="33" borderId="30" xfId="0" applyNumberFormat="1" applyFont="1" applyFill="1" applyBorder="1" applyAlignment="1" applyProtection="1">
      <alignment horizontal="center"/>
      <protection locked="0"/>
    </xf>
    <xf numFmtId="0" fontId="33" fillId="34" borderId="0" xfId="0" applyFont="1" applyFill="1" applyBorder="1" applyAlignment="1">
      <alignment/>
    </xf>
    <xf numFmtId="0" fontId="33" fillId="0" borderId="0" xfId="0" applyFont="1" applyBorder="1" applyAlignment="1">
      <alignment/>
    </xf>
    <xf numFmtId="0" fontId="33" fillId="34" borderId="33" xfId="0" applyFont="1" applyFill="1" applyBorder="1" applyAlignment="1">
      <alignment/>
    </xf>
    <xf numFmtId="0" fontId="33" fillId="34" borderId="34" xfId="0" applyFont="1" applyFill="1" applyBorder="1" applyAlignment="1">
      <alignment/>
    </xf>
    <xf numFmtId="0" fontId="33" fillId="0" borderId="28" xfId="0" applyFont="1" applyBorder="1" applyAlignment="1">
      <alignment horizontal="center" vertical="center"/>
    </xf>
    <xf numFmtId="17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horizontal="center"/>
    </xf>
    <xf numFmtId="196" fontId="33" fillId="0" borderId="31" xfId="0" applyNumberFormat="1" applyFont="1" applyBorder="1" applyAlignment="1">
      <alignment horizontal="center"/>
    </xf>
    <xf numFmtId="0" fontId="33" fillId="34" borderId="0" xfId="0" applyFont="1" applyFill="1" applyBorder="1" applyAlignment="1">
      <alignment horizontal="center"/>
    </xf>
    <xf numFmtId="0" fontId="33" fillId="3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0" fontId="33" fillId="0" borderId="31" xfId="0" applyFont="1" applyBorder="1" applyAlignment="1">
      <alignment horizont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31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1">
      <selection activeCell="A1" sqref="A1"/>
    </sheetView>
  </sheetViews>
  <sheetFormatPr defaultColWidth="8.796875" defaultRowHeight="15"/>
  <cols>
    <col min="1" max="1" width="75.796875" style="32" customWidth="1"/>
    <col min="2" max="16384" width="8.8984375" style="32" customWidth="1"/>
  </cols>
  <sheetData>
    <row r="1" ht="15.75">
      <c r="A1" s="31" t="s">
        <v>752</v>
      </c>
    </row>
    <row r="3" ht="39.75" customHeight="1">
      <c r="A3" s="33" t="s">
        <v>835</v>
      </c>
    </row>
    <row r="4" ht="15.75">
      <c r="A4" s="34"/>
    </row>
    <row r="5" ht="49.5" customHeight="1">
      <c r="A5" s="35" t="s">
        <v>465</v>
      </c>
    </row>
    <row r="6" ht="15.75">
      <c r="A6" s="35"/>
    </row>
    <row r="7" ht="75" customHeight="1">
      <c r="A7" s="35" t="s">
        <v>568</v>
      </c>
    </row>
    <row r="8" ht="15.75">
      <c r="A8" s="35"/>
    </row>
    <row r="9" ht="32.25" customHeight="1">
      <c r="A9" s="35" t="s">
        <v>836</v>
      </c>
    </row>
    <row r="11" ht="51" customHeight="1">
      <c r="A11" s="35" t="s">
        <v>524</v>
      </c>
    </row>
    <row r="13" ht="15.75">
      <c r="A13" s="31" t="s">
        <v>475</v>
      </c>
    </row>
    <row r="14" ht="15.75">
      <c r="A14" s="31"/>
    </row>
    <row r="15" ht="15.75">
      <c r="A15" s="34" t="s">
        <v>476</v>
      </c>
    </row>
    <row r="17" ht="37.5" customHeight="1">
      <c r="A17" s="36" t="s">
        <v>871</v>
      </c>
    </row>
    <row r="18" ht="9" customHeight="1">
      <c r="A18" s="36"/>
    </row>
    <row r="20" ht="15.75">
      <c r="A20" s="31" t="s">
        <v>575</v>
      </c>
    </row>
    <row r="22" ht="36" customHeight="1">
      <c r="A22" s="35" t="s">
        <v>837</v>
      </c>
    </row>
    <row r="23" ht="15.75">
      <c r="A23" s="35"/>
    </row>
    <row r="24" ht="15.75">
      <c r="A24" s="37" t="s">
        <v>838</v>
      </c>
    </row>
    <row r="25" ht="12" customHeight="1">
      <c r="A25" s="35"/>
    </row>
    <row r="26" ht="15.75">
      <c r="A26" s="38" t="s">
        <v>734</v>
      </c>
    </row>
    <row r="27" ht="15.75">
      <c r="A27" s="39"/>
    </row>
    <row r="28" ht="84.75" customHeight="1">
      <c r="A28" s="40" t="s">
        <v>460</v>
      </c>
    </row>
    <row r="29" ht="12.75" customHeight="1">
      <c r="A29" s="41"/>
    </row>
    <row r="30" ht="15.75">
      <c r="A30" s="42" t="s">
        <v>839</v>
      </c>
    </row>
    <row r="31" ht="15.75">
      <c r="A31" s="41"/>
    </row>
    <row r="32" ht="15.75">
      <c r="A32" s="43" t="s">
        <v>474</v>
      </c>
    </row>
    <row r="33" ht="15.75">
      <c r="A33" s="41"/>
    </row>
    <row r="34" ht="15.75">
      <c r="A34" s="35" t="s">
        <v>669</v>
      </c>
    </row>
    <row r="36" ht="15.75">
      <c r="A36" s="31" t="s">
        <v>670</v>
      </c>
    </row>
    <row r="38" ht="66.75" customHeight="1">
      <c r="A38" s="35" t="s">
        <v>1118</v>
      </c>
    </row>
    <row r="39" ht="35.25" customHeight="1">
      <c r="A39" s="35" t="s">
        <v>754</v>
      </c>
    </row>
    <row r="40" ht="53.25" customHeight="1">
      <c r="A40" s="44" t="s">
        <v>840</v>
      </c>
    </row>
    <row r="41" ht="102.75" customHeight="1">
      <c r="A41" s="724" t="s">
        <v>569</v>
      </c>
    </row>
    <row r="43" ht="84" customHeight="1">
      <c r="A43" s="35" t="s">
        <v>1119</v>
      </c>
    </row>
    <row r="44" ht="53.25" customHeight="1">
      <c r="A44" s="35" t="s">
        <v>841</v>
      </c>
    </row>
    <row r="45" ht="102" customHeight="1">
      <c r="A45" s="35" t="s">
        <v>570</v>
      </c>
    </row>
    <row r="46" ht="15.75" customHeight="1">
      <c r="A46" s="35"/>
    </row>
    <row r="47" ht="73.5" customHeight="1">
      <c r="A47" s="725" t="s">
        <v>759</v>
      </c>
    </row>
    <row r="48" ht="69.75" customHeight="1">
      <c r="A48" s="369" t="s">
        <v>1062</v>
      </c>
    </row>
    <row r="49" ht="75.75" customHeight="1">
      <c r="A49" s="726" t="s">
        <v>760</v>
      </c>
    </row>
    <row r="50" ht="15.75" customHeight="1">
      <c r="A50" s="35"/>
    </row>
    <row r="51" ht="69.75" customHeight="1">
      <c r="A51" s="35" t="s">
        <v>1063</v>
      </c>
    </row>
    <row r="52" ht="37.5" customHeight="1">
      <c r="A52" s="35" t="s">
        <v>1064</v>
      </c>
    </row>
    <row r="53" ht="69" customHeight="1">
      <c r="A53" s="35" t="s">
        <v>1065</v>
      </c>
    </row>
    <row r="54" ht="115.5" customHeight="1">
      <c r="A54" s="727" t="s">
        <v>19</v>
      </c>
    </row>
    <row r="56" ht="84.75" customHeight="1">
      <c r="A56" s="35" t="s">
        <v>18</v>
      </c>
    </row>
    <row r="57" ht="116.25" customHeight="1">
      <c r="A57" s="35" t="s">
        <v>1066</v>
      </c>
    </row>
    <row r="58" ht="38.25" customHeight="1">
      <c r="A58" s="35" t="s">
        <v>1067</v>
      </c>
    </row>
    <row r="59" ht="15.75">
      <c r="A59" s="35"/>
    </row>
    <row r="60" ht="74.25" customHeight="1">
      <c r="A60" s="727" t="s">
        <v>761</v>
      </c>
    </row>
    <row r="61" ht="15.75">
      <c r="A61" s="35"/>
    </row>
    <row r="62" ht="66.75" customHeight="1">
      <c r="A62" s="35" t="s">
        <v>221</v>
      </c>
    </row>
    <row r="63" ht="37.5" customHeight="1">
      <c r="A63" s="35" t="s">
        <v>230</v>
      </c>
    </row>
    <row r="64" ht="91.5" customHeight="1">
      <c r="A64" s="35" t="s">
        <v>231</v>
      </c>
    </row>
    <row r="65" ht="47.25" customHeight="1">
      <c r="A65" s="347" t="s">
        <v>232</v>
      </c>
    </row>
    <row r="67" s="35" customFormat="1" ht="66.75" customHeight="1">
      <c r="A67" s="35" t="s">
        <v>222</v>
      </c>
    </row>
    <row r="69" ht="67.5" customHeight="1">
      <c r="A69" s="35" t="s">
        <v>223</v>
      </c>
    </row>
    <row r="70" ht="18" customHeight="1">
      <c r="A70" s="35"/>
    </row>
    <row r="71" ht="149.25" customHeight="1">
      <c r="A71" s="727" t="s">
        <v>762</v>
      </c>
    </row>
    <row r="73" ht="95.25" customHeight="1">
      <c r="A73" s="35" t="s">
        <v>763</v>
      </c>
    </row>
    <row r="74" ht="84.75" customHeight="1">
      <c r="A74" s="727" t="s">
        <v>17</v>
      </c>
    </row>
    <row r="75" ht="104.25" customHeight="1">
      <c r="A75" s="491" t="s">
        <v>764</v>
      </c>
    </row>
    <row r="76" ht="75" customHeight="1">
      <c r="A76" s="491" t="s">
        <v>765</v>
      </c>
    </row>
    <row r="77" ht="75" customHeight="1">
      <c r="A77" s="491" t="s">
        <v>766</v>
      </c>
    </row>
    <row r="78" ht="137.25" customHeight="1">
      <c r="A78" s="35" t="s">
        <v>767</v>
      </c>
    </row>
    <row r="79" ht="91.5" customHeight="1">
      <c r="A79" s="727" t="s">
        <v>768</v>
      </c>
    </row>
    <row r="80" ht="135" customHeight="1">
      <c r="A80" s="35" t="s">
        <v>769</v>
      </c>
    </row>
    <row r="81" ht="141.75" customHeight="1">
      <c r="A81" s="35" t="s">
        <v>852</v>
      </c>
    </row>
    <row r="82" ht="87" customHeight="1">
      <c r="A82" s="35" t="s">
        <v>853</v>
      </c>
    </row>
    <row r="83" ht="105" customHeight="1">
      <c r="A83" s="35" t="s">
        <v>854</v>
      </c>
    </row>
    <row r="84" ht="86.25" customHeight="1">
      <c r="A84" s="35" t="s">
        <v>855</v>
      </c>
    </row>
    <row r="85" ht="129.75" customHeight="1">
      <c r="A85" s="35" t="s">
        <v>856</v>
      </c>
    </row>
    <row r="86" ht="110.25" customHeight="1">
      <c r="A86" s="728" t="s">
        <v>857</v>
      </c>
    </row>
    <row r="87" ht="117" customHeight="1">
      <c r="A87" s="729" t="s">
        <v>858</v>
      </c>
    </row>
    <row r="88" ht="72" customHeight="1">
      <c r="A88" s="368" t="s">
        <v>859</v>
      </c>
    </row>
    <row r="89" ht="63.75" customHeight="1">
      <c r="A89" s="727" t="s">
        <v>224</v>
      </c>
    </row>
    <row r="90" ht="43.5" customHeight="1">
      <c r="A90" s="730" t="s">
        <v>225</v>
      </c>
    </row>
    <row r="91" ht="53.25" customHeight="1">
      <c r="A91" s="491" t="s">
        <v>4</v>
      </c>
    </row>
    <row r="92" ht="144.75" customHeight="1">
      <c r="A92" s="491" t="s">
        <v>5</v>
      </c>
    </row>
    <row r="93" ht="159" customHeight="1">
      <c r="A93" s="491" t="s">
        <v>6</v>
      </c>
    </row>
    <row r="94" ht="107.25" customHeight="1">
      <c r="A94" s="731" t="s">
        <v>7</v>
      </c>
    </row>
    <row r="95" ht="114.75" customHeight="1">
      <c r="A95" s="732" t="s">
        <v>8</v>
      </c>
    </row>
    <row r="96" ht="20.25" customHeight="1"/>
    <row r="97" ht="157.5" customHeight="1">
      <c r="A97" s="35" t="s">
        <v>0</v>
      </c>
    </row>
    <row r="98" ht="134.25" customHeight="1">
      <c r="A98" s="35" t="s">
        <v>1</v>
      </c>
    </row>
    <row r="99" ht="59.25" customHeight="1">
      <c r="A99" s="35" t="s">
        <v>2</v>
      </c>
    </row>
    <row r="100" ht="30.75" customHeight="1">
      <c r="A100" s="35" t="s">
        <v>3</v>
      </c>
    </row>
    <row r="101" ht="15" customHeight="1"/>
    <row r="102" ht="83.25" customHeight="1">
      <c r="A102" s="727" t="s">
        <v>9</v>
      </c>
    </row>
    <row r="103" ht="15.75" customHeight="1">
      <c r="A103" s="370"/>
    </row>
    <row r="104" ht="73.5" customHeight="1">
      <c r="A104" s="491" t="s">
        <v>10</v>
      </c>
    </row>
    <row r="105" ht="112.5" customHeight="1">
      <c r="A105" s="491" t="s">
        <v>11</v>
      </c>
    </row>
    <row r="106" ht="122.25" customHeight="1">
      <c r="A106" s="491" t="s">
        <v>12</v>
      </c>
    </row>
    <row r="107" ht="91.5" customHeight="1">
      <c r="A107" s="491"/>
    </row>
    <row r="108" ht="58.5" customHeight="1">
      <c r="A108" s="370"/>
    </row>
    <row r="109" ht="66" customHeight="1">
      <c r="A109" s="370"/>
    </row>
    <row r="110" ht="16.5" customHeight="1">
      <c r="A110" s="35"/>
    </row>
    <row r="111" ht="72.75" customHeight="1">
      <c r="A111" s="35"/>
    </row>
    <row r="113" ht="69" customHeight="1">
      <c r="A113" s="491"/>
    </row>
    <row r="114" ht="110.25" customHeight="1">
      <c r="A114" s="491"/>
    </row>
    <row r="115" ht="132" customHeight="1">
      <c r="A115" s="491"/>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tabColor indexed="62"/>
    <pageSetUpPr fitToPage="1"/>
  </sheetPr>
  <dimension ref="B1:AC48"/>
  <sheetViews>
    <sheetView zoomScale="75" zoomScaleNormal="75" zoomScalePageLayoutView="0" workbookViewId="0" topLeftCell="A1">
      <selection activeCell="D18" sqref="D18"/>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Haysville</v>
      </c>
      <c r="C1" s="47"/>
      <c r="D1" s="47"/>
      <c r="E1" s="47"/>
      <c r="F1" s="47"/>
      <c r="G1" s="47"/>
      <c r="H1" s="47"/>
      <c r="I1" s="47"/>
      <c r="J1" s="47"/>
      <c r="K1" s="47"/>
      <c r="L1" s="47"/>
      <c r="M1" s="217">
        <f>inputPrYr!$C$5</f>
        <v>2013</v>
      </c>
    </row>
    <row r="2" spans="2:13" ht="15.75">
      <c r="B2" s="197"/>
      <c r="C2" s="47"/>
      <c r="D2" s="47"/>
      <c r="E2" s="47"/>
      <c r="F2" s="47"/>
      <c r="G2" s="47"/>
      <c r="H2" s="47"/>
      <c r="I2" s="47"/>
      <c r="J2" s="47"/>
      <c r="K2" s="47"/>
      <c r="L2" s="47"/>
      <c r="M2" s="169"/>
    </row>
    <row r="3" spans="2:13" ht="15.75">
      <c r="B3" s="218" t="s">
        <v>678</v>
      </c>
      <c r="C3" s="56"/>
      <c r="D3" s="56"/>
      <c r="E3" s="56"/>
      <c r="F3" s="56"/>
      <c r="G3" s="56"/>
      <c r="H3" s="56"/>
      <c r="I3" s="56"/>
      <c r="J3" s="56"/>
      <c r="K3" s="56"/>
      <c r="L3" s="56"/>
      <c r="M3" s="56"/>
    </row>
    <row r="4" spans="2:13" ht="10.5" customHeight="1">
      <c r="B4" s="47"/>
      <c r="C4" s="219"/>
      <c r="D4" s="219"/>
      <c r="E4" s="219"/>
      <c r="F4" s="219"/>
      <c r="G4" s="219"/>
      <c r="H4" s="219"/>
      <c r="I4" s="219"/>
      <c r="J4" s="219"/>
      <c r="K4" s="219"/>
      <c r="L4" s="219"/>
      <c r="M4" s="219"/>
    </row>
    <row r="5" spans="2:13" ht="18" customHeight="1">
      <c r="B5" s="152"/>
      <c r="C5" s="199" t="s">
        <v>646</v>
      </c>
      <c r="D5" s="199" t="s">
        <v>646</v>
      </c>
      <c r="E5" s="199" t="s">
        <v>660</v>
      </c>
      <c r="F5" s="199"/>
      <c r="G5" s="199" t="s">
        <v>795</v>
      </c>
      <c r="H5" s="47"/>
      <c r="I5" s="47"/>
      <c r="J5" s="220" t="s">
        <v>647</v>
      </c>
      <c r="K5" s="221"/>
      <c r="L5" s="220" t="s">
        <v>647</v>
      </c>
      <c r="M5" s="221"/>
    </row>
    <row r="6" spans="2:13" ht="15.75">
      <c r="B6" s="222" t="s">
        <v>416</v>
      </c>
      <c r="C6" s="222" t="s">
        <v>648</v>
      </c>
      <c r="D6" s="222" t="s">
        <v>796</v>
      </c>
      <c r="E6" s="222" t="s">
        <v>649</v>
      </c>
      <c r="F6" s="222" t="s">
        <v>602</v>
      </c>
      <c r="G6" s="222" t="s">
        <v>797</v>
      </c>
      <c r="H6" s="780" t="s">
        <v>650</v>
      </c>
      <c r="I6" s="781"/>
      <c r="J6" s="782">
        <f>M1-1</f>
        <v>2012</v>
      </c>
      <c r="K6" s="783"/>
      <c r="L6" s="782">
        <f>M1</f>
        <v>2013</v>
      </c>
      <c r="M6" s="783"/>
    </row>
    <row r="7" spans="2:13" ht="15.75">
      <c r="B7" s="200" t="s">
        <v>415</v>
      </c>
      <c r="C7" s="200" t="s">
        <v>651</v>
      </c>
      <c r="D7" s="200" t="s">
        <v>798</v>
      </c>
      <c r="E7" s="200" t="s">
        <v>627</v>
      </c>
      <c r="F7" s="200" t="s">
        <v>652</v>
      </c>
      <c r="G7" s="223" t="str">
        <f>CONCATENATE("Jan 1,",M1-1,"")</f>
        <v>Jan 1,2012</v>
      </c>
      <c r="H7" s="156" t="s">
        <v>660</v>
      </c>
      <c r="I7" s="156" t="s">
        <v>662</v>
      </c>
      <c r="J7" s="156" t="s">
        <v>660</v>
      </c>
      <c r="K7" s="156" t="s">
        <v>662</v>
      </c>
      <c r="L7" s="156" t="s">
        <v>81</v>
      </c>
      <c r="M7" s="156" t="s">
        <v>662</v>
      </c>
    </row>
    <row r="8" spans="2:13" ht="15.75">
      <c r="B8" s="224" t="s">
        <v>653</v>
      </c>
      <c r="C8" s="65"/>
      <c r="D8" s="65"/>
      <c r="E8" s="225"/>
      <c r="F8" s="226"/>
      <c r="G8" s="226"/>
      <c r="H8" s="65"/>
      <c r="I8" s="65"/>
      <c r="J8" s="226"/>
      <c r="K8" s="226"/>
      <c r="L8" s="226"/>
      <c r="M8" s="226"/>
    </row>
    <row r="9" spans="2:13" ht="15.75">
      <c r="B9" s="69" t="s">
        <v>75</v>
      </c>
      <c r="C9" s="374">
        <v>37530</v>
      </c>
      <c r="D9" s="374">
        <v>43009</v>
      </c>
      <c r="E9" s="227" t="s">
        <v>83</v>
      </c>
      <c r="F9" s="228">
        <v>3875000</v>
      </c>
      <c r="G9" s="229">
        <v>1880000</v>
      </c>
      <c r="H9" s="230" t="s">
        <v>77</v>
      </c>
      <c r="I9" s="230">
        <v>38991</v>
      </c>
      <c r="J9" s="229">
        <v>9940</v>
      </c>
      <c r="K9" s="229">
        <v>280000</v>
      </c>
      <c r="L9" s="229">
        <v>0</v>
      </c>
      <c r="M9" s="229">
        <v>0</v>
      </c>
    </row>
    <row r="10" spans="2:13" ht="15.75">
      <c r="B10" s="69" t="s">
        <v>75</v>
      </c>
      <c r="C10" s="374">
        <v>38231</v>
      </c>
      <c r="D10" s="374">
        <v>43739</v>
      </c>
      <c r="E10" s="227" t="s">
        <v>84</v>
      </c>
      <c r="F10" s="228">
        <v>4083000</v>
      </c>
      <c r="G10" s="229">
        <v>2535000</v>
      </c>
      <c r="H10" s="230" t="s">
        <v>77</v>
      </c>
      <c r="I10" s="230">
        <v>38261</v>
      </c>
      <c r="J10" s="229">
        <v>9585</v>
      </c>
      <c r="K10" s="229">
        <v>270000</v>
      </c>
      <c r="L10" s="229">
        <v>20621</v>
      </c>
      <c r="M10" s="229">
        <v>280000</v>
      </c>
    </row>
    <row r="11" spans="2:13" ht="15.75">
      <c r="B11" s="69" t="s">
        <v>75</v>
      </c>
      <c r="C11" s="374">
        <v>38322</v>
      </c>
      <c r="D11" s="374">
        <v>44136</v>
      </c>
      <c r="E11" s="227" t="s">
        <v>85</v>
      </c>
      <c r="F11" s="228">
        <v>970000</v>
      </c>
      <c r="G11" s="229">
        <v>105000</v>
      </c>
      <c r="H11" s="230" t="s">
        <v>78</v>
      </c>
      <c r="I11" s="230">
        <v>38657</v>
      </c>
      <c r="J11" s="229">
        <v>0</v>
      </c>
      <c r="K11" s="229">
        <v>0</v>
      </c>
      <c r="L11" s="229">
        <v>737</v>
      </c>
      <c r="M11" s="229">
        <v>10000</v>
      </c>
    </row>
    <row r="12" spans="2:13" ht="15.75">
      <c r="B12" s="69" t="s">
        <v>75</v>
      </c>
      <c r="C12" s="374">
        <v>38777</v>
      </c>
      <c r="D12" s="374">
        <v>44470</v>
      </c>
      <c r="E12" s="227" t="s">
        <v>86</v>
      </c>
      <c r="F12" s="228">
        <v>1520000</v>
      </c>
      <c r="G12" s="229">
        <v>1140000</v>
      </c>
      <c r="H12" s="230" t="s">
        <v>77</v>
      </c>
      <c r="I12" s="230">
        <v>38991</v>
      </c>
      <c r="J12" s="229">
        <v>44285</v>
      </c>
      <c r="K12" s="229">
        <v>95000</v>
      </c>
      <c r="L12" s="229">
        <v>40533</v>
      </c>
      <c r="M12" s="229">
        <v>100000</v>
      </c>
    </row>
    <row r="13" spans="2:13" ht="15.75">
      <c r="B13" s="69" t="s">
        <v>75</v>
      </c>
      <c r="C13" s="374">
        <v>39295</v>
      </c>
      <c r="D13" s="374">
        <v>46661</v>
      </c>
      <c r="E13" s="227" t="s">
        <v>87</v>
      </c>
      <c r="F13" s="228">
        <v>4442000</v>
      </c>
      <c r="G13" s="229">
        <v>3830000</v>
      </c>
      <c r="H13" s="230" t="s">
        <v>77</v>
      </c>
      <c r="I13" s="230">
        <v>39356</v>
      </c>
      <c r="J13" s="229">
        <v>166249</v>
      </c>
      <c r="K13" s="229">
        <v>180000</v>
      </c>
      <c r="L13" s="229">
        <v>157024</v>
      </c>
      <c r="M13" s="229">
        <v>190000</v>
      </c>
    </row>
    <row r="14" spans="2:13" ht="15.75">
      <c r="B14" s="69" t="s">
        <v>75</v>
      </c>
      <c r="C14" s="374">
        <v>39714</v>
      </c>
      <c r="D14" s="374">
        <v>47027</v>
      </c>
      <c r="E14" s="227">
        <v>4.087127</v>
      </c>
      <c r="F14" s="228">
        <v>3175000</v>
      </c>
      <c r="G14" s="229">
        <v>2705000</v>
      </c>
      <c r="H14" s="230" t="s">
        <v>77</v>
      </c>
      <c r="I14" s="230">
        <v>39356</v>
      </c>
      <c r="J14" s="229">
        <v>106950</v>
      </c>
      <c r="K14" s="229">
        <v>170000</v>
      </c>
      <c r="L14" s="229">
        <v>101425</v>
      </c>
      <c r="M14" s="229">
        <v>180000</v>
      </c>
    </row>
    <row r="15" spans="2:13" ht="15.75">
      <c r="B15" s="69" t="s">
        <v>76</v>
      </c>
      <c r="C15" s="374">
        <v>40156</v>
      </c>
      <c r="D15" s="374">
        <v>42675</v>
      </c>
      <c r="E15" s="227">
        <v>2.383547</v>
      </c>
      <c r="F15" s="228">
        <v>2340000</v>
      </c>
      <c r="G15" s="229">
        <v>1555000</v>
      </c>
      <c r="H15" s="230" t="s">
        <v>78</v>
      </c>
      <c r="I15" s="230">
        <v>40483</v>
      </c>
      <c r="J15" s="229">
        <v>40075</v>
      </c>
      <c r="K15" s="229">
        <v>390000</v>
      </c>
      <c r="L15" s="229">
        <v>32275</v>
      </c>
      <c r="M15" s="229">
        <v>375000</v>
      </c>
    </row>
    <row r="16" spans="2:13" ht="15.75">
      <c r="B16" s="69" t="s">
        <v>75</v>
      </c>
      <c r="C16" s="374">
        <v>40252</v>
      </c>
      <c r="D16" s="374">
        <v>47757</v>
      </c>
      <c r="E16" s="227">
        <v>3.8003611</v>
      </c>
      <c r="F16" s="228">
        <v>4055000</v>
      </c>
      <c r="G16" s="229">
        <v>3865000</v>
      </c>
      <c r="H16" s="230" t="s">
        <v>77</v>
      </c>
      <c r="I16" s="230">
        <v>40452</v>
      </c>
      <c r="J16" s="229">
        <v>129878</v>
      </c>
      <c r="K16" s="229">
        <v>270000</v>
      </c>
      <c r="L16" s="229">
        <v>124478</v>
      </c>
      <c r="M16" s="229">
        <v>275000</v>
      </c>
    </row>
    <row r="17" spans="2:13" ht="15.75">
      <c r="B17" s="69" t="s">
        <v>75</v>
      </c>
      <c r="C17" s="374">
        <v>40850</v>
      </c>
      <c r="D17" s="374">
        <v>48488</v>
      </c>
      <c r="E17" s="227">
        <v>4.77942</v>
      </c>
      <c r="F17" s="228">
        <v>107000</v>
      </c>
      <c r="G17" s="229">
        <v>107000</v>
      </c>
      <c r="H17" s="230" t="s">
        <v>77</v>
      </c>
      <c r="I17" s="230">
        <v>41183</v>
      </c>
      <c r="J17" s="229">
        <v>0</v>
      </c>
      <c r="K17" s="229">
        <v>0</v>
      </c>
      <c r="L17" s="229">
        <v>8942</v>
      </c>
      <c r="M17" s="229">
        <v>2000</v>
      </c>
    </row>
    <row r="18" spans="2:13" ht="15.75">
      <c r="B18" s="69" t="s">
        <v>76</v>
      </c>
      <c r="C18" s="374">
        <v>41095</v>
      </c>
      <c r="D18" s="374">
        <v>43739</v>
      </c>
      <c r="E18" s="227">
        <v>1.5597</v>
      </c>
      <c r="F18" s="228">
        <v>3930000</v>
      </c>
      <c r="G18" s="229">
        <v>0</v>
      </c>
      <c r="H18" s="230" t="s">
        <v>77</v>
      </c>
      <c r="I18" s="230">
        <v>41183</v>
      </c>
      <c r="J18" s="229">
        <v>19650</v>
      </c>
      <c r="K18" s="229">
        <v>30000</v>
      </c>
      <c r="L18" s="229">
        <v>78000</v>
      </c>
      <c r="M18" s="229">
        <v>410000</v>
      </c>
    </row>
    <row r="19" spans="2:13" ht="15.75">
      <c r="B19" s="69"/>
      <c r="C19" s="374"/>
      <c r="D19" s="374"/>
      <c r="E19" s="227"/>
      <c r="F19" s="228"/>
      <c r="G19" s="229"/>
      <c r="H19" s="230"/>
      <c r="I19" s="230"/>
      <c r="J19" s="229"/>
      <c r="K19" s="229"/>
      <c r="L19" s="229"/>
      <c r="M19" s="229"/>
    </row>
    <row r="20" spans="2:13" ht="15.75">
      <c r="B20" s="231" t="s">
        <v>654</v>
      </c>
      <c r="C20" s="232"/>
      <c r="D20" s="232"/>
      <c r="E20" s="233"/>
      <c r="F20" s="234"/>
      <c r="G20" s="235">
        <f>SUM(G9:G19)</f>
        <v>17722000</v>
      </c>
      <c r="H20" s="236"/>
      <c r="I20" s="236"/>
      <c r="J20" s="235">
        <f>SUM(J9:J19)</f>
        <v>526612</v>
      </c>
      <c r="K20" s="235">
        <f>SUM(K9:K19)</f>
        <v>1685000</v>
      </c>
      <c r="L20" s="235">
        <f>SUM(L9:L19)</f>
        <v>564035</v>
      </c>
      <c r="M20" s="235">
        <f>SUM(M9:M19)</f>
        <v>1822000</v>
      </c>
    </row>
    <row r="21" spans="2:13" ht="15.75">
      <c r="B21" s="224" t="s">
        <v>655</v>
      </c>
      <c r="C21" s="237"/>
      <c r="D21" s="237"/>
      <c r="E21" s="238"/>
      <c r="F21" s="239"/>
      <c r="G21" s="239"/>
      <c r="H21" s="240"/>
      <c r="I21" s="240"/>
      <c r="J21" s="239"/>
      <c r="K21" s="239"/>
      <c r="L21" s="239"/>
      <c r="M21" s="239"/>
    </row>
    <row r="22" spans="2:13" ht="15.75">
      <c r="B22" s="69" t="s">
        <v>79</v>
      </c>
      <c r="C22" s="374">
        <v>37544</v>
      </c>
      <c r="D22" s="374">
        <v>42644</v>
      </c>
      <c r="E22" s="227" t="s">
        <v>80</v>
      </c>
      <c r="F22" s="228">
        <v>3270000</v>
      </c>
      <c r="G22" s="229">
        <v>1780000</v>
      </c>
      <c r="H22" s="230" t="s">
        <v>77</v>
      </c>
      <c r="I22" s="230">
        <v>37895</v>
      </c>
      <c r="J22" s="229">
        <v>67315</v>
      </c>
      <c r="K22" s="229">
        <v>330000</v>
      </c>
      <c r="L22" s="229">
        <v>55765</v>
      </c>
      <c r="M22" s="229">
        <v>340000</v>
      </c>
    </row>
    <row r="23" spans="2:13" ht="15.75">
      <c r="B23" s="69"/>
      <c r="C23" s="374"/>
      <c r="D23" s="374"/>
      <c r="E23" s="227"/>
      <c r="F23" s="228"/>
      <c r="G23" s="229"/>
      <c r="H23" s="230"/>
      <c r="I23" s="230"/>
      <c r="J23" s="229"/>
      <c r="K23" s="229"/>
      <c r="L23" s="229"/>
      <c r="M23" s="229"/>
    </row>
    <row r="24" spans="2:13" ht="15.75">
      <c r="B24" s="69"/>
      <c r="C24" s="374"/>
      <c r="D24" s="374"/>
      <c r="E24" s="227"/>
      <c r="F24" s="228"/>
      <c r="G24" s="229"/>
      <c r="H24" s="230"/>
      <c r="I24" s="230"/>
      <c r="J24" s="229"/>
      <c r="K24" s="229"/>
      <c r="L24" s="229"/>
      <c r="M24" s="229"/>
    </row>
    <row r="25" spans="2:13" ht="15.75">
      <c r="B25" s="69"/>
      <c r="C25" s="374"/>
      <c r="D25" s="374"/>
      <c r="E25" s="227"/>
      <c r="F25" s="228"/>
      <c r="G25" s="229"/>
      <c r="H25" s="230"/>
      <c r="I25" s="230"/>
      <c r="J25" s="229"/>
      <c r="K25" s="229"/>
      <c r="L25" s="229"/>
      <c r="M25" s="229"/>
    </row>
    <row r="26" spans="2:13" ht="15.75">
      <c r="B26" s="69"/>
      <c r="C26" s="374"/>
      <c r="D26" s="374"/>
      <c r="E26" s="227"/>
      <c r="F26" s="228"/>
      <c r="G26" s="229"/>
      <c r="H26" s="230"/>
      <c r="I26" s="230"/>
      <c r="J26" s="229"/>
      <c r="K26" s="229"/>
      <c r="L26" s="229"/>
      <c r="M26" s="229"/>
    </row>
    <row r="27" spans="2:13" ht="15.75">
      <c r="B27" s="69"/>
      <c r="C27" s="374"/>
      <c r="D27" s="374"/>
      <c r="E27" s="227"/>
      <c r="F27" s="228"/>
      <c r="G27" s="229"/>
      <c r="H27" s="230"/>
      <c r="I27" s="230"/>
      <c r="J27" s="229"/>
      <c r="K27" s="229"/>
      <c r="L27" s="229"/>
      <c r="M27" s="229"/>
    </row>
    <row r="28" spans="2:13" ht="15.75">
      <c r="B28" s="69"/>
      <c r="C28" s="374"/>
      <c r="D28" s="374"/>
      <c r="E28" s="227"/>
      <c r="F28" s="228"/>
      <c r="G28" s="229"/>
      <c r="H28" s="230"/>
      <c r="I28" s="230"/>
      <c r="J28" s="229"/>
      <c r="K28" s="229"/>
      <c r="L28" s="229"/>
      <c r="M28" s="229"/>
    </row>
    <row r="29" spans="2:13" ht="15.75">
      <c r="B29" s="69"/>
      <c r="C29" s="374"/>
      <c r="D29" s="374"/>
      <c r="E29" s="227"/>
      <c r="F29" s="228"/>
      <c r="G29" s="229"/>
      <c r="H29" s="230"/>
      <c r="I29" s="230"/>
      <c r="J29" s="229"/>
      <c r="K29" s="229"/>
      <c r="L29" s="229"/>
      <c r="M29" s="229"/>
    </row>
    <row r="30" spans="2:13" ht="15.75">
      <c r="B30" s="69"/>
      <c r="C30" s="374"/>
      <c r="D30" s="374"/>
      <c r="E30" s="227"/>
      <c r="F30" s="228"/>
      <c r="G30" s="229"/>
      <c r="H30" s="230"/>
      <c r="I30" s="230"/>
      <c r="J30" s="229"/>
      <c r="K30" s="229"/>
      <c r="L30" s="229"/>
      <c r="M30" s="229"/>
    </row>
    <row r="31" spans="2:13" ht="15.75">
      <c r="B31" s="69"/>
      <c r="C31" s="374"/>
      <c r="D31" s="374"/>
      <c r="E31" s="227"/>
      <c r="F31" s="228"/>
      <c r="G31" s="229"/>
      <c r="H31" s="230"/>
      <c r="I31" s="230"/>
      <c r="J31" s="229"/>
      <c r="K31" s="229"/>
      <c r="L31" s="229"/>
      <c r="M31" s="229"/>
    </row>
    <row r="32" spans="2:13" ht="15.75">
      <c r="B32" s="231" t="s">
        <v>656</v>
      </c>
      <c r="C32" s="232"/>
      <c r="D32" s="232"/>
      <c r="E32" s="241"/>
      <c r="F32" s="234"/>
      <c r="G32" s="242">
        <f>SUM(G22:G31)</f>
        <v>1780000</v>
      </c>
      <c r="H32" s="236"/>
      <c r="I32" s="236"/>
      <c r="J32" s="242">
        <f>SUM(J22:J31)</f>
        <v>67315</v>
      </c>
      <c r="K32" s="242">
        <f>SUM(K22:K31)</f>
        <v>330000</v>
      </c>
      <c r="L32" s="235">
        <f>SUM(L22:L31)</f>
        <v>55765</v>
      </c>
      <c r="M32" s="242">
        <f>SUM(M22:M31)</f>
        <v>340000</v>
      </c>
    </row>
    <row r="33" spans="2:13" ht="15.75">
      <c r="B33" s="224" t="s">
        <v>657</v>
      </c>
      <c r="C33" s="237"/>
      <c r="D33" s="237"/>
      <c r="E33" s="238"/>
      <c r="F33" s="239"/>
      <c r="G33" s="243"/>
      <c r="H33" s="240"/>
      <c r="I33" s="240"/>
      <c r="J33" s="239"/>
      <c r="K33" s="239"/>
      <c r="L33" s="239"/>
      <c r="M33" s="239"/>
    </row>
    <row r="34" spans="2:13" ht="15.75">
      <c r="B34" s="69"/>
      <c r="C34" s="374"/>
      <c r="D34" s="374"/>
      <c r="E34" s="227"/>
      <c r="F34" s="228"/>
      <c r="G34" s="229"/>
      <c r="H34" s="230"/>
      <c r="I34" s="230"/>
      <c r="J34" s="229"/>
      <c r="K34" s="229"/>
      <c r="L34" s="229"/>
      <c r="M34" s="229"/>
    </row>
    <row r="35" spans="2:13" ht="15.75">
      <c r="B35" s="69"/>
      <c r="C35" s="374"/>
      <c r="D35" s="374"/>
      <c r="E35" s="227"/>
      <c r="F35" s="228"/>
      <c r="G35" s="229"/>
      <c r="H35" s="230"/>
      <c r="I35" s="230"/>
      <c r="J35" s="229"/>
      <c r="K35" s="229"/>
      <c r="L35" s="229"/>
      <c r="M35" s="229"/>
    </row>
    <row r="36" spans="2:13" ht="15.75">
      <c r="B36" s="69"/>
      <c r="C36" s="374"/>
      <c r="D36" s="374"/>
      <c r="E36" s="227"/>
      <c r="F36" s="228"/>
      <c r="G36" s="229"/>
      <c r="H36" s="230"/>
      <c r="I36" s="230"/>
      <c r="J36" s="229"/>
      <c r="K36" s="229"/>
      <c r="L36" s="229"/>
      <c r="M36" s="229"/>
    </row>
    <row r="37" spans="2:13" ht="15.75">
      <c r="B37" s="69"/>
      <c r="C37" s="374"/>
      <c r="D37" s="374"/>
      <c r="E37" s="227"/>
      <c r="F37" s="228"/>
      <c r="G37" s="229"/>
      <c r="H37" s="230"/>
      <c r="I37" s="230"/>
      <c r="J37" s="229"/>
      <c r="K37" s="229"/>
      <c r="L37" s="229"/>
      <c r="M37" s="229"/>
    </row>
    <row r="38" spans="2:13" ht="15.75">
      <c r="B38" s="69"/>
      <c r="C38" s="374"/>
      <c r="D38" s="374"/>
      <c r="E38" s="227"/>
      <c r="F38" s="228"/>
      <c r="G38" s="229"/>
      <c r="H38" s="230"/>
      <c r="I38" s="230"/>
      <c r="J38" s="229"/>
      <c r="K38" s="229"/>
      <c r="L38" s="229"/>
      <c r="M38" s="229"/>
    </row>
    <row r="39" spans="2:13" ht="15.75">
      <c r="B39" s="69"/>
      <c r="C39" s="374"/>
      <c r="D39" s="374"/>
      <c r="E39" s="227"/>
      <c r="F39" s="228"/>
      <c r="G39" s="229"/>
      <c r="H39" s="230"/>
      <c r="I39" s="230"/>
      <c r="J39" s="229"/>
      <c r="K39" s="229"/>
      <c r="L39" s="229"/>
      <c r="M39" s="229"/>
    </row>
    <row r="40" spans="2:13" ht="15.75">
      <c r="B40" s="69"/>
      <c r="C40" s="374"/>
      <c r="D40" s="374"/>
      <c r="E40" s="227"/>
      <c r="F40" s="228"/>
      <c r="G40" s="229"/>
      <c r="H40" s="230"/>
      <c r="I40" s="230"/>
      <c r="J40" s="229"/>
      <c r="K40" s="229"/>
      <c r="L40" s="229"/>
      <c r="M40" s="229"/>
    </row>
    <row r="41" spans="2:29" ht="15.75">
      <c r="B41" s="69"/>
      <c r="C41" s="374"/>
      <c r="D41" s="374"/>
      <c r="E41" s="227"/>
      <c r="F41" s="228"/>
      <c r="G41" s="229"/>
      <c r="H41" s="230"/>
      <c r="I41" s="230"/>
      <c r="J41" s="229"/>
      <c r="K41" s="229"/>
      <c r="L41" s="229"/>
      <c r="M41" s="229"/>
      <c r="N41" s="32"/>
      <c r="O41" s="32"/>
      <c r="P41" s="32"/>
      <c r="Q41" s="32"/>
      <c r="R41" s="32"/>
      <c r="S41" s="32"/>
      <c r="T41" s="32"/>
      <c r="U41" s="32"/>
      <c r="V41" s="32"/>
      <c r="W41" s="32"/>
      <c r="X41" s="32"/>
      <c r="Y41" s="32"/>
      <c r="Z41" s="32"/>
      <c r="AA41" s="32"/>
      <c r="AB41" s="32"/>
      <c r="AC41" s="32"/>
    </row>
    <row r="42" spans="2:13" ht="15.75">
      <c r="B42" s="231" t="s">
        <v>799</v>
      </c>
      <c r="C42" s="212"/>
      <c r="D42" s="212"/>
      <c r="E42" s="241"/>
      <c r="F42" s="234"/>
      <c r="G42" s="242">
        <f>SUM(G34:G41)</f>
        <v>0</v>
      </c>
      <c r="H42" s="234"/>
      <c r="I42" s="234"/>
      <c r="J42" s="242">
        <f>SUM(J34:J41)</f>
        <v>0</v>
      </c>
      <c r="K42" s="242">
        <f>SUM(K34:K41)</f>
        <v>0</v>
      </c>
      <c r="L42" s="242">
        <f>SUM(L34:L41)</f>
        <v>0</v>
      </c>
      <c r="M42" s="242">
        <f>SUM(M34:M41)</f>
        <v>0</v>
      </c>
    </row>
    <row r="43" spans="2:13" ht="15.75">
      <c r="B43" s="231" t="s">
        <v>658</v>
      </c>
      <c r="C43" s="212"/>
      <c r="D43" s="212"/>
      <c r="E43" s="212"/>
      <c r="F43" s="234"/>
      <c r="G43" s="242">
        <f>SUM(G20+G32+G42)</f>
        <v>19502000</v>
      </c>
      <c r="H43" s="234"/>
      <c r="I43" s="234"/>
      <c r="J43" s="242">
        <f>SUM(J20+J32+J42)</f>
        <v>593927</v>
      </c>
      <c r="K43" s="242">
        <f>SUM(K20+K32+K42)</f>
        <v>2015000</v>
      </c>
      <c r="L43" s="242">
        <f>SUM(L20+L32+L42)</f>
        <v>619800</v>
      </c>
      <c r="M43" s="242">
        <f>SUM(M20+M32+M42)</f>
        <v>2162000</v>
      </c>
    </row>
    <row r="44" spans="2:13" ht="15.75">
      <c r="B44" s="32" t="s">
        <v>82</v>
      </c>
      <c r="C44" s="32"/>
      <c r="D44" s="32"/>
      <c r="E44" s="32"/>
      <c r="F44" s="32"/>
      <c r="G44" s="32"/>
      <c r="H44" s="32"/>
      <c r="I44" s="32"/>
      <c r="J44" s="32"/>
      <c r="K44" s="32"/>
      <c r="L44" s="32"/>
      <c r="M44" s="32"/>
    </row>
    <row r="45" spans="6:13" ht="15.75">
      <c r="F45" s="244"/>
      <c r="G45" s="244"/>
      <c r="J45" s="244"/>
      <c r="K45" s="244"/>
      <c r="L45" s="244"/>
      <c r="M45" s="244"/>
    </row>
    <row r="46" spans="6:14" ht="15.75">
      <c r="F46" s="32"/>
      <c r="H46" s="245"/>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7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62"/>
    <pageSetUpPr fitToPage="1"/>
  </sheetPr>
  <dimension ref="B1:I30"/>
  <sheetViews>
    <sheetView zoomScale="75" zoomScaleNormal="75" zoomScalePageLayoutView="0" workbookViewId="0" topLeftCell="A1">
      <selection activeCell="D18" sqref="D18"/>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Haysville</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672</v>
      </c>
      <c r="C4" s="8"/>
      <c r="D4" s="8"/>
      <c r="E4" s="8"/>
      <c r="F4" s="8"/>
      <c r="G4" s="8"/>
      <c r="H4" s="8"/>
      <c r="I4" s="8"/>
    </row>
    <row r="5" spans="2:9" ht="15.75">
      <c r="B5" s="4"/>
      <c r="C5" s="16"/>
      <c r="D5" s="16"/>
      <c r="E5" s="16"/>
      <c r="F5" s="16"/>
      <c r="G5" s="16"/>
      <c r="H5" s="16"/>
      <c r="I5" s="16"/>
    </row>
    <row r="6" spans="2:9" ht="15.75">
      <c r="B6" s="9"/>
      <c r="C6" s="9"/>
      <c r="D6" s="9"/>
      <c r="E6" s="9"/>
      <c r="F6" s="12" t="s">
        <v>581</v>
      </c>
      <c r="G6" s="9"/>
      <c r="H6" s="9"/>
      <c r="I6" s="9"/>
    </row>
    <row r="7" spans="2:9" ht="15.75">
      <c r="B7" s="606"/>
      <c r="C7" s="13"/>
      <c r="D7" s="13" t="s">
        <v>659</v>
      </c>
      <c r="E7" s="13" t="s">
        <v>660</v>
      </c>
      <c r="F7" s="13" t="s">
        <v>602</v>
      </c>
      <c r="G7" s="13" t="s">
        <v>662</v>
      </c>
      <c r="H7" s="13" t="s">
        <v>663</v>
      </c>
      <c r="I7" s="13" t="s">
        <v>663</v>
      </c>
    </row>
    <row r="8" spans="2:9" ht="15.75">
      <c r="B8" s="13" t="s">
        <v>418</v>
      </c>
      <c r="C8" s="13" t="s">
        <v>664</v>
      </c>
      <c r="D8" s="13" t="s">
        <v>665</v>
      </c>
      <c r="E8" s="13" t="s">
        <v>649</v>
      </c>
      <c r="F8" s="13" t="s">
        <v>666</v>
      </c>
      <c r="G8" s="13" t="s">
        <v>712</v>
      </c>
      <c r="H8" s="13" t="s">
        <v>667</v>
      </c>
      <c r="I8" s="13" t="s">
        <v>667</v>
      </c>
    </row>
    <row r="9" spans="2:9" ht="15.75">
      <c r="B9" s="14" t="s">
        <v>417</v>
      </c>
      <c r="C9" s="14" t="s">
        <v>646</v>
      </c>
      <c r="D9" s="18" t="s">
        <v>668</v>
      </c>
      <c r="E9" s="14" t="s">
        <v>627</v>
      </c>
      <c r="F9" s="18" t="s">
        <v>737</v>
      </c>
      <c r="G9" s="15" t="str">
        <f>CONCATENATE("Jan 1,",I1-1,"")</f>
        <v>Jan 1,2012</v>
      </c>
      <c r="H9" s="14">
        <f>I1-1</f>
        <v>2012</v>
      </c>
      <c r="I9" s="14">
        <f>I1</f>
        <v>2013</v>
      </c>
    </row>
    <row r="10" spans="2:9" ht="15.75">
      <c r="B10" s="3" t="s">
        <v>88</v>
      </c>
      <c r="C10" s="28">
        <v>39387</v>
      </c>
      <c r="D10" s="23" t="s">
        <v>90</v>
      </c>
      <c r="E10" s="21">
        <v>0.04379</v>
      </c>
      <c r="F10" s="22">
        <v>590000</v>
      </c>
      <c r="G10" s="22">
        <v>375000</v>
      </c>
      <c r="H10" s="22">
        <v>76575</v>
      </c>
      <c r="I10" s="22">
        <v>69175</v>
      </c>
    </row>
    <row r="11" spans="2:9" ht="15.75">
      <c r="B11" s="3" t="s">
        <v>89</v>
      </c>
      <c r="C11" s="28">
        <v>38294</v>
      </c>
      <c r="D11" s="23" t="s">
        <v>90</v>
      </c>
      <c r="E11" s="21">
        <v>0.0475</v>
      </c>
      <c r="F11" s="22">
        <v>74710</v>
      </c>
      <c r="G11" s="22">
        <v>27049</v>
      </c>
      <c r="H11" s="22">
        <v>7500</v>
      </c>
      <c r="I11" s="22">
        <v>7500</v>
      </c>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7" t="s">
        <v>597</v>
      </c>
      <c r="G28" s="27">
        <f>SUM(G10:G27)</f>
        <v>402049</v>
      </c>
      <c r="H28" s="27">
        <f>SUM(H10:H27)</f>
        <v>84075</v>
      </c>
      <c r="I28" s="27">
        <f>SUM(I10:I27)</f>
        <v>76675</v>
      </c>
    </row>
    <row r="29" spans="2:9" ht="16.5" thickTop="1">
      <c r="B29" s="5"/>
      <c r="C29" s="5"/>
      <c r="D29" s="5"/>
      <c r="E29" s="5"/>
      <c r="F29" s="5"/>
      <c r="G29" s="5"/>
      <c r="H29" s="10"/>
      <c r="I29" s="10"/>
    </row>
    <row r="30" spans="2:9" ht="15.75">
      <c r="B30" s="29" t="s">
        <v>480</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18" sqref="D18"/>
    </sheetView>
  </sheetViews>
  <sheetFormatPr defaultColWidth="8.796875" defaultRowHeight="15"/>
  <cols>
    <col min="1" max="1" width="2.59765625" style="677" customWidth="1"/>
    <col min="2" max="4" width="8.8984375" style="677" customWidth="1"/>
    <col min="5" max="5" width="9.69921875" style="677" customWidth="1"/>
    <col min="6" max="6" width="8.8984375" style="677" customWidth="1"/>
    <col min="7" max="7" width="9.69921875" style="677" customWidth="1"/>
    <col min="8" max="16384" width="8.8984375" style="677" customWidth="1"/>
  </cols>
  <sheetData>
    <row r="1" spans="2:9" ht="15.75">
      <c r="B1" s="676"/>
      <c r="C1" s="676"/>
      <c r="D1" s="676"/>
      <c r="E1" s="676"/>
      <c r="F1" s="676"/>
      <c r="G1" s="676"/>
      <c r="H1" s="676"/>
      <c r="I1" s="676"/>
    </row>
    <row r="2" spans="2:9" ht="15.75">
      <c r="B2" s="787" t="s">
        <v>441</v>
      </c>
      <c r="C2" s="787"/>
      <c r="D2" s="787"/>
      <c r="E2" s="787"/>
      <c r="F2" s="787"/>
      <c r="G2" s="787"/>
      <c r="H2" s="787"/>
      <c r="I2" s="787"/>
    </row>
    <row r="3" spans="2:9" ht="15.75">
      <c r="B3" s="787" t="s">
        <v>442</v>
      </c>
      <c r="C3" s="787"/>
      <c r="D3" s="787"/>
      <c r="E3" s="787"/>
      <c r="F3" s="787"/>
      <c r="G3" s="787"/>
      <c r="H3" s="787"/>
      <c r="I3" s="787"/>
    </row>
    <row r="4" spans="2:9" ht="15.75">
      <c r="B4" s="678"/>
      <c r="C4" s="678"/>
      <c r="D4" s="678"/>
      <c r="E4" s="678"/>
      <c r="F4" s="678"/>
      <c r="G4" s="678"/>
      <c r="H4" s="678"/>
      <c r="I4" s="678"/>
    </row>
    <row r="5" spans="2:9" ht="15.75">
      <c r="B5" s="788" t="str">
        <f>CONCATENATE("Budgeted Year: ",inputPrYr!C5,"")</f>
        <v>Budgeted Year: 2013</v>
      </c>
      <c r="C5" s="788"/>
      <c r="D5" s="788"/>
      <c r="E5" s="788"/>
      <c r="F5" s="788"/>
      <c r="G5" s="788"/>
      <c r="H5" s="788"/>
      <c r="I5" s="788"/>
    </row>
    <row r="6" spans="2:9" ht="15.75">
      <c r="B6" s="679"/>
      <c r="C6" s="678"/>
      <c r="D6" s="678"/>
      <c r="E6" s="678"/>
      <c r="F6" s="678"/>
      <c r="G6" s="678"/>
      <c r="H6" s="678"/>
      <c r="I6" s="678"/>
    </row>
    <row r="7" spans="2:9" ht="15.75">
      <c r="B7" s="679" t="str">
        <f>CONCATENATE("Library found in: ",inputPrYr!D2,"")</f>
        <v>Library found in: City of Haysville</v>
      </c>
      <c r="C7" s="678"/>
      <c r="D7" s="678"/>
      <c r="E7" s="678"/>
      <c r="F7" s="678"/>
      <c r="G7" s="678"/>
      <c r="H7" s="678"/>
      <c r="I7" s="678"/>
    </row>
    <row r="8" spans="2:9" ht="15.75">
      <c r="B8" s="679" t="str">
        <f>inputPrYr!D3</f>
        <v>Sedgwick County</v>
      </c>
      <c r="C8" s="678"/>
      <c r="D8" s="678"/>
      <c r="E8" s="678"/>
      <c r="F8" s="678"/>
      <c r="G8" s="678"/>
      <c r="H8" s="678"/>
      <c r="I8" s="678"/>
    </row>
    <row r="9" spans="2:9" ht="15.75">
      <c r="B9" s="678"/>
      <c r="C9" s="678"/>
      <c r="D9" s="678"/>
      <c r="E9" s="678"/>
      <c r="F9" s="678"/>
      <c r="G9" s="678"/>
      <c r="H9" s="678"/>
      <c r="I9" s="678"/>
    </row>
    <row r="10" spans="2:9" ht="39" customHeight="1">
      <c r="B10" s="784" t="s">
        <v>443</v>
      </c>
      <c r="C10" s="784"/>
      <c r="D10" s="784"/>
      <c r="E10" s="784"/>
      <c r="F10" s="784"/>
      <c r="G10" s="784"/>
      <c r="H10" s="784"/>
      <c r="I10" s="784"/>
    </row>
    <row r="11" spans="2:9" ht="15.75">
      <c r="B11" s="678"/>
      <c r="C11" s="678"/>
      <c r="D11" s="678"/>
      <c r="E11" s="678"/>
      <c r="F11" s="678"/>
      <c r="G11" s="678"/>
      <c r="H11" s="678"/>
      <c r="I11" s="678"/>
    </row>
    <row r="12" spans="2:9" ht="15.75">
      <c r="B12" s="680" t="s">
        <v>444</v>
      </c>
      <c r="C12" s="678"/>
      <c r="D12" s="678"/>
      <c r="E12" s="678"/>
      <c r="F12" s="678"/>
      <c r="G12" s="678"/>
      <c r="H12" s="678"/>
      <c r="I12" s="678"/>
    </row>
    <row r="13" spans="2:9" ht="15.75">
      <c r="B13" s="678"/>
      <c r="C13" s="678"/>
      <c r="D13" s="678"/>
      <c r="E13" s="681" t="s">
        <v>445</v>
      </c>
      <c r="F13" s="678"/>
      <c r="G13" s="681" t="s">
        <v>446</v>
      </c>
      <c r="H13" s="678"/>
      <c r="I13" s="678"/>
    </row>
    <row r="14" spans="2:9" ht="15.75">
      <c r="B14" s="678"/>
      <c r="C14" s="678"/>
      <c r="D14" s="678"/>
      <c r="E14" s="682">
        <f>inputPrYr!C5-1</f>
        <v>2012</v>
      </c>
      <c r="F14" s="678"/>
      <c r="G14" s="682">
        <f>inputPrYr!C5</f>
        <v>2013</v>
      </c>
      <c r="H14" s="678"/>
      <c r="I14" s="678"/>
    </row>
    <row r="15" spans="2:9" ht="15.75">
      <c r="B15" s="679" t="s">
        <v>27</v>
      </c>
      <c r="C15" s="678"/>
      <c r="D15" s="678"/>
      <c r="E15" s="683">
        <f>'DebtSvs-library'!D47</f>
        <v>271400</v>
      </c>
      <c r="F15" s="678"/>
      <c r="G15" s="683">
        <f>'DebtSvs-library'!E80</f>
        <v>282649</v>
      </c>
      <c r="H15" s="678"/>
      <c r="I15" s="678"/>
    </row>
    <row r="16" spans="2:9" ht="15.75">
      <c r="B16" s="679" t="s">
        <v>611</v>
      </c>
      <c r="C16" s="678"/>
      <c r="D16" s="678"/>
      <c r="E16" s="683">
        <f>'DebtSvs-library'!D48</f>
        <v>11500</v>
      </c>
      <c r="F16" s="678"/>
      <c r="G16" s="683">
        <f>'DebtSvs-library'!E48</f>
        <v>8400</v>
      </c>
      <c r="H16" s="678"/>
      <c r="I16" s="678"/>
    </row>
    <row r="17" spans="2:9" ht="15.75">
      <c r="B17" s="679" t="s">
        <v>612</v>
      </c>
      <c r="C17" s="678"/>
      <c r="D17" s="678"/>
      <c r="E17" s="683">
        <f>'DebtSvs-library'!D49</f>
        <v>41200</v>
      </c>
      <c r="F17" s="678"/>
      <c r="G17" s="683">
        <f>'DebtSvs-library'!E49</f>
        <v>38413</v>
      </c>
      <c r="H17" s="678"/>
      <c r="I17" s="678"/>
    </row>
    <row r="18" spans="2:9" ht="15.75">
      <c r="B18" s="679" t="s">
        <v>28</v>
      </c>
      <c r="C18" s="678"/>
      <c r="D18" s="678"/>
      <c r="E18" s="683">
        <f>'DebtSvs-library'!D50</f>
        <v>800</v>
      </c>
      <c r="F18" s="678"/>
      <c r="G18" s="683">
        <f>'DebtSvs-library'!E50</f>
        <v>721</v>
      </c>
      <c r="H18" s="678"/>
      <c r="I18" s="678"/>
    </row>
    <row r="19" spans="2:9" ht="15.75">
      <c r="B19" s="679" t="s">
        <v>29</v>
      </c>
      <c r="C19" s="678"/>
      <c r="D19" s="678"/>
      <c r="E19" s="683">
        <f>'DebtSvs-library'!D51</f>
        <v>100</v>
      </c>
      <c r="F19" s="678"/>
      <c r="G19" s="683">
        <f>'DebtSvs-library'!E51</f>
        <v>78</v>
      </c>
      <c r="H19" s="678"/>
      <c r="I19" s="678"/>
    </row>
    <row r="20" spans="2:9" ht="15.75">
      <c r="B20" s="678" t="s">
        <v>780</v>
      </c>
      <c r="C20" s="678"/>
      <c r="D20" s="678"/>
      <c r="E20" s="683">
        <v>0</v>
      </c>
      <c r="F20" s="678"/>
      <c r="G20" s="683">
        <v>0</v>
      </c>
      <c r="H20" s="678"/>
      <c r="I20" s="678"/>
    </row>
    <row r="21" spans="2:9" ht="15.75">
      <c r="B21" s="678"/>
      <c r="C21" s="678"/>
      <c r="D21" s="678"/>
      <c r="E21" s="683">
        <v>0</v>
      </c>
      <c r="F21" s="678"/>
      <c r="G21" s="683">
        <v>0</v>
      </c>
      <c r="H21" s="678"/>
      <c r="I21" s="678"/>
    </row>
    <row r="22" spans="2:9" ht="15.75">
      <c r="B22" s="678" t="s">
        <v>447</v>
      </c>
      <c r="C22" s="678"/>
      <c r="D22" s="678"/>
      <c r="E22" s="684">
        <f>SUM(E15:E21)</f>
        <v>325000</v>
      </c>
      <c r="F22" s="678"/>
      <c r="G22" s="684">
        <f>SUM(G15:G21)</f>
        <v>330261</v>
      </c>
      <c r="H22" s="678"/>
      <c r="I22" s="678"/>
    </row>
    <row r="23" spans="2:9" ht="15.75">
      <c r="B23" s="678" t="s">
        <v>448</v>
      </c>
      <c r="C23" s="678"/>
      <c r="D23" s="678"/>
      <c r="E23" s="708">
        <f>G22-E22</f>
        <v>5261</v>
      </c>
      <c r="F23" s="678"/>
      <c r="G23" s="685"/>
      <c r="H23" s="678"/>
      <c r="I23" s="678"/>
    </row>
    <row r="24" spans="2:9" ht="15.75">
      <c r="B24" s="678" t="s">
        <v>449</v>
      </c>
      <c r="C24" s="678"/>
      <c r="D24" s="686" t="str">
        <f>IF((G22-E22)&gt;0,"Qualify","Not Qualify")</f>
        <v>Qualify</v>
      </c>
      <c r="E24" s="678"/>
      <c r="F24" s="678"/>
      <c r="G24" s="678"/>
      <c r="H24" s="678"/>
      <c r="I24" s="678"/>
    </row>
    <row r="25" spans="2:9" ht="15.75">
      <c r="B25" s="678"/>
      <c r="C25" s="678"/>
      <c r="D25" s="678"/>
      <c r="E25" s="678"/>
      <c r="F25" s="678"/>
      <c r="G25" s="678"/>
      <c r="H25" s="678"/>
      <c r="I25" s="678"/>
    </row>
    <row r="26" spans="2:9" ht="15.75">
      <c r="B26" s="680" t="s">
        <v>450</v>
      </c>
      <c r="C26" s="678"/>
      <c r="D26" s="678"/>
      <c r="E26" s="678"/>
      <c r="F26" s="678"/>
      <c r="G26" s="678"/>
      <c r="H26" s="678"/>
      <c r="I26" s="678"/>
    </row>
    <row r="27" spans="2:9" ht="15.75">
      <c r="B27" s="678" t="s">
        <v>451</v>
      </c>
      <c r="C27" s="678"/>
      <c r="D27" s="678"/>
      <c r="E27" s="683">
        <f>summ!D57</f>
        <v>54139668</v>
      </c>
      <c r="F27" s="678"/>
      <c r="G27" s="683">
        <f>summ!F57</f>
        <v>53837928</v>
      </c>
      <c r="H27" s="678"/>
      <c r="I27" s="678"/>
    </row>
    <row r="28" spans="2:9" ht="15.75">
      <c r="B28" s="678" t="s">
        <v>452</v>
      </c>
      <c r="C28" s="678"/>
      <c r="D28" s="678"/>
      <c r="E28" s="687" t="str">
        <f>IF(G27-E27&gt;0,"No","Yes")</f>
        <v>Yes</v>
      </c>
      <c r="F28" s="678"/>
      <c r="G28" s="678"/>
      <c r="H28" s="678"/>
      <c r="I28" s="678"/>
    </row>
    <row r="29" spans="2:9" ht="15.75">
      <c r="B29" s="678" t="s">
        <v>453</v>
      </c>
      <c r="C29" s="678"/>
      <c r="D29" s="678"/>
      <c r="E29" s="681">
        <f>summ!E17</f>
        <v>5.252</v>
      </c>
      <c r="F29" s="678"/>
      <c r="G29" s="688">
        <v>5.25</v>
      </c>
      <c r="H29" s="678"/>
      <c r="I29" s="678"/>
    </row>
    <row r="30" spans="2:9" ht="15.75">
      <c r="B30" s="678" t="s">
        <v>454</v>
      </c>
      <c r="C30" s="678"/>
      <c r="D30" s="678"/>
      <c r="E30" s="689">
        <f>G29-E29</f>
        <v>-0.0019999999999997797</v>
      </c>
      <c r="F30" s="678"/>
      <c r="G30" s="678"/>
      <c r="H30" s="678"/>
      <c r="I30" s="678"/>
    </row>
    <row r="31" spans="2:9" ht="15.75">
      <c r="B31" s="678" t="s">
        <v>449</v>
      </c>
      <c r="C31" s="678"/>
      <c r="D31" s="690" t="str">
        <f>IF(E30&gt;=0,"Qualify","Not Qualify")</f>
        <v>Not Qualify</v>
      </c>
      <c r="E31" s="678"/>
      <c r="F31" s="678"/>
      <c r="G31" s="678"/>
      <c r="H31" s="678"/>
      <c r="I31" s="678"/>
    </row>
    <row r="32" spans="2:9" ht="15.75">
      <c r="B32" s="678"/>
      <c r="C32" s="678"/>
      <c r="D32" s="678"/>
      <c r="E32" s="678"/>
      <c r="F32" s="678"/>
      <c r="G32" s="678"/>
      <c r="H32" s="678"/>
      <c r="I32" s="678"/>
    </row>
    <row r="33" spans="2:9" ht="15.75">
      <c r="B33" s="678" t="s">
        <v>455</v>
      </c>
      <c r="C33" s="678"/>
      <c r="D33" s="678"/>
      <c r="E33" s="678"/>
      <c r="F33" s="691" t="str">
        <f>IF(D24="Not Qualify",IF(D31="Not Qualify",IF(D31="Not Qualify","Not Qualify","Qualify"),"Qualify"),"Qualify")</f>
        <v>Qualify</v>
      </c>
      <c r="G33" s="678"/>
      <c r="H33" s="678"/>
      <c r="I33" s="678"/>
    </row>
    <row r="34" spans="2:9" ht="15.75">
      <c r="B34" s="678"/>
      <c r="C34" s="678"/>
      <c r="D34" s="678"/>
      <c r="E34" s="678"/>
      <c r="F34" s="678"/>
      <c r="G34" s="678"/>
      <c r="H34" s="678"/>
      <c r="I34" s="678"/>
    </row>
    <row r="35" spans="2:9" ht="15.75">
      <c r="B35" s="678"/>
      <c r="C35" s="678"/>
      <c r="D35" s="678"/>
      <c r="E35" s="678"/>
      <c r="F35" s="678"/>
      <c r="G35" s="678"/>
      <c r="H35" s="678"/>
      <c r="I35" s="678"/>
    </row>
    <row r="36" spans="2:9" ht="37.5" customHeight="1">
      <c r="B36" s="784" t="s">
        <v>456</v>
      </c>
      <c r="C36" s="784"/>
      <c r="D36" s="784"/>
      <c r="E36" s="784"/>
      <c r="F36" s="784"/>
      <c r="G36" s="784"/>
      <c r="H36" s="784"/>
      <c r="I36" s="784"/>
    </row>
    <row r="37" spans="2:9" ht="15.75">
      <c r="B37" s="678"/>
      <c r="C37" s="678"/>
      <c r="D37" s="678"/>
      <c r="E37" s="678"/>
      <c r="F37" s="678"/>
      <c r="G37" s="678"/>
      <c r="H37" s="678"/>
      <c r="I37" s="678"/>
    </row>
    <row r="38" spans="2:9" ht="15.75">
      <c r="B38" s="678"/>
      <c r="C38" s="678"/>
      <c r="D38" s="678"/>
      <c r="E38" s="678"/>
      <c r="F38" s="678"/>
      <c r="G38" s="678"/>
      <c r="H38" s="678"/>
      <c r="I38" s="678"/>
    </row>
    <row r="39" spans="2:9" ht="15.75">
      <c r="B39" s="678"/>
      <c r="C39" s="678"/>
      <c r="D39" s="678"/>
      <c r="E39" s="678"/>
      <c r="F39" s="678"/>
      <c r="G39" s="678"/>
      <c r="H39" s="678"/>
      <c r="I39" s="678"/>
    </row>
    <row r="40" spans="2:9" ht="15.75">
      <c r="B40" s="678"/>
      <c r="C40" s="678"/>
      <c r="D40" s="678"/>
      <c r="E40" s="692" t="s">
        <v>620</v>
      </c>
      <c r="F40" s="693">
        <v>7</v>
      </c>
      <c r="G40" s="678"/>
      <c r="H40" s="678"/>
      <c r="I40" s="678"/>
    </row>
    <row r="41" spans="2:9" ht="15.75">
      <c r="B41" s="678"/>
      <c r="C41" s="678"/>
      <c r="D41" s="678"/>
      <c r="E41" s="678"/>
      <c r="F41" s="678"/>
      <c r="G41" s="678"/>
      <c r="H41" s="678"/>
      <c r="I41" s="678"/>
    </row>
    <row r="42" spans="2:9" ht="15.75">
      <c r="B42" s="678"/>
      <c r="C42" s="678"/>
      <c r="D42" s="678"/>
      <c r="E42" s="678"/>
      <c r="F42" s="678"/>
      <c r="G42" s="678"/>
      <c r="H42" s="678"/>
      <c r="I42" s="678"/>
    </row>
    <row r="43" spans="2:9" ht="15.75">
      <c r="B43" s="785" t="s">
        <v>457</v>
      </c>
      <c r="C43" s="786"/>
      <c r="D43" s="786"/>
      <c r="E43" s="786"/>
      <c r="F43" s="786"/>
      <c r="G43" s="786"/>
      <c r="H43" s="786"/>
      <c r="I43" s="786"/>
    </row>
    <row r="44" spans="2:9" ht="15.75">
      <c r="B44" s="678"/>
      <c r="C44" s="678"/>
      <c r="D44" s="678"/>
      <c r="E44" s="678"/>
      <c r="F44" s="678"/>
      <c r="G44" s="678"/>
      <c r="H44" s="678"/>
      <c r="I44" s="678"/>
    </row>
    <row r="45" spans="2:9" ht="15.75">
      <c r="B45" s="694" t="s">
        <v>525</v>
      </c>
      <c r="C45" s="678"/>
      <c r="D45" s="678"/>
      <c r="E45" s="678"/>
      <c r="F45" s="678"/>
      <c r="G45" s="678"/>
      <c r="H45" s="678"/>
      <c r="I45" s="678"/>
    </row>
    <row r="46" spans="2:9" ht="15.75">
      <c r="B46" s="694" t="str">
        <f>CONCATENATE("sources in your ",G14," library fund is not equal to or greater than the amount from the same")</f>
        <v>sources in your 2013 library fund is not equal to or greater than the amount from the same</v>
      </c>
      <c r="C46" s="678"/>
      <c r="D46" s="678"/>
      <c r="E46" s="678"/>
      <c r="F46" s="678"/>
      <c r="G46" s="678"/>
      <c r="H46" s="678"/>
      <c r="I46" s="678"/>
    </row>
    <row r="47" spans="2:9" ht="15.75">
      <c r="B47" s="694" t="str">
        <f>CONCATENATE("sources in ",E14,".")</f>
        <v>sources in 2012.</v>
      </c>
      <c r="C47" s="676"/>
      <c r="D47" s="676"/>
      <c r="E47" s="676"/>
      <c r="F47" s="676"/>
      <c r="G47" s="676"/>
      <c r="H47" s="676"/>
      <c r="I47" s="676"/>
    </row>
    <row r="48" spans="2:9" ht="15.75">
      <c r="B48" s="676"/>
      <c r="C48" s="676"/>
      <c r="D48" s="676"/>
      <c r="E48" s="676"/>
      <c r="F48" s="676"/>
      <c r="G48" s="676"/>
      <c r="H48" s="676"/>
      <c r="I48" s="676"/>
    </row>
    <row r="49" spans="2:9" ht="15.75">
      <c r="B49" s="694" t="s">
        <v>526</v>
      </c>
      <c r="C49" s="694"/>
      <c r="D49" s="695"/>
      <c r="E49" s="695"/>
      <c r="F49" s="695"/>
      <c r="G49" s="695"/>
      <c r="H49" s="695"/>
      <c r="I49" s="695"/>
    </row>
    <row r="50" spans="2:9" ht="15.75">
      <c r="B50" s="694" t="s">
        <v>527</v>
      </c>
      <c r="C50" s="694"/>
      <c r="D50" s="695"/>
      <c r="E50" s="695"/>
      <c r="F50" s="695"/>
      <c r="G50" s="695"/>
      <c r="H50" s="695"/>
      <c r="I50" s="695"/>
    </row>
    <row r="51" spans="2:9" ht="15.75">
      <c r="B51" s="694" t="s">
        <v>528</v>
      </c>
      <c r="C51" s="694"/>
      <c r="D51" s="695"/>
      <c r="E51" s="695"/>
      <c r="F51" s="695"/>
      <c r="G51" s="695"/>
      <c r="H51" s="695"/>
      <c r="I51" s="695"/>
    </row>
    <row r="52" spans="2:9" ht="15">
      <c r="B52" s="695"/>
      <c r="C52" s="695"/>
      <c r="D52" s="695"/>
      <c r="E52" s="695"/>
      <c r="F52" s="695"/>
      <c r="G52" s="695"/>
      <c r="H52" s="695"/>
      <c r="I52" s="695"/>
    </row>
    <row r="53" spans="2:9" ht="15.75">
      <c r="B53" s="696" t="s">
        <v>529</v>
      </c>
      <c r="C53" s="695"/>
      <c r="D53" s="695"/>
      <c r="E53" s="695"/>
      <c r="F53" s="695"/>
      <c r="G53" s="695"/>
      <c r="H53" s="695"/>
      <c r="I53" s="695"/>
    </row>
    <row r="54" spans="2:9" ht="15">
      <c r="B54" s="695"/>
      <c r="C54" s="695"/>
      <c r="D54" s="695"/>
      <c r="E54" s="695"/>
      <c r="F54" s="695"/>
      <c r="G54" s="695"/>
      <c r="H54" s="695"/>
      <c r="I54" s="695"/>
    </row>
    <row r="55" spans="2:9" ht="15.75">
      <c r="B55" s="694" t="s">
        <v>530</v>
      </c>
      <c r="C55" s="695"/>
      <c r="D55" s="695"/>
      <c r="E55" s="695"/>
      <c r="F55" s="695"/>
      <c r="G55" s="695"/>
      <c r="H55" s="695"/>
      <c r="I55" s="695"/>
    </row>
    <row r="56" spans="2:9" ht="15.75">
      <c r="B56" s="694" t="s">
        <v>531</v>
      </c>
      <c r="C56" s="695"/>
      <c r="D56" s="695"/>
      <c r="E56" s="695"/>
      <c r="F56" s="695"/>
      <c r="G56" s="695"/>
      <c r="H56" s="695"/>
      <c r="I56" s="695"/>
    </row>
    <row r="57" spans="2:9" ht="15">
      <c r="B57" s="695"/>
      <c r="C57" s="695"/>
      <c r="D57" s="695"/>
      <c r="E57" s="695"/>
      <c r="F57" s="695"/>
      <c r="G57" s="695"/>
      <c r="H57" s="695"/>
      <c r="I57" s="695"/>
    </row>
    <row r="58" spans="2:9" ht="15.75">
      <c r="B58" s="696" t="s">
        <v>532</v>
      </c>
      <c r="C58" s="694"/>
      <c r="D58" s="694"/>
      <c r="E58" s="694"/>
      <c r="F58" s="694"/>
      <c r="G58" s="695"/>
      <c r="H58" s="695"/>
      <c r="I58" s="695"/>
    </row>
    <row r="59" spans="2:9" ht="15.75">
      <c r="B59" s="694"/>
      <c r="C59" s="694"/>
      <c r="D59" s="694"/>
      <c r="E59" s="694"/>
      <c r="F59" s="694"/>
      <c r="G59" s="695"/>
      <c r="H59" s="695"/>
      <c r="I59" s="695"/>
    </row>
    <row r="60" spans="2:9" ht="15.75">
      <c r="B60" s="694" t="s">
        <v>533</v>
      </c>
      <c r="C60" s="694"/>
      <c r="D60" s="694"/>
      <c r="E60" s="694"/>
      <c r="F60" s="694"/>
      <c r="G60" s="695"/>
      <c r="H60" s="695"/>
      <c r="I60" s="695"/>
    </row>
    <row r="61" spans="2:9" ht="15.75">
      <c r="B61" s="694" t="s">
        <v>534</v>
      </c>
      <c r="C61" s="694"/>
      <c r="D61" s="694"/>
      <c r="E61" s="694"/>
      <c r="F61" s="694"/>
      <c r="G61" s="695"/>
      <c r="H61" s="695"/>
      <c r="I61" s="695"/>
    </row>
    <row r="62" spans="2:9" ht="15.75">
      <c r="B62" s="694" t="s">
        <v>535</v>
      </c>
      <c r="C62" s="694"/>
      <c r="D62" s="694"/>
      <c r="E62" s="694"/>
      <c r="F62" s="694"/>
      <c r="G62" s="695"/>
      <c r="H62" s="695"/>
      <c r="I62" s="695"/>
    </row>
    <row r="63" spans="2:9" ht="15.75">
      <c r="B63" s="694" t="s">
        <v>536</v>
      </c>
      <c r="C63" s="694"/>
      <c r="D63" s="694"/>
      <c r="E63" s="694"/>
      <c r="F63" s="694"/>
      <c r="G63" s="695"/>
      <c r="H63" s="695"/>
      <c r="I63" s="695"/>
    </row>
    <row r="64" spans="2:9" ht="15">
      <c r="B64" s="697"/>
      <c r="C64" s="697"/>
      <c r="D64" s="697"/>
      <c r="E64" s="697"/>
      <c r="F64" s="697"/>
      <c r="G64" s="695"/>
      <c r="H64" s="695"/>
      <c r="I64" s="695"/>
    </row>
    <row r="65" spans="2:9" ht="15.75">
      <c r="B65" s="694" t="s">
        <v>537</v>
      </c>
      <c r="C65" s="697"/>
      <c r="D65" s="697"/>
      <c r="E65" s="697"/>
      <c r="F65" s="697"/>
      <c r="G65" s="695"/>
      <c r="H65" s="695"/>
      <c r="I65" s="695"/>
    </row>
    <row r="66" spans="2:9" ht="15.75">
      <c r="B66" s="694" t="s">
        <v>538</v>
      </c>
      <c r="C66" s="697"/>
      <c r="D66" s="697"/>
      <c r="E66" s="697"/>
      <c r="F66" s="697"/>
      <c r="G66" s="695"/>
      <c r="H66" s="695"/>
      <c r="I66" s="695"/>
    </row>
    <row r="67" spans="2:9" ht="15">
      <c r="B67" s="697"/>
      <c r="C67" s="697"/>
      <c r="D67" s="697"/>
      <c r="E67" s="697"/>
      <c r="F67" s="697"/>
      <c r="G67" s="695"/>
      <c r="H67" s="695"/>
      <c r="I67" s="695"/>
    </row>
    <row r="68" spans="2:9" ht="15.75">
      <c r="B68" s="694" t="s">
        <v>539</v>
      </c>
      <c r="C68" s="697"/>
      <c r="D68" s="697"/>
      <c r="E68" s="697"/>
      <c r="F68" s="697"/>
      <c r="G68" s="695"/>
      <c r="H68" s="695"/>
      <c r="I68" s="695"/>
    </row>
    <row r="69" spans="2:9" ht="15.75">
      <c r="B69" s="694" t="s">
        <v>540</v>
      </c>
      <c r="C69" s="697"/>
      <c r="D69" s="697"/>
      <c r="E69" s="697"/>
      <c r="F69" s="697"/>
      <c r="G69" s="695"/>
      <c r="H69" s="695"/>
      <c r="I69" s="695"/>
    </row>
    <row r="70" spans="2:9" ht="15">
      <c r="B70" s="697"/>
      <c r="C70" s="697"/>
      <c r="D70" s="697"/>
      <c r="E70" s="697"/>
      <c r="F70" s="697"/>
      <c r="G70" s="695"/>
      <c r="H70" s="695"/>
      <c r="I70" s="695"/>
    </row>
    <row r="71" spans="2:9" ht="15.75">
      <c r="B71" s="696" t="s">
        <v>541</v>
      </c>
      <c r="C71" s="697"/>
      <c r="D71" s="697"/>
      <c r="E71" s="697"/>
      <c r="F71" s="697"/>
      <c r="G71" s="695"/>
      <c r="H71" s="695"/>
      <c r="I71" s="695"/>
    </row>
    <row r="72" spans="2:9" ht="15">
      <c r="B72" s="697"/>
      <c r="C72" s="697"/>
      <c r="D72" s="697"/>
      <c r="E72" s="697"/>
      <c r="F72" s="697"/>
      <c r="G72" s="695"/>
      <c r="H72" s="695"/>
      <c r="I72" s="695"/>
    </row>
    <row r="73" spans="2:9" ht="15.75">
      <c r="B73" s="694" t="s">
        <v>542</v>
      </c>
      <c r="C73" s="697"/>
      <c r="D73" s="697"/>
      <c r="E73" s="697"/>
      <c r="F73" s="697"/>
      <c r="G73" s="695"/>
      <c r="H73" s="695"/>
      <c r="I73" s="695"/>
    </row>
    <row r="74" spans="2:9" ht="15.75">
      <c r="B74" s="694" t="s">
        <v>543</v>
      </c>
      <c r="C74" s="697"/>
      <c r="D74" s="697"/>
      <c r="E74" s="697"/>
      <c r="F74" s="697"/>
      <c r="G74" s="695"/>
      <c r="H74" s="695"/>
      <c r="I74" s="695"/>
    </row>
    <row r="75" spans="2:9" ht="15">
      <c r="B75" s="697"/>
      <c r="C75" s="697"/>
      <c r="D75" s="697"/>
      <c r="E75" s="697"/>
      <c r="F75" s="697"/>
      <c r="G75" s="695"/>
      <c r="H75" s="695"/>
      <c r="I75" s="695"/>
    </row>
    <row r="76" spans="2:9" ht="15.75">
      <c r="B76" s="696" t="s">
        <v>544</v>
      </c>
      <c r="C76" s="697"/>
      <c r="D76" s="697"/>
      <c r="E76" s="697"/>
      <c r="F76" s="697"/>
      <c r="G76" s="695"/>
      <c r="H76" s="695"/>
      <c r="I76" s="695"/>
    </row>
    <row r="77" spans="2:9" ht="15">
      <c r="B77" s="697"/>
      <c r="C77" s="697"/>
      <c r="D77" s="697"/>
      <c r="E77" s="697"/>
      <c r="F77" s="697"/>
      <c r="G77" s="695"/>
      <c r="H77" s="695"/>
      <c r="I77" s="695"/>
    </row>
    <row r="78" spans="2:9" ht="15.75">
      <c r="B78" s="694" t="str">
        <f>CONCATENATE("If the ",G14," municipal budget has not been published and has not been submitted to the County")</f>
        <v>If the 2013 municipal budget has not been published and has not been submitted to the County</v>
      </c>
      <c r="C78" s="697"/>
      <c r="D78" s="697"/>
      <c r="E78" s="697"/>
      <c r="F78" s="697"/>
      <c r="G78" s="695"/>
      <c r="H78" s="695"/>
      <c r="I78" s="695"/>
    </row>
    <row r="79" spans="2:9" ht="15.75">
      <c r="B79" s="694" t="s">
        <v>545</v>
      </c>
      <c r="C79" s="697"/>
      <c r="D79" s="697"/>
      <c r="E79" s="697"/>
      <c r="F79" s="697"/>
      <c r="G79" s="695"/>
      <c r="H79" s="695"/>
      <c r="I79" s="695"/>
    </row>
    <row r="80" spans="2:9" ht="15">
      <c r="B80" s="697"/>
      <c r="C80" s="697"/>
      <c r="D80" s="697"/>
      <c r="E80" s="697"/>
      <c r="F80" s="697"/>
      <c r="G80" s="695"/>
      <c r="H80" s="695"/>
      <c r="I80" s="695"/>
    </row>
    <row r="81" spans="2:9" ht="15.75">
      <c r="B81" s="696" t="s">
        <v>966</v>
      </c>
      <c r="C81" s="697"/>
      <c r="D81" s="697"/>
      <c r="E81" s="697"/>
      <c r="F81" s="697"/>
      <c r="G81" s="695"/>
      <c r="H81" s="695"/>
      <c r="I81" s="695"/>
    </row>
    <row r="82" spans="2:9" ht="15">
      <c r="B82" s="697"/>
      <c r="C82" s="697"/>
      <c r="D82" s="697"/>
      <c r="E82" s="697"/>
      <c r="F82" s="697"/>
      <c r="G82" s="695"/>
      <c r="H82" s="695"/>
      <c r="I82" s="695"/>
    </row>
    <row r="83" spans="2:9" ht="15.75">
      <c r="B83" s="694" t="s">
        <v>546</v>
      </c>
      <c r="C83" s="697"/>
      <c r="D83" s="697"/>
      <c r="E83" s="697"/>
      <c r="F83" s="697"/>
      <c r="G83" s="695"/>
      <c r="H83" s="695"/>
      <c r="I83" s="695"/>
    </row>
    <row r="84" spans="2:9" ht="15.75">
      <c r="B84" s="694" t="str">
        <f>CONCATENATE("Budget Year ",G14," is equal to or greater than that for Current Year Estimate ",E14,".")</f>
        <v>Budget Year 2013 is equal to or greater than that for Current Year Estimate 2012.</v>
      </c>
      <c r="C84" s="697"/>
      <c r="D84" s="697"/>
      <c r="E84" s="697"/>
      <c r="F84" s="697"/>
      <c r="G84" s="695"/>
      <c r="H84" s="695"/>
      <c r="I84" s="695"/>
    </row>
    <row r="85" spans="2:9" ht="15">
      <c r="B85" s="697"/>
      <c r="C85" s="697"/>
      <c r="D85" s="697"/>
      <c r="E85" s="697"/>
      <c r="F85" s="697"/>
      <c r="G85" s="695"/>
      <c r="H85" s="695"/>
      <c r="I85" s="695"/>
    </row>
    <row r="86" spans="2:9" ht="15.75">
      <c r="B86" s="694" t="s">
        <v>547</v>
      </c>
      <c r="C86" s="697"/>
      <c r="D86" s="697"/>
      <c r="E86" s="697"/>
      <c r="F86" s="697"/>
      <c r="G86" s="695"/>
      <c r="H86" s="695"/>
      <c r="I86" s="695"/>
    </row>
    <row r="87" spans="2:9" ht="15.75">
      <c r="B87" s="694" t="s">
        <v>548</v>
      </c>
      <c r="C87" s="697"/>
      <c r="D87" s="697"/>
      <c r="E87" s="697"/>
      <c r="F87" s="697"/>
      <c r="G87" s="695"/>
      <c r="H87" s="695"/>
      <c r="I87" s="695"/>
    </row>
    <row r="88" spans="2:9" ht="15.75">
      <c r="B88" s="694" t="s">
        <v>549</v>
      </c>
      <c r="C88" s="697"/>
      <c r="D88" s="697"/>
      <c r="E88" s="697"/>
      <c r="F88" s="697"/>
      <c r="G88" s="695"/>
      <c r="H88" s="695"/>
      <c r="I88" s="695"/>
    </row>
    <row r="89" spans="2:9" ht="15.75">
      <c r="B89" s="694" t="str">
        <f>CONCATENATE("purpose for the previous (",E14,") year.")</f>
        <v>purpose for the previous (2012) year.</v>
      </c>
      <c r="C89" s="697"/>
      <c r="D89" s="697"/>
      <c r="E89" s="697"/>
      <c r="F89" s="697"/>
      <c r="G89" s="695"/>
      <c r="H89" s="695"/>
      <c r="I89" s="695"/>
    </row>
    <row r="90" spans="2:9" ht="15">
      <c r="B90" s="697"/>
      <c r="C90" s="697"/>
      <c r="D90" s="697"/>
      <c r="E90" s="697"/>
      <c r="F90" s="697"/>
      <c r="G90" s="695"/>
      <c r="H90" s="695"/>
      <c r="I90" s="695"/>
    </row>
    <row r="91" spans="2:9" ht="15.75">
      <c r="B91" s="694" t="str">
        <f>CONCATENATE("Next, look to see if delinquent tax for ",G14," is budgeted. Often this line is budgeted at $0 or left")</f>
        <v>Next, look to see if delinquent tax for 2013 is budgeted. Often this line is budgeted at $0 or left</v>
      </c>
      <c r="C91" s="697"/>
      <c r="D91" s="697"/>
      <c r="E91" s="697"/>
      <c r="F91" s="697"/>
      <c r="G91" s="695"/>
      <c r="H91" s="695"/>
      <c r="I91" s="695"/>
    </row>
    <row r="92" spans="2:9" ht="15.75">
      <c r="B92" s="694" t="s">
        <v>550</v>
      </c>
      <c r="C92" s="697"/>
      <c r="D92" s="697"/>
      <c r="E92" s="697"/>
      <c r="F92" s="697"/>
      <c r="G92" s="695"/>
      <c r="H92" s="695"/>
      <c r="I92" s="695"/>
    </row>
    <row r="93" spans="2:9" ht="15.75">
      <c r="B93" s="694" t="s">
        <v>551</v>
      </c>
      <c r="C93" s="697"/>
      <c r="D93" s="697"/>
      <c r="E93" s="697"/>
      <c r="F93" s="697"/>
      <c r="G93" s="695"/>
      <c r="H93" s="695"/>
      <c r="I93" s="695"/>
    </row>
    <row r="94" spans="2:9" ht="15.75">
      <c r="B94" s="694" t="s">
        <v>552</v>
      </c>
      <c r="C94" s="697"/>
      <c r="D94" s="697"/>
      <c r="E94" s="697"/>
      <c r="F94" s="697"/>
      <c r="G94" s="695"/>
      <c r="H94" s="695"/>
      <c r="I94" s="695"/>
    </row>
    <row r="95" spans="2:9" ht="15">
      <c r="B95" s="697"/>
      <c r="C95" s="697"/>
      <c r="D95" s="697"/>
      <c r="E95" s="697"/>
      <c r="F95" s="697"/>
      <c r="G95" s="695"/>
      <c r="H95" s="695"/>
      <c r="I95" s="695"/>
    </row>
    <row r="96" spans="2:9" ht="15.75">
      <c r="B96" s="696" t="s">
        <v>553</v>
      </c>
      <c r="C96" s="697"/>
      <c r="D96" s="697"/>
      <c r="E96" s="697"/>
      <c r="F96" s="697"/>
      <c r="G96" s="695"/>
      <c r="H96" s="695"/>
      <c r="I96" s="695"/>
    </row>
    <row r="97" spans="2:9" ht="15">
      <c r="B97" s="697"/>
      <c r="C97" s="697"/>
      <c r="D97" s="697"/>
      <c r="E97" s="697"/>
      <c r="F97" s="697"/>
      <c r="G97" s="695"/>
      <c r="H97" s="695"/>
      <c r="I97" s="695"/>
    </row>
    <row r="98" spans="2:9" ht="15.75">
      <c r="B98" s="694" t="s">
        <v>554</v>
      </c>
      <c r="C98" s="697"/>
      <c r="D98" s="697"/>
      <c r="E98" s="697"/>
      <c r="F98" s="697"/>
      <c r="G98" s="695"/>
      <c r="H98" s="695"/>
      <c r="I98" s="695"/>
    </row>
    <row r="99" spans="2:9" ht="15.75">
      <c r="B99" s="694" t="s">
        <v>555</v>
      </c>
      <c r="C99" s="697"/>
      <c r="D99" s="697"/>
      <c r="E99" s="697"/>
      <c r="F99" s="697"/>
      <c r="G99" s="695"/>
      <c r="H99" s="695"/>
      <c r="I99" s="695"/>
    </row>
    <row r="100" spans="2:9" ht="15">
      <c r="B100" s="697"/>
      <c r="C100" s="697"/>
      <c r="D100" s="697"/>
      <c r="E100" s="697"/>
      <c r="F100" s="697"/>
      <c r="G100" s="695"/>
      <c r="H100" s="695"/>
      <c r="I100" s="695"/>
    </row>
    <row r="101" spans="2:9" ht="15.75">
      <c r="B101" s="694" t="s">
        <v>556</v>
      </c>
      <c r="C101" s="697"/>
      <c r="D101" s="697"/>
      <c r="E101" s="697"/>
      <c r="F101" s="697"/>
      <c r="G101" s="695"/>
      <c r="H101" s="695"/>
      <c r="I101" s="695"/>
    </row>
    <row r="102" spans="2:9" ht="15.75">
      <c r="B102" s="694" t="s">
        <v>557</v>
      </c>
      <c r="C102" s="697"/>
      <c r="D102" s="697"/>
      <c r="E102" s="697"/>
      <c r="F102" s="697"/>
      <c r="G102" s="695"/>
      <c r="H102" s="695"/>
      <c r="I102" s="695"/>
    </row>
    <row r="103" spans="2:9" ht="15.75">
      <c r="B103" s="694" t="s">
        <v>558</v>
      </c>
      <c r="C103" s="697"/>
      <c r="D103" s="697"/>
      <c r="E103" s="697"/>
      <c r="F103" s="697"/>
      <c r="G103" s="695"/>
      <c r="H103" s="695"/>
      <c r="I103" s="695"/>
    </row>
    <row r="104" spans="2:9" ht="15.75">
      <c r="B104" s="694" t="s">
        <v>559</v>
      </c>
      <c r="C104" s="697"/>
      <c r="D104" s="697"/>
      <c r="E104" s="697"/>
      <c r="F104" s="697"/>
      <c r="G104" s="695"/>
      <c r="H104" s="695"/>
      <c r="I104" s="695"/>
    </row>
    <row r="105" spans="2:9" ht="15.75">
      <c r="B105" s="734" t="s">
        <v>22</v>
      </c>
      <c r="C105" s="735"/>
      <c r="D105" s="735"/>
      <c r="E105" s="735"/>
      <c r="F105" s="735"/>
      <c r="G105" s="695"/>
      <c r="H105" s="695"/>
      <c r="I105" s="695"/>
    </row>
    <row r="108" ht="15">
      <c r="G108" s="698"/>
    </row>
  </sheetData>
  <sheetProtection/>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tabColor indexed="62"/>
    <pageSetUpPr fitToPage="1"/>
  </sheetPr>
  <dimension ref="B1:K133"/>
  <sheetViews>
    <sheetView zoomScaleSheetLayoutView="100" zoomScalePageLayoutView="0" workbookViewId="0" topLeftCell="A1">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20.09765625" style="45" bestFit="1"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c r="C3" s="47"/>
      <c r="D3" s="47"/>
      <c r="E3" s="136"/>
    </row>
    <row r="4" spans="2:5" ht="15.75">
      <c r="B4" s="388" t="s">
        <v>676</v>
      </c>
      <c r="C4" s="248"/>
      <c r="D4" s="248"/>
      <c r="E4" s="248"/>
    </row>
    <row r="5" spans="2:5" ht="15.75">
      <c r="B5" s="171" t="s">
        <v>609</v>
      </c>
      <c r="C5" s="709" t="s">
        <v>565</v>
      </c>
      <c r="D5" s="710" t="s">
        <v>566</v>
      </c>
      <c r="E5" s="144" t="s">
        <v>567</v>
      </c>
    </row>
    <row r="6" spans="2:5" ht="15.75">
      <c r="B6" s="531" t="str">
        <f>inputPrYr!B17</f>
        <v>General</v>
      </c>
      <c r="C6" s="223" t="str">
        <f>CONCATENATE("Actual for ",E1-2,"")</f>
        <v>Actual for 2011</v>
      </c>
      <c r="D6" s="223" t="str">
        <f>CONCATENATE("Estimate for ",E1-1,"")</f>
        <v>Estimate for 2012</v>
      </c>
      <c r="E6" s="208" t="str">
        <f>CONCATENATE("Year for ",E1,"")</f>
        <v>Year for 2013</v>
      </c>
    </row>
    <row r="7" spans="2:5" ht="15.75">
      <c r="B7" s="250" t="s">
        <v>731</v>
      </c>
      <c r="C7" s="251">
        <v>281718</v>
      </c>
      <c r="D7" s="253">
        <f>C112</f>
        <v>159341</v>
      </c>
      <c r="E7" s="226">
        <f>D112</f>
        <v>140823.68968515843</v>
      </c>
    </row>
    <row r="8" spans="2:5" ht="15.75">
      <c r="B8" s="254" t="s">
        <v>733</v>
      </c>
      <c r="C8" s="159"/>
      <c r="D8" s="159"/>
      <c r="E8" s="87"/>
    </row>
    <row r="9" spans="2:5" ht="15.75">
      <c r="B9" s="250" t="s">
        <v>610</v>
      </c>
      <c r="C9" s="255">
        <v>1587325</v>
      </c>
      <c r="D9" s="253">
        <v>1587900</v>
      </c>
      <c r="E9" s="257" t="s">
        <v>598</v>
      </c>
    </row>
    <row r="10" spans="2:5" ht="15.75">
      <c r="B10" s="250" t="s">
        <v>611</v>
      </c>
      <c r="C10" s="255">
        <v>86750</v>
      </c>
      <c r="D10" s="255">
        <v>75000</v>
      </c>
      <c r="E10" s="258">
        <v>75000</v>
      </c>
    </row>
    <row r="11" spans="2:5" ht="15.75">
      <c r="B11" s="250" t="s">
        <v>612</v>
      </c>
      <c r="C11" s="255">
        <v>233138</v>
      </c>
      <c r="D11" s="255">
        <v>245000</v>
      </c>
      <c r="E11" s="226">
        <f>mvalloc!D7</f>
        <v>229310</v>
      </c>
    </row>
    <row r="12" spans="2:5" ht="15.75">
      <c r="B12" s="250" t="s">
        <v>613</v>
      </c>
      <c r="C12" s="255">
        <v>4432</v>
      </c>
      <c r="D12" s="255">
        <v>4736</v>
      </c>
      <c r="E12" s="226">
        <f>mvalloc!E7</f>
        <v>4303</v>
      </c>
    </row>
    <row r="13" spans="2:5" ht="15.75">
      <c r="B13" s="250" t="s">
        <v>708</v>
      </c>
      <c r="C13" s="255">
        <v>409</v>
      </c>
      <c r="D13" s="255">
        <v>691</v>
      </c>
      <c r="E13" s="226">
        <f>mvalloc!F7</f>
        <v>462</v>
      </c>
    </row>
    <row r="14" spans="2:5" ht="15.75">
      <c r="B14" s="250" t="s">
        <v>709</v>
      </c>
      <c r="C14" s="255"/>
      <c r="D14" s="255"/>
      <c r="E14" s="226">
        <f>inputOth!E16</f>
        <v>0</v>
      </c>
    </row>
    <row r="15" spans="2:5" ht="15.75">
      <c r="B15" s="250" t="s">
        <v>780</v>
      </c>
      <c r="C15" s="255"/>
      <c r="D15" s="255"/>
      <c r="E15" s="226">
        <f>inputOth!E42</f>
        <v>0</v>
      </c>
    </row>
    <row r="16" spans="2:5" ht="15.75">
      <c r="B16" s="250" t="s">
        <v>781</v>
      </c>
      <c r="C16" s="255"/>
      <c r="D16" s="255"/>
      <c r="E16" s="226">
        <f>inputOth!E43</f>
        <v>0</v>
      </c>
    </row>
    <row r="17" spans="2:5" ht="15.75">
      <c r="B17" s="251"/>
      <c r="C17" s="255"/>
      <c r="D17" s="255"/>
      <c r="E17" s="258"/>
    </row>
    <row r="18" spans="2:5" ht="15.75">
      <c r="B18" s="251" t="s">
        <v>616</v>
      </c>
      <c r="C18" s="255"/>
      <c r="D18" s="255"/>
      <c r="E18" s="258"/>
    </row>
    <row r="19" spans="2:8" ht="15.75">
      <c r="B19" s="251" t="s">
        <v>614</v>
      </c>
      <c r="C19" s="255">
        <v>4953</v>
      </c>
      <c r="D19" s="255">
        <v>4600</v>
      </c>
      <c r="E19" s="258">
        <v>5439</v>
      </c>
      <c r="H19" s="45">
        <f>H22/H21</f>
        <v>0.09360859914531851</v>
      </c>
    </row>
    <row r="20" spans="2:8" ht="15.75">
      <c r="B20" s="533" t="s">
        <v>357</v>
      </c>
      <c r="C20" s="255">
        <v>128078</v>
      </c>
      <c r="D20" s="255">
        <v>131052</v>
      </c>
      <c r="E20" s="258">
        <v>131052</v>
      </c>
      <c r="H20" s="45">
        <f>C20/(C20+C21)</f>
        <v>0.09360859914531851</v>
      </c>
    </row>
    <row r="21" spans="2:8" ht="15.75">
      <c r="B21" s="532" t="s">
        <v>358</v>
      </c>
      <c r="C21" s="255">
        <f>1368229-C20</f>
        <v>1240151</v>
      </c>
      <c r="D21" s="255">
        <v>1268948</v>
      </c>
      <c r="E21" s="258">
        <v>1268948</v>
      </c>
      <c r="H21" s="738">
        <v>1400000</v>
      </c>
    </row>
    <row r="22" spans="2:8" ht="15.75">
      <c r="B22" s="532" t="s">
        <v>359</v>
      </c>
      <c r="C22" s="255">
        <v>613488</v>
      </c>
      <c r="D22" s="255">
        <v>615000</v>
      </c>
      <c r="E22" s="258">
        <v>618000</v>
      </c>
      <c r="H22" s="738">
        <f>H21*H20</f>
        <v>131052.03880344592</v>
      </c>
    </row>
    <row r="23" spans="2:8" ht="15.75">
      <c r="B23" s="532" t="s">
        <v>360</v>
      </c>
      <c r="C23" s="255">
        <v>39019</v>
      </c>
      <c r="D23" s="255">
        <v>44030</v>
      </c>
      <c r="E23" s="258">
        <v>49570</v>
      </c>
      <c r="H23" s="738">
        <f>H21*(1-H20)</f>
        <v>1268947.9611965541</v>
      </c>
    </row>
    <row r="24" spans="2:5" ht="15.75">
      <c r="B24" s="251" t="s">
        <v>91</v>
      </c>
      <c r="C24" s="255">
        <v>78515</v>
      </c>
      <c r="D24" s="255">
        <v>68000</v>
      </c>
      <c r="E24" s="258">
        <v>99500</v>
      </c>
    </row>
    <row r="25" spans="2:5" ht="15.75">
      <c r="B25" s="251" t="s">
        <v>92</v>
      </c>
      <c r="C25" s="255">
        <v>199815</v>
      </c>
      <c r="D25" s="255">
        <v>231450</v>
      </c>
      <c r="E25" s="258">
        <v>272950</v>
      </c>
    </row>
    <row r="26" spans="2:5" ht="15.75">
      <c r="B26" s="251" t="s">
        <v>93</v>
      </c>
      <c r="C26" s="255">
        <v>242205</v>
      </c>
      <c r="D26" s="255">
        <v>249003</v>
      </c>
      <c r="E26" s="258">
        <v>262095</v>
      </c>
    </row>
    <row r="27" spans="2:5" ht="15.75">
      <c r="B27" s="251" t="s">
        <v>94</v>
      </c>
      <c r="C27" s="255">
        <v>6547</v>
      </c>
      <c r="D27" s="255">
        <v>8882</v>
      </c>
      <c r="E27" s="258">
        <v>9000</v>
      </c>
    </row>
    <row r="28" spans="2:5" ht="15.75">
      <c r="B28" s="251" t="s">
        <v>95</v>
      </c>
      <c r="C28" s="255">
        <v>78731</v>
      </c>
      <c r="D28" s="255">
        <v>70674.89497595037</v>
      </c>
      <c r="E28" s="258">
        <v>82445</v>
      </c>
    </row>
    <row r="29" spans="2:5" ht="15.75">
      <c r="B29" s="251" t="s">
        <v>96</v>
      </c>
      <c r="C29" s="255">
        <v>91813</v>
      </c>
      <c r="D29" s="255">
        <v>90529.40725669455</v>
      </c>
      <c r="E29" s="258">
        <v>101860</v>
      </c>
    </row>
    <row r="30" spans="2:5" ht="15.75">
      <c r="B30" s="251" t="s">
        <v>97</v>
      </c>
      <c r="C30" s="255">
        <v>55214</v>
      </c>
      <c r="D30" s="255">
        <v>49664.66871617807</v>
      </c>
      <c r="E30" s="258">
        <v>58154</v>
      </c>
    </row>
    <row r="31" spans="2:5" ht="15.75">
      <c r="B31" s="251" t="s">
        <v>98</v>
      </c>
      <c r="C31" s="255">
        <v>7861</v>
      </c>
      <c r="D31" s="255">
        <v>7639.718736335999</v>
      </c>
      <c r="E31" s="258">
        <v>7880</v>
      </c>
    </row>
    <row r="32" spans="2:5" ht="15.75">
      <c r="B32" s="251"/>
      <c r="C32" s="255"/>
      <c r="D32" s="255"/>
      <c r="E32" s="258"/>
    </row>
    <row r="33" spans="2:5" ht="15.75">
      <c r="B33" s="251"/>
      <c r="C33" s="255"/>
      <c r="D33" s="255"/>
      <c r="E33" s="258"/>
    </row>
    <row r="34" spans="2:5" ht="15.75">
      <c r="B34" s="251"/>
      <c r="C34" s="255"/>
      <c r="D34" s="255"/>
      <c r="E34" s="258"/>
    </row>
    <row r="35" spans="2:5" ht="15.75">
      <c r="B35" s="251"/>
      <c r="C35" s="255"/>
      <c r="D35" s="255"/>
      <c r="E35" s="258"/>
    </row>
    <row r="36" spans="2:5" ht="15.75">
      <c r="B36" s="251"/>
      <c r="C36" s="255"/>
      <c r="D36" s="255"/>
      <c r="E36" s="258"/>
    </row>
    <row r="37" spans="2:5" ht="15.75">
      <c r="B37" s="251"/>
      <c r="C37" s="255"/>
      <c r="D37" s="255"/>
      <c r="E37" s="258"/>
    </row>
    <row r="38" spans="2:5" ht="15.75">
      <c r="B38" s="251"/>
      <c r="C38" s="255"/>
      <c r="D38" s="255"/>
      <c r="E38" s="258"/>
    </row>
    <row r="39" spans="2:5" ht="15.75">
      <c r="B39" s="251"/>
      <c r="C39" s="255"/>
      <c r="D39" s="255"/>
      <c r="E39" s="258"/>
    </row>
    <row r="40" spans="2:5" ht="15.75">
      <c r="B40" s="251"/>
      <c r="C40" s="255"/>
      <c r="D40" s="255"/>
      <c r="E40" s="258"/>
    </row>
    <row r="41" spans="2:5" ht="15.75">
      <c r="B41" s="251"/>
      <c r="C41" s="255"/>
      <c r="D41" s="255"/>
      <c r="E41" s="258"/>
    </row>
    <row r="42" spans="2:5" ht="15.75">
      <c r="B42" s="251"/>
      <c r="C42" s="255"/>
      <c r="D42" s="255"/>
      <c r="E42" s="258"/>
    </row>
    <row r="43" spans="2:5" ht="15.75">
      <c r="B43" s="251"/>
      <c r="C43" s="255"/>
      <c r="D43" s="255"/>
      <c r="E43" s="258"/>
    </row>
    <row r="44" spans="2:5" ht="15.75">
      <c r="B44" s="251"/>
      <c r="C44" s="255"/>
      <c r="D44" s="255"/>
      <c r="E44" s="258"/>
    </row>
    <row r="45" spans="2:5" ht="15.75">
      <c r="B45" s="251"/>
      <c r="C45" s="255"/>
      <c r="D45" s="255"/>
      <c r="E45" s="258"/>
    </row>
    <row r="46" spans="2:5" ht="15.75">
      <c r="B46" s="251"/>
      <c r="C46" s="255"/>
      <c r="D46" s="255"/>
      <c r="E46" s="258"/>
    </row>
    <row r="47" spans="2:5" ht="15.75">
      <c r="B47" s="251"/>
      <c r="C47" s="255"/>
      <c r="D47" s="255"/>
      <c r="E47" s="258"/>
    </row>
    <row r="48" spans="2:5" ht="15.75">
      <c r="B48" s="251"/>
      <c r="C48" s="255"/>
      <c r="D48" s="255"/>
      <c r="E48" s="258"/>
    </row>
    <row r="49" spans="2:5" ht="15.75">
      <c r="B49" s="251"/>
      <c r="C49" s="255"/>
      <c r="D49" s="255"/>
      <c r="E49" s="258"/>
    </row>
    <row r="50" spans="2:5" ht="15.75">
      <c r="B50" s="251"/>
      <c r="C50" s="255"/>
      <c r="D50" s="255"/>
      <c r="E50" s="258"/>
    </row>
    <row r="51" spans="2:5" ht="15.75">
      <c r="B51" s="251"/>
      <c r="C51" s="255"/>
      <c r="D51" s="255"/>
      <c r="E51" s="258"/>
    </row>
    <row r="52" spans="2:5" ht="15.75">
      <c r="B52" s="251" t="s">
        <v>615</v>
      </c>
      <c r="C52" s="255"/>
      <c r="D52" s="255"/>
      <c r="E52" s="258"/>
    </row>
    <row r="53" spans="2:5" ht="15.75">
      <c r="B53" s="259" t="s">
        <v>617</v>
      </c>
      <c r="C53" s="255">
        <v>3031</v>
      </c>
      <c r="D53" s="255">
        <v>2500</v>
      </c>
      <c r="E53" s="258">
        <v>3000</v>
      </c>
    </row>
    <row r="54" spans="2:5" ht="15.75">
      <c r="B54" s="159" t="s">
        <v>472</v>
      </c>
      <c r="C54" s="255">
        <v>35364</v>
      </c>
      <c r="D54" s="255">
        <v>29936</v>
      </c>
      <c r="E54" s="258">
        <v>30725</v>
      </c>
    </row>
    <row r="55" spans="2:5" ht="15.75">
      <c r="B55" s="250" t="s">
        <v>373</v>
      </c>
      <c r="C55" s="260">
        <f>IF(C56*0.1&lt;C54,"Exceed 10% Rule","")</f>
      </c>
      <c r="D55" s="260">
        <f>IF(D56*0.1&lt;D54,"Exceed 10% Rule","")</f>
      </c>
      <c r="E55" s="297">
        <f>IF(E56*0.1+E118&lt;E54,"Exceed 10% Rule","")</f>
      </c>
    </row>
    <row r="56" spans="2:5" ht="15.75">
      <c r="B56" s="262" t="s">
        <v>618</v>
      </c>
      <c r="C56" s="264">
        <f>SUM(C9:C54)</f>
        <v>4736839</v>
      </c>
      <c r="D56" s="264">
        <f>SUM(D9:D54)</f>
        <v>4785236.689685158</v>
      </c>
      <c r="E56" s="265">
        <f>SUM(E10:E54)</f>
        <v>3309693</v>
      </c>
    </row>
    <row r="57" spans="2:5" ht="15.75">
      <c r="B57" s="262" t="s">
        <v>619</v>
      </c>
      <c r="C57" s="264">
        <f>C7+C56</f>
        <v>5018557</v>
      </c>
      <c r="D57" s="264">
        <f>D7+D56</f>
        <v>4944577.689685158</v>
      </c>
      <c r="E57" s="265">
        <f>E7+E56</f>
        <v>3450516.6896851584</v>
      </c>
    </row>
    <row r="58" spans="2:5" ht="15.75">
      <c r="B58" s="47"/>
      <c r="C58" s="47"/>
      <c r="D58" s="47"/>
      <c r="E58" s="47"/>
    </row>
    <row r="59" spans="2:5" ht="15.75">
      <c r="B59" s="136" t="s">
        <v>628</v>
      </c>
      <c r="C59" s="171">
        <f>IF(inputPrYr!D19&gt;0,8,7)</f>
        <v>8</v>
      </c>
      <c r="D59" s="172"/>
      <c r="E59" s="172"/>
    </row>
    <row r="60" spans="2:5" ht="15.75">
      <c r="B60" s="172"/>
      <c r="C60" s="172"/>
      <c r="D60" s="172"/>
      <c r="E60" s="172"/>
    </row>
    <row r="61" spans="2:5" ht="15.75">
      <c r="B61" s="197" t="str">
        <f>inputPrYr!D2</f>
        <v>City of Haysville</v>
      </c>
      <c r="C61" s="47"/>
      <c r="D61" s="47"/>
      <c r="E61" s="169"/>
    </row>
    <row r="62" spans="2:5" ht="15.75">
      <c r="B62" s="47"/>
      <c r="C62" s="47"/>
      <c r="D62" s="47"/>
      <c r="E62" s="136"/>
    </row>
    <row r="63" spans="2:5" ht="15.75">
      <c r="B63" s="266" t="s">
        <v>675</v>
      </c>
      <c r="C63" s="219"/>
      <c r="D63" s="219"/>
      <c r="E63" s="219"/>
    </row>
    <row r="64" spans="2:5" ht="15.75">
      <c r="B64" s="47" t="s">
        <v>609</v>
      </c>
      <c r="C64" s="709" t="s">
        <v>565</v>
      </c>
      <c r="D64" s="710" t="s">
        <v>566</v>
      </c>
      <c r="E64" s="144" t="s">
        <v>567</v>
      </c>
    </row>
    <row r="65" spans="2:5" ht="15.75">
      <c r="B65" s="77" t="str">
        <f>inputPrYr!B17</f>
        <v>General</v>
      </c>
      <c r="C65" s="223" t="str">
        <f>CONCATENATE("Actual for ",E1-2,"")</f>
        <v>Actual for 2011</v>
      </c>
      <c r="D65" s="223" t="str">
        <f>CONCATENATE("Estimate for ",E1-1,"")</f>
        <v>Estimate for 2012</v>
      </c>
      <c r="E65" s="208" t="str">
        <f>CONCATENATE("Year for ",E1,"")</f>
        <v>Year for 2013</v>
      </c>
    </row>
    <row r="66" spans="2:5" ht="15.75">
      <c r="B66" s="267" t="s">
        <v>619</v>
      </c>
      <c r="C66" s="253">
        <f>C57</f>
        <v>5018557</v>
      </c>
      <c r="D66" s="253">
        <f>D57</f>
        <v>4944577.689685158</v>
      </c>
      <c r="E66" s="226">
        <f>E57</f>
        <v>3450516.6896851584</v>
      </c>
    </row>
    <row r="67" spans="2:5" ht="15.75">
      <c r="B67" s="254" t="s">
        <v>621</v>
      </c>
      <c r="C67" s="159"/>
      <c r="D67" s="159"/>
      <c r="E67" s="87"/>
    </row>
    <row r="68" spans="2:6" ht="15.75">
      <c r="B68" s="250" t="str">
        <f>GenDetail!A7</f>
        <v>City Clerk</v>
      </c>
      <c r="C68" s="268">
        <f>GenDetail!B10</f>
        <v>161106</v>
      </c>
      <c r="D68" s="268">
        <f>GenDetail!C10</f>
        <v>146821</v>
      </c>
      <c r="E68" s="82">
        <f>GenDetail!D10</f>
        <v>125007</v>
      </c>
      <c r="F68" s="269"/>
    </row>
    <row r="69" spans="2:6" ht="15.75">
      <c r="B69" s="250" t="str">
        <f>GenDetail!A11</f>
        <v>Police</v>
      </c>
      <c r="C69" s="268">
        <f>GenDetail!B15</f>
        <v>1474304</v>
      </c>
      <c r="D69" s="268">
        <f>GenDetail!C15</f>
        <v>1473715</v>
      </c>
      <c r="E69" s="82">
        <f>GenDetail!D15</f>
        <v>1495449</v>
      </c>
      <c r="F69" s="269"/>
    </row>
    <row r="70" spans="2:5" ht="15.75">
      <c r="B70" s="250" t="str">
        <f>GenDetail!A16</f>
        <v>Park</v>
      </c>
      <c r="C70" s="268">
        <f>GenDetail!B21</f>
        <v>195136</v>
      </c>
      <c r="D70" s="268">
        <f>GenDetail!C21</f>
        <v>198023</v>
      </c>
      <c r="E70" s="82">
        <f>GenDetail!D21</f>
        <v>209351</v>
      </c>
    </row>
    <row r="71" spans="2:5" ht="15.75">
      <c r="B71" s="250" t="str">
        <f>GenDetail!A22</f>
        <v>Planning</v>
      </c>
      <c r="C71" s="268">
        <f>GenDetail!B25</f>
        <v>32889</v>
      </c>
      <c r="D71" s="268">
        <f>GenDetail!C25</f>
        <v>34821</v>
      </c>
      <c r="E71" s="82">
        <f>GenDetail!D25</f>
        <v>35709</v>
      </c>
    </row>
    <row r="72" spans="2:5" ht="15.75">
      <c r="B72" s="250" t="str">
        <f>GenDetail!A26</f>
        <v>Municipal Court</v>
      </c>
      <c r="C72" s="268">
        <f>GenDetail!B29</f>
        <v>153751</v>
      </c>
      <c r="D72" s="268">
        <f>GenDetail!C29</f>
        <v>169533</v>
      </c>
      <c r="E72" s="82">
        <f>GenDetail!D29</f>
        <v>182117</v>
      </c>
    </row>
    <row r="73" spans="2:5" ht="15.75">
      <c r="B73" s="250" t="str">
        <f>GenDetail!A30</f>
        <v>Street Lights</v>
      </c>
      <c r="C73" s="268">
        <f>GenDetail!B32</f>
        <v>76849</v>
      </c>
      <c r="D73" s="268">
        <f>GenDetail!C32</f>
        <v>79160</v>
      </c>
      <c r="E73" s="82">
        <f>GenDetail!D32</f>
        <v>81345</v>
      </c>
    </row>
    <row r="74" spans="2:5" ht="15.75">
      <c r="B74" s="250" t="str">
        <f>GenDetail!A33</f>
        <v>Buildings &amp; Grounds</v>
      </c>
      <c r="C74" s="268">
        <f>GenDetail!B38</f>
        <v>78264</v>
      </c>
      <c r="D74" s="268">
        <f>GenDetail!C38</f>
        <v>72179</v>
      </c>
      <c r="E74" s="82">
        <f>GenDetail!D38</f>
        <v>68707</v>
      </c>
    </row>
    <row r="75" spans="2:5" ht="15.75">
      <c r="B75" s="250" t="str">
        <f>GenDetail!A39</f>
        <v>Special Funds</v>
      </c>
      <c r="C75" s="268">
        <f>GenDetail!B43</f>
        <v>279866</v>
      </c>
      <c r="D75" s="268">
        <f>GenDetail!C43</f>
        <v>255767</v>
      </c>
      <c r="E75" s="82">
        <f>GenDetail!D43</f>
        <v>281371</v>
      </c>
    </row>
    <row r="76" spans="2:5" ht="15.75">
      <c r="B76" s="250" t="str">
        <f>GenDetail!A55</f>
        <v>Senior Center</v>
      </c>
      <c r="C76" s="268">
        <f>GenDetail!B58</f>
        <v>21208</v>
      </c>
      <c r="D76" s="268">
        <f>GenDetail!C58</f>
        <v>24586</v>
      </c>
      <c r="E76" s="82">
        <f>GenDetail!D58</f>
        <v>22945</v>
      </c>
    </row>
    <row r="77" spans="2:5" ht="15.75">
      <c r="B77" s="250" t="str">
        <f>GenDetail!A59</f>
        <v>Governmental Services</v>
      </c>
      <c r="C77" s="268">
        <f>GenDetail!B62</f>
        <v>207128</v>
      </c>
      <c r="D77" s="268">
        <f>GenDetail!C62</f>
        <v>221570</v>
      </c>
      <c r="E77" s="82">
        <f>GenDetail!D62</f>
        <v>205373</v>
      </c>
    </row>
    <row r="78" spans="2:5" ht="15.75">
      <c r="B78" s="250" t="str">
        <f>GenDetail!A63</f>
        <v>Inspection</v>
      </c>
      <c r="C78" s="268">
        <f>GenDetail!B66</f>
        <v>70066</v>
      </c>
      <c r="D78" s="268">
        <f>GenDetail!C66</f>
        <v>64623</v>
      </c>
      <c r="E78" s="82">
        <f>GenDetail!D66</f>
        <v>87075</v>
      </c>
    </row>
    <row r="79" spans="2:5" ht="15.75">
      <c r="B79" s="250" t="str">
        <f>GenDetail!A67</f>
        <v>Information Systems</v>
      </c>
      <c r="C79" s="268">
        <f>GenDetail!B71</f>
        <v>43393</v>
      </c>
      <c r="D79" s="268">
        <f>GenDetail!C71</f>
        <v>39691</v>
      </c>
      <c r="E79" s="82">
        <f>GenDetail!D71</f>
        <v>40144</v>
      </c>
    </row>
    <row r="80" spans="2:5" ht="15.75">
      <c r="B80" s="250" t="str">
        <f>GenDetail!A72</f>
        <v>Media Specialist</v>
      </c>
      <c r="C80" s="268">
        <f>GenDetail!B75</f>
        <v>22018</v>
      </c>
      <c r="D80" s="268">
        <f>GenDetail!C75</f>
        <v>19259</v>
      </c>
      <c r="E80" s="82">
        <f>GenDetail!D75</f>
        <v>20079</v>
      </c>
    </row>
    <row r="81" spans="2:5" ht="15.75">
      <c r="B81" s="250" t="str">
        <f>GenDetail!A76</f>
        <v>Employee Benefits</v>
      </c>
      <c r="C81" s="268">
        <f>GenDetail!B78</f>
        <v>1119774</v>
      </c>
      <c r="D81" s="268">
        <f>GenDetail!C78</f>
        <v>1142022</v>
      </c>
      <c r="E81" s="82">
        <f>GenDetail!D78</f>
        <v>1151842</v>
      </c>
    </row>
    <row r="82" spans="2:5" ht="15.75">
      <c r="B82" s="250" t="str">
        <f>GenDetail!A79</f>
        <v>Miscellaneous Funds</v>
      </c>
      <c r="C82" s="268">
        <f>GenDetail!B85</f>
        <v>239348</v>
      </c>
      <c r="D82" s="268">
        <f>GenDetail!C85</f>
        <v>161984</v>
      </c>
      <c r="E82" s="82">
        <f>GenDetail!D85</f>
        <v>385323</v>
      </c>
    </row>
    <row r="83" spans="2:5" ht="15.75">
      <c r="B83" s="250"/>
      <c r="C83" s="268"/>
      <c r="D83" s="268"/>
      <c r="E83" s="82"/>
    </row>
    <row r="84" spans="2:5" ht="15.75">
      <c r="B84" s="270" t="s">
        <v>247</v>
      </c>
      <c r="C84" s="376">
        <f>SUM(C68:C83)</f>
        <v>4175100</v>
      </c>
      <c r="D84" s="376">
        <f>SUM(D68:D83)</f>
        <v>4103754</v>
      </c>
      <c r="E84" s="285">
        <f>SUM(E68:E83)</f>
        <v>4391837</v>
      </c>
    </row>
    <row r="85" spans="2:5" ht="15.75">
      <c r="B85" s="259" t="s">
        <v>997</v>
      </c>
      <c r="C85" s="255">
        <v>684116</v>
      </c>
      <c r="D85" s="255">
        <v>700000</v>
      </c>
      <c r="E85" s="258">
        <v>700000</v>
      </c>
    </row>
    <row r="86" spans="2:5" ht="15.75">
      <c r="B86" s="259"/>
      <c r="C86" s="255"/>
      <c r="D86" s="255"/>
      <c r="E86" s="258"/>
    </row>
    <row r="87" spans="2:5" ht="15.75">
      <c r="B87" s="259"/>
      <c r="C87" s="255"/>
      <c r="D87" s="255"/>
      <c r="E87" s="258"/>
    </row>
    <row r="88" spans="2:5" ht="15.75">
      <c r="B88" s="259"/>
      <c r="C88" s="255"/>
      <c r="D88" s="255"/>
      <c r="E88" s="258"/>
    </row>
    <row r="89" spans="2:5" ht="15.75">
      <c r="B89" s="259"/>
      <c r="C89" s="255"/>
      <c r="D89" s="255"/>
      <c r="E89" s="258"/>
    </row>
    <row r="90" spans="2:5" ht="15.75">
      <c r="B90" s="259"/>
      <c r="C90" s="255"/>
      <c r="D90" s="255"/>
      <c r="E90" s="258"/>
    </row>
    <row r="91" spans="2:5" ht="15.75">
      <c r="B91" s="271"/>
      <c r="C91" s="255"/>
      <c r="D91" s="255"/>
      <c r="E91" s="258"/>
    </row>
    <row r="92" spans="2:5" ht="15.75">
      <c r="B92" s="271"/>
      <c r="C92" s="255"/>
      <c r="D92" s="255"/>
      <c r="E92" s="258"/>
    </row>
    <row r="93" spans="2:5" ht="15.75">
      <c r="B93" s="271"/>
      <c r="C93" s="255"/>
      <c r="D93" s="255"/>
      <c r="E93" s="258"/>
    </row>
    <row r="94" spans="2:5" ht="15.75">
      <c r="B94" s="271"/>
      <c r="C94" s="255"/>
      <c r="D94" s="255"/>
      <c r="E94" s="258"/>
    </row>
    <row r="95" spans="2:5" ht="15.75">
      <c r="B95" s="271"/>
      <c r="C95" s="255"/>
      <c r="D95" s="255"/>
      <c r="E95" s="258"/>
    </row>
    <row r="96" spans="2:5" ht="15.75">
      <c r="B96" s="271"/>
      <c r="C96" s="255"/>
      <c r="D96" s="255"/>
      <c r="E96" s="258"/>
    </row>
    <row r="97" spans="2:5" ht="15.75">
      <c r="B97" s="271"/>
      <c r="C97" s="255"/>
      <c r="D97" s="255"/>
      <c r="E97" s="258"/>
    </row>
    <row r="98" spans="2:5" ht="15.75">
      <c r="B98" s="271"/>
      <c r="C98" s="255"/>
      <c r="D98" s="255"/>
      <c r="E98" s="258"/>
    </row>
    <row r="99" spans="2:5" ht="15.75">
      <c r="B99" s="271"/>
      <c r="C99" s="255"/>
      <c r="D99" s="255"/>
      <c r="E99" s="258"/>
    </row>
    <row r="100" spans="2:5" ht="15.75">
      <c r="B100" s="271"/>
      <c r="C100" s="255"/>
      <c r="D100" s="255"/>
      <c r="E100" s="258"/>
    </row>
    <row r="101" spans="2:5" ht="15.75">
      <c r="B101" s="271"/>
      <c r="C101" s="255"/>
      <c r="D101" s="255"/>
      <c r="E101" s="258"/>
    </row>
    <row r="102" spans="2:10" ht="15.75">
      <c r="B102" s="271"/>
      <c r="C102" s="255"/>
      <c r="D102" s="255"/>
      <c r="E102" s="258"/>
      <c r="G102" s="792" t="str">
        <f>CONCATENATE("Desired Carryover Into ",E1+1,"")</f>
        <v>Desired Carryover Into 2014</v>
      </c>
      <c r="H102" s="793"/>
      <c r="I102" s="793"/>
      <c r="J102" s="794"/>
    </row>
    <row r="103" spans="2:10" ht="15.75">
      <c r="B103" s="271"/>
      <c r="C103" s="255"/>
      <c r="D103" s="255"/>
      <c r="E103" s="258"/>
      <c r="G103" s="538"/>
      <c r="H103" s="535"/>
      <c r="I103" s="535"/>
      <c r="J103" s="539"/>
    </row>
    <row r="104" spans="2:10" ht="15.75">
      <c r="B104" s="271"/>
      <c r="C104" s="255"/>
      <c r="D104" s="255"/>
      <c r="E104" s="258"/>
      <c r="G104" s="549" t="s">
        <v>361</v>
      </c>
      <c r="H104" s="543"/>
      <c r="I104" s="543"/>
      <c r="J104" s="537"/>
    </row>
    <row r="105" spans="2:10" ht="15.75">
      <c r="B105" s="271"/>
      <c r="C105" s="255"/>
      <c r="D105" s="255"/>
      <c r="E105" s="258"/>
      <c r="G105" s="553" t="s">
        <v>362</v>
      </c>
      <c r="H105" s="534"/>
      <c r="I105" s="536"/>
      <c r="J105" s="552">
        <f>IF(J104=0,"",ROUND((J104+E118-G117)/inputOth!E7*1000,3)-general!G122)</f>
      </c>
    </row>
    <row r="106" spans="2:10" ht="15.75">
      <c r="B106" s="271"/>
      <c r="C106" s="255"/>
      <c r="D106" s="255"/>
      <c r="E106" s="258"/>
      <c r="G106" s="621" t="str">
        <f>CONCATENATE("",E1," Total Expenditures Must Be:")</f>
        <v>2013 Total Expenditures Must Be:</v>
      </c>
      <c r="H106" s="622"/>
      <c r="I106" s="623"/>
      <c r="J106" s="551">
        <f>IF(J104&gt;0,IF(E115&lt;E57,IF(J104=G117,E115,((J104-G117)*(1-D117))+E57),E115+(J104-G117)),0)</f>
        <v>0</v>
      </c>
    </row>
    <row r="107" spans="2:10" ht="15.75">
      <c r="B107" s="271"/>
      <c r="C107" s="255"/>
      <c r="D107" s="255"/>
      <c r="E107" s="258"/>
      <c r="G107" s="625" t="s">
        <v>438</v>
      </c>
      <c r="H107" s="626"/>
      <c r="I107" s="627"/>
      <c r="J107" s="659">
        <f>IF(J104&gt;0,J106-E115,0)</f>
        <v>0</v>
      </c>
    </row>
    <row r="108" spans="2:5" ht="15.75">
      <c r="B108" s="272" t="s">
        <v>471</v>
      </c>
      <c r="C108" s="255"/>
      <c r="D108" s="255"/>
      <c r="E108" s="273">
        <f>nhood!E6</f>
      </c>
    </row>
    <row r="109" spans="2:10" ht="15.75">
      <c r="B109" s="272" t="s">
        <v>472</v>
      </c>
      <c r="C109" s="255"/>
      <c r="D109" s="255"/>
      <c r="E109" s="258"/>
      <c r="G109" s="792" t="str">
        <f>CONCATENATE("Projected Carryover Into ",E1+1,"")</f>
        <v>Projected Carryover Into 2014</v>
      </c>
      <c r="H109" s="801"/>
      <c r="I109" s="801"/>
      <c r="J109" s="802"/>
    </row>
    <row r="110" spans="2:10" ht="15.75">
      <c r="B110" s="272" t="s">
        <v>374</v>
      </c>
      <c r="C110" s="260">
        <f>IF(C111*0.1&lt;C109,"Exceed 10% Rule","")</f>
      </c>
      <c r="D110" s="260">
        <f>IF(D111*0.1&lt;D109,"Exceed 10% Rule","")</f>
      </c>
      <c r="E110" s="297">
        <f>IF(E111*0.1&lt;E109,"Exceed 10% Rule","")</f>
      </c>
      <c r="G110" s="538"/>
      <c r="H110" s="535"/>
      <c r="I110" s="535"/>
      <c r="J110" s="539"/>
    </row>
    <row r="111" spans="2:10" ht="15.75">
      <c r="B111" s="262" t="s">
        <v>625</v>
      </c>
      <c r="C111" s="264">
        <f>SUM(C84:C109)</f>
        <v>4859216</v>
      </c>
      <c r="D111" s="264">
        <f>SUM(D84:D109)</f>
        <v>4803754</v>
      </c>
      <c r="E111" s="265">
        <f>SUM(E84:E109)</f>
        <v>5091837</v>
      </c>
      <c r="G111" s="540">
        <f>D112</f>
        <v>140823.68968515843</v>
      </c>
      <c r="H111" s="541" t="str">
        <f>CONCATENATE("",E1-1," Ending Cash Balance (est.)")</f>
        <v>2012 Ending Cash Balance (est.)</v>
      </c>
      <c r="I111" s="542"/>
      <c r="J111" s="539"/>
    </row>
    <row r="112" spans="2:10" ht="15.75">
      <c r="B112" s="150" t="s">
        <v>732</v>
      </c>
      <c r="C112" s="268">
        <f>C57-C111</f>
        <v>159341</v>
      </c>
      <c r="D112" s="268">
        <f>D57-D111</f>
        <v>140823.68968515843</v>
      </c>
      <c r="E112" s="257" t="s">
        <v>598</v>
      </c>
      <c r="G112" s="540">
        <f>E56</f>
        <v>3309693</v>
      </c>
      <c r="H112" s="543" t="str">
        <f>CONCATENATE("",E1," Non-AV Receipts (est.)")</f>
        <v>2013 Non-AV Receipts (est.)</v>
      </c>
      <c r="I112" s="542"/>
      <c r="J112" s="539"/>
    </row>
    <row r="113" spans="2:11" ht="15.75">
      <c r="B113" s="136" t="str">
        <f>CONCATENATE("",E1-2,"/",E1-1," Budget Authority Amount:")</f>
        <v>2011/2012 Budget Authority Amount:</v>
      </c>
      <c r="C113" s="239">
        <f>inputOth!B60</f>
        <v>5078958</v>
      </c>
      <c r="D113" s="239">
        <f>inputPrYr!D17</f>
        <v>5035376</v>
      </c>
      <c r="E113" s="257" t="s">
        <v>598</v>
      </c>
      <c r="F113" s="274"/>
      <c r="G113" s="544">
        <f>IF(E117&gt;0,E116,E118)</f>
        <v>1641320.3103148416</v>
      </c>
      <c r="H113" s="543" t="str">
        <f>CONCATENATE("",E1," Ad Valorem Tax (est.)")</f>
        <v>2013 Ad Valorem Tax (est.)</v>
      </c>
      <c r="I113" s="542"/>
      <c r="J113" s="539"/>
      <c r="K113" s="639" t="str">
        <f>IF(G113=E118,"","Note: Does not include Delinquent Taxes")</f>
        <v>Note: Does not include Delinquent Taxes</v>
      </c>
    </row>
    <row r="114" spans="2:10" ht="15.75">
      <c r="B114" s="136"/>
      <c r="C114" s="795" t="s">
        <v>245</v>
      </c>
      <c r="D114" s="796"/>
      <c r="E114" s="258"/>
      <c r="F114" s="435">
        <f>IF(E111/0.95-E111&lt;E114,"Exceeds 5%","")</f>
      </c>
      <c r="G114" s="540">
        <f>SUM(G111:G113)</f>
        <v>5091837</v>
      </c>
      <c r="H114" s="543" t="str">
        <f>CONCATENATE("Total ",E1," Resources Available")</f>
        <v>Total 2013 Resources Available</v>
      </c>
      <c r="I114" s="542"/>
      <c r="J114" s="539"/>
    </row>
    <row r="115" spans="2:10" ht="15.75">
      <c r="B115" s="527" t="str">
        <f>CONCATENATE(C132,"     ",D132)</f>
        <v>     </v>
      </c>
      <c r="C115" s="797" t="s">
        <v>246</v>
      </c>
      <c r="D115" s="798"/>
      <c r="E115" s="226">
        <f>E111+E114</f>
        <v>5091837</v>
      </c>
      <c r="G115" s="545"/>
      <c r="H115" s="543"/>
      <c r="I115" s="543"/>
      <c r="J115" s="539"/>
    </row>
    <row r="116" spans="2:10" ht="15.75">
      <c r="B116" s="527" t="str">
        <f>CONCATENATE(C133,"     ",D133)</f>
        <v>     </v>
      </c>
      <c r="C116" s="275"/>
      <c r="D116" s="169" t="s">
        <v>626</v>
      </c>
      <c r="E116" s="82">
        <f>IF(E115-E57&gt;0,E115-E57,0)</f>
        <v>1641320.3103148416</v>
      </c>
      <c r="G116" s="544">
        <f>C111*0.05+C111</f>
        <v>5102176.8</v>
      </c>
      <c r="H116" s="543" t="str">
        <f>CONCATENATE("Less ",E1-2," Expenditures + 5%")</f>
        <v>Less 2011 Expenditures + 5%</v>
      </c>
      <c r="I116" s="542"/>
      <c r="J116" s="539"/>
    </row>
    <row r="117" spans="2:10" ht="15.75">
      <c r="B117" s="169"/>
      <c r="C117" s="383" t="s">
        <v>244</v>
      </c>
      <c r="D117" s="723">
        <f>inputOth!$E$47</f>
        <v>0.025</v>
      </c>
      <c r="E117" s="226">
        <f>ROUND(IF(D117&gt;0,(E116*D117),0),0)</f>
        <v>41033</v>
      </c>
      <c r="G117" s="550">
        <f>G114-G116</f>
        <v>-10339.799999999814</v>
      </c>
      <c r="H117" s="546" t="str">
        <f>CONCATENATE("Projected ",E1+1," Carryover (est.)")</f>
        <v>Projected 2014 Carryover (est.)</v>
      </c>
      <c r="I117" s="547"/>
      <c r="J117" s="548"/>
    </row>
    <row r="118" spans="2:5" ht="16.5" thickBot="1">
      <c r="B118" s="47"/>
      <c r="C118" s="799" t="str">
        <f>CONCATENATE("Amount of  ",$E$1-1," Ad Valorem Tax")</f>
        <v>Amount of  2012 Ad Valorem Tax</v>
      </c>
      <c r="D118" s="800"/>
      <c r="E118" s="645">
        <f>E116+E117</f>
        <v>1682353.3103148416</v>
      </c>
    </row>
    <row r="119" spans="2:10" ht="16.5" thickTop="1">
      <c r="B119" s="47"/>
      <c r="C119" s="47"/>
      <c r="D119" s="47"/>
      <c r="E119" s="47"/>
      <c r="G119" s="789" t="s">
        <v>439</v>
      </c>
      <c r="H119" s="790"/>
      <c r="I119" s="790"/>
      <c r="J119" s="791"/>
    </row>
    <row r="120" spans="2:10" ht="15.75">
      <c r="B120" s="136" t="s">
        <v>628</v>
      </c>
      <c r="C120" s="171" t="str">
        <f>CONCATENATE("",C59,"a")</f>
        <v>8a</v>
      </c>
      <c r="D120" s="172"/>
      <c r="E120" s="172"/>
      <c r="G120" s="629"/>
      <c r="H120" s="630"/>
      <c r="I120" s="631"/>
      <c r="J120" s="632"/>
    </row>
    <row r="121" spans="7:10" ht="15.75">
      <c r="G121" s="633">
        <f>summ!H15</f>
        <v>31.248</v>
      </c>
      <c r="H121" s="630" t="str">
        <f>CONCATENATE("",E1," Fund Mill Rate")</f>
        <v>2013 Fund Mill Rate</v>
      </c>
      <c r="I121" s="631"/>
      <c r="J121" s="632"/>
    </row>
    <row r="122" spans="2:10" ht="15.75">
      <c r="B122" s="106"/>
      <c r="G122" s="634">
        <f>summ!E15</f>
        <v>31.35</v>
      </c>
      <c r="H122" s="630" t="str">
        <f>CONCATENATE("",E1-1," Fund Mill Rate")</f>
        <v>2012 Fund Mill Rate</v>
      </c>
      <c r="I122" s="631"/>
      <c r="J122" s="632"/>
    </row>
    <row r="123" spans="7:10" ht="15.75">
      <c r="G123" s="635">
        <f>summ!H52</f>
        <v>48.436</v>
      </c>
      <c r="H123" s="630" t="str">
        <f>CONCATENATE("Total ",E1," Mill Rate")</f>
        <v>Total 2013 Mill Rate</v>
      </c>
      <c r="I123" s="631"/>
      <c r="J123" s="632"/>
    </row>
    <row r="124" spans="7:10" ht="15.75">
      <c r="G124" s="634">
        <f>summ!E52</f>
        <v>48.436</v>
      </c>
      <c r="H124" s="636" t="str">
        <f>CONCATENATE("Total ",E1-1," Mill Rate")</f>
        <v>Total 2012 Mill Rate</v>
      </c>
      <c r="I124" s="637"/>
      <c r="J124" s="638"/>
    </row>
    <row r="125" spans="2:3" ht="15.75">
      <c r="B125" s="32"/>
      <c r="C125" s="32"/>
    </row>
    <row r="132" spans="3:4" ht="15.75" hidden="1">
      <c r="C132" s="526">
        <f>IF(C111&gt;C113,"See Tab A","")</f>
      </c>
      <c r="D132" s="526">
        <f>IF(D111&gt;D113,"See Tab C","")</f>
      </c>
    </row>
    <row r="133" spans="3:4" ht="15.75" hidden="1">
      <c r="C133" s="526">
        <f>IF(C112&lt;0,"See Tab B","")</f>
      </c>
      <c r="D133" s="526">
        <f>IF(D112&lt;0,"See Tab D","")</f>
      </c>
    </row>
  </sheetData>
  <sheetProtection/>
  <mergeCells count="6">
    <mergeCell ref="G119:J119"/>
    <mergeCell ref="G102:J102"/>
    <mergeCell ref="C114:D114"/>
    <mergeCell ref="C115:D115"/>
    <mergeCell ref="C118:D118"/>
    <mergeCell ref="G109:J109"/>
  </mergeCells>
  <conditionalFormatting sqref="E109">
    <cfRule type="cellIs" priority="2" dxfId="311" operator="greaterThan" stopIfTrue="1">
      <formula>$E$111*0.1</formula>
    </cfRule>
  </conditionalFormatting>
  <conditionalFormatting sqref="E114">
    <cfRule type="cellIs" priority="3" dxfId="311"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tabColor indexed="62"/>
  </sheetPr>
  <dimension ref="A1:F91"/>
  <sheetViews>
    <sheetView workbookViewId="0" topLeftCell="A46">
      <selection activeCell="D18" sqref="D18"/>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Haysville</v>
      </c>
      <c r="B1" s="47"/>
      <c r="C1" s="171"/>
      <c r="D1" s="47">
        <f>inputPrYr!C5</f>
        <v>2013</v>
      </c>
    </row>
    <row r="2" spans="1:4" ht="15.75">
      <c r="A2" s="47"/>
      <c r="B2" s="47"/>
      <c r="C2" s="47"/>
      <c r="D2" s="171"/>
    </row>
    <row r="3" spans="1:4" ht="15.75">
      <c r="A3" s="567"/>
      <c r="B3" s="276"/>
      <c r="C3" s="276"/>
      <c r="D3" s="276"/>
    </row>
    <row r="4" spans="1:4" ht="15.75">
      <c r="A4" s="711" t="s">
        <v>609</v>
      </c>
      <c r="B4" s="277" t="s">
        <v>565</v>
      </c>
      <c r="C4" s="144" t="s">
        <v>566</v>
      </c>
      <c r="D4" s="144" t="s">
        <v>567</v>
      </c>
    </row>
    <row r="5" spans="1:4" ht="15.75">
      <c r="A5" s="567" t="s">
        <v>930</v>
      </c>
      <c r="B5" s="249" t="str">
        <f>CONCATENATE("Actual for ",D1-2,"")</f>
        <v>Actual for 2011</v>
      </c>
      <c r="C5" s="249" t="str">
        <f>CONCATENATE("Estimate for ",D1-1,"")</f>
        <v>Estimate for 2012</v>
      </c>
      <c r="D5" s="249" t="str">
        <f>CONCATENATE("Year for ",D1,"")</f>
        <v>Year for 2013</v>
      </c>
    </row>
    <row r="6" spans="1:4" ht="15.75">
      <c r="A6" s="224" t="s">
        <v>621</v>
      </c>
      <c r="B6" s="87"/>
      <c r="C6" s="87"/>
      <c r="D6" s="87"/>
    </row>
    <row r="7" spans="1:4" ht="15.75">
      <c r="A7" s="278" t="s">
        <v>746</v>
      </c>
      <c r="B7" s="87"/>
      <c r="C7" s="87"/>
      <c r="D7" s="87"/>
    </row>
    <row r="8" spans="1:4" ht="15.75">
      <c r="A8" s="279" t="s">
        <v>629</v>
      </c>
      <c r="B8" s="258">
        <v>151477</v>
      </c>
      <c r="C8" s="258">
        <v>136685</v>
      </c>
      <c r="D8" s="258">
        <v>109099</v>
      </c>
    </row>
    <row r="9" spans="1:4" ht="15.75">
      <c r="A9" s="279" t="s">
        <v>623</v>
      </c>
      <c r="B9" s="258">
        <v>9629</v>
      </c>
      <c r="C9" s="258">
        <v>10136</v>
      </c>
      <c r="D9" s="258">
        <v>15908</v>
      </c>
    </row>
    <row r="10" spans="1:4" ht="15.75">
      <c r="A10" s="224" t="s">
        <v>581</v>
      </c>
      <c r="B10" s="263">
        <f>SUM(B8:B9)</f>
        <v>161106</v>
      </c>
      <c r="C10" s="263">
        <f>SUM(C8:C9)</f>
        <v>146821</v>
      </c>
      <c r="D10" s="263">
        <f>SUM(D8:D9)</f>
        <v>125007</v>
      </c>
    </row>
    <row r="11" spans="1:4" ht="15.75">
      <c r="A11" s="280" t="s">
        <v>99</v>
      </c>
      <c r="B11" s="197"/>
      <c r="C11" s="197"/>
      <c r="D11" s="197"/>
    </row>
    <row r="12" spans="1:4" ht="15.75">
      <c r="A12" s="279" t="s">
        <v>629</v>
      </c>
      <c r="B12" s="258">
        <v>1334272</v>
      </c>
      <c r="C12" s="258">
        <v>1318415</v>
      </c>
      <c r="D12" s="258">
        <v>1325827</v>
      </c>
    </row>
    <row r="13" spans="1:4" ht="15.75">
      <c r="A13" s="279" t="s">
        <v>622</v>
      </c>
      <c r="B13" s="258">
        <v>24022</v>
      </c>
      <c r="C13" s="258">
        <v>23000</v>
      </c>
      <c r="D13" s="258">
        <v>19705</v>
      </c>
    </row>
    <row r="14" spans="1:4" ht="15.75">
      <c r="A14" s="279" t="s">
        <v>623</v>
      </c>
      <c r="B14" s="258">
        <v>116010</v>
      </c>
      <c r="C14" s="258">
        <v>132300</v>
      </c>
      <c r="D14" s="258">
        <v>149917</v>
      </c>
    </row>
    <row r="15" spans="1:4" ht="15.75">
      <c r="A15" s="224" t="s">
        <v>581</v>
      </c>
      <c r="B15" s="263">
        <f>SUM(B12:B14)</f>
        <v>1474304</v>
      </c>
      <c r="C15" s="263">
        <f>SUM(C12:C14)</f>
        <v>1473715</v>
      </c>
      <c r="D15" s="263">
        <f>SUM(D12:D14)</f>
        <v>1495449</v>
      </c>
    </row>
    <row r="16" spans="1:4" ht="15.75">
      <c r="A16" s="280" t="s">
        <v>100</v>
      </c>
      <c r="B16" s="197"/>
      <c r="C16" s="197"/>
      <c r="D16" s="197"/>
    </row>
    <row r="17" spans="1:4" ht="15.75">
      <c r="A17" s="279" t="s">
        <v>629</v>
      </c>
      <c r="B17" s="258">
        <v>120037</v>
      </c>
      <c r="C17" s="258">
        <v>125681</v>
      </c>
      <c r="D17" s="258">
        <v>127151</v>
      </c>
    </row>
    <row r="18" spans="1:4" ht="15.75">
      <c r="A18" s="279" t="s">
        <v>622</v>
      </c>
      <c r="B18" s="258">
        <v>23050</v>
      </c>
      <c r="C18" s="258">
        <v>24500</v>
      </c>
      <c r="D18" s="258">
        <v>24500</v>
      </c>
    </row>
    <row r="19" spans="1:4" ht="15.75">
      <c r="A19" s="279" t="s">
        <v>623</v>
      </c>
      <c r="B19" s="258">
        <v>51575</v>
      </c>
      <c r="C19" s="258">
        <v>47342</v>
      </c>
      <c r="D19" s="258">
        <v>55200</v>
      </c>
    </row>
    <row r="20" spans="1:4" ht="15.75">
      <c r="A20" s="279" t="s">
        <v>624</v>
      </c>
      <c r="B20" s="258">
        <v>474</v>
      </c>
      <c r="C20" s="258">
        <v>500</v>
      </c>
      <c r="D20" s="258">
        <v>2500</v>
      </c>
    </row>
    <row r="21" spans="1:4" ht="15.75">
      <c r="A21" s="224" t="s">
        <v>581</v>
      </c>
      <c r="B21" s="263">
        <f>SUM(B17:B20)</f>
        <v>195136</v>
      </c>
      <c r="C21" s="263">
        <f>SUM(C17:C20)</f>
        <v>198023</v>
      </c>
      <c r="D21" s="263">
        <f>SUM(D17:D20)</f>
        <v>209351</v>
      </c>
    </row>
    <row r="22" spans="1:4" ht="15.75">
      <c r="A22" s="280" t="s">
        <v>101</v>
      </c>
      <c r="B22" s="197"/>
      <c r="C22" s="197"/>
      <c r="D22" s="197"/>
    </row>
    <row r="23" spans="1:4" ht="15.75">
      <c r="A23" s="279" t="s">
        <v>629</v>
      </c>
      <c r="B23" s="258">
        <v>31417</v>
      </c>
      <c r="C23" s="258">
        <v>31866</v>
      </c>
      <c r="D23" s="258">
        <v>31449</v>
      </c>
    </row>
    <row r="24" spans="1:4" ht="15.75">
      <c r="A24" s="279" t="s">
        <v>623</v>
      </c>
      <c r="B24" s="258">
        <v>1472</v>
      </c>
      <c r="C24" s="258">
        <v>2955</v>
      </c>
      <c r="D24" s="258">
        <v>4260</v>
      </c>
    </row>
    <row r="25" spans="1:4" ht="15.75">
      <c r="A25" s="224" t="s">
        <v>581</v>
      </c>
      <c r="B25" s="263">
        <f>SUM(B23:B24)</f>
        <v>32889</v>
      </c>
      <c r="C25" s="263">
        <f>SUM(C23:C24)</f>
        <v>34821</v>
      </c>
      <c r="D25" s="263">
        <f>SUM(D23:D24)</f>
        <v>35709</v>
      </c>
    </row>
    <row r="26" spans="1:4" ht="15.75">
      <c r="A26" s="280" t="s">
        <v>102</v>
      </c>
      <c r="B26" s="197"/>
      <c r="C26" s="197"/>
      <c r="D26" s="197"/>
    </row>
    <row r="27" spans="1:4" ht="15.75">
      <c r="A27" s="279" t="s">
        <v>629</v>
      </c>
      <c r="B27" s="258">
        <v>73779</v>
      </c>
      <c r="C27" s="258">
        <v>66701</v>
      </c>
      <c r="D27" s="258">
        <v>69112</v>
      </c>
    </row>
    <row r="28" spans="1:4" ht="15.75">
      <c r="A28" s="279" t="s">
        <v>623</v>
      </c>
      <c r="B28" s="258">
        <v>79972</v>
      </c>
      <c r="C28" s="258">
        <v>102832</v>
      </c>
      <c r="D28" s="258">
        <v>113005</v>
      </c>
    </row>
    <row r="29" spans="1:4" ht="15.75">
      <c r="A29" s="224" t="s">
        <v>581</v>
      </c>
      <c r="B29" s="263">
        <f>SUM(B27:B28)</f>
        <v>153751</v>
      </c>
      <c r="C29" s="263">
        <f>SUM(C27:C28)</f>
        <v>169533</v>
      </c>
      <c r="D29" s="263">
        <f>SUM(D27:D28)</f>
        <v>182117</v>
      </c>
    </row>
    <row r="30" spans="1:4" ht="15.75">
      <c r="A30" s="280" t="s">
        <v>103</v>
      </c>
      <c r="B30" s="197"/>
      <c r="C30" s="197"/>
      <c r="D30" s="197"/>
    </row>
    <row r="31" spans="1:4" ht="15.75">
      <c r="A31" s="279" t="s">
        <v>990</v>
      </c>
      <c r="B31" s="258">
        <v>76849</v>
      </c>
      <c r="C31" s="258">
        <v>79160</v>
      </c>
      <c r="D31" s="258">
        <v>81345</v>
      </c>
    </row>
    <row r="32" spans="1:4" ht="15.75">
      <c r="A32" s="224" t="s">
        <v>581</v>
      </c>
      <c r="B32" s="263">
        <f>SUM(B31:B31)</f>
        <v>76849</v>
      </c>
      <c r="C32" s="263">
        <f>SUM(C31:C31)</f>
        <v>79160</v>
      </c>
      <c r="D32" s="263">
        <f>SUM(D31:D31)</f>
        <v>81345</v>
      </c>
    </row>
    <row r="33" spans="1:4" ht="15.75">
      <c r="A33" s="280" t="s">
        <v>104</v>
      </c>
      <c r="B33" s="197"/>
      <c r="C33" s="197"/>
      <c r="D33" s="197"/>
    </row>
    <row r="34" spans="1:4" ht="15.75">
      <c r="A34" s="279" t="s">
        <v>629</v>
      </c>
      <c r="B34" s="258">
        <v>12843</v>
      </c>
      <c r="C34" s="258">
        <v>8579</v>
      </c>
      <c r="D34" s="258">
        <v>8145</v>
      </c>
    </row>
    <row r="35" spans="1:4" ht="15.75">
      <c r="A35" s="279" t="s">
        <v>622</v>
      </c>
      <c r="B35" s="258">
        <v>6543</v>
      </c>
      <c r="C35" s="258">
        <v>14000</v>
      </c>
      <c r="D35" s="258">
        <v>7062</v>
      </c>
    </row>
    <row r="36" spans="1:4" ht="15.75">
      <c r="A36" s="279" t="s">
        <v>623</v>
      </c>
      <c r="B36" s="258">
        <v>55164</v>
      </c>
      <c r="C36" s="258">
        <v>49600</v>
      </c>
      <c r="D36" s="258">
        <v>53500</v>
      </c>
    </row>
    <row r="37" spans="1:4" ht="15.75">
      <c r="A37" s="279" t="s">
        <v>624</v>
      </c>
      <c r="B37" s="258">
        <v>3714</v>
      </c>
      <c r="C37" s="258">
        <v>0</v>
      </c>
      <c r="D37" s="258">
        <v>0</v>
      </c>
    </row>
    <row r="38" spans="1:4" ht="15.75">
      <c r="A38" s="224" t="s">
        <v>581</v>
      </c>
      <c r="B38" s="263">
        <f>SUM(B34:B37)</f>
        <v>78264</v>
      </c>
      <c r="C38" s="263">
        <f>SUM(C34:C37)</f>
        <v>72179</v>
      </c>
      <c r="D38" s="263">
        <f>SUM(D34:D37)</f>
        <v>68707</v>
      </c>
    </row>
    <row r="39" spans="1:4" ht="15.75">
      <c r="A39" s="280" t="s">
        <v>105</v>
      </c>
      <c r="B39" s="197"/>
      <c r="C39" s="197"/>
      <c r="D39" s="197"/>
    </row>
    <row r="40" spans="1:4" ht="15.75">
      <c r="A40" s="279" t="s">
        <v>629</v>
      </c>
      <c r="B40" s="258">
        <v>88432</v>
      </c>
      <c r="C40" s="258">
        <v>72918</v>
      </c>
      <c r="D40" s="258">
        <v>71911</v>
      </c>
    </row>
    <row r="41" spans="1:4" ht="15.75">
      <c r="A41" s="279" t="s">
        <v>622</v>
      </c>
      <c r="B41" s="258">
        <v>35421</v>
      </c>
      <c r="C41" s="258">
        <v>32500</v>
      </c>
      <c r="D41" s="258">
        <v>34025</v>
      </c>
    </row>
    <row r="42" spans="1:4" ht="15.75">
      <c r="A42" s="279" t="s">
        <v>623</v>
      </c>
      <c r="B42" s="258">
        <v>156013</v>
      </c>
      <c r="C42" s="258">
        <v>150349</v>
      </c>
      <c r="D42" s="258">
        <v>175435</v>
      </c>
    </row>
    <row r="43" spans="1:4" ht="15.75">
      <c r="A43" s="224" t="s">
        <v>581</v>
      </c>
      <c r="B43" s="263">
        <f>SUM(B40:B42)</f>
        <v>279866</v>
      </c>
      <c r="C43" s="263">
        <f>SUM(C40:C42)</f>
        <v>255767</v>
      </c>
      <c r="D43" s="263">
        <f>SUM(D40:D42)</f>
        <v>281371</v>
      </c>
    </row>
    <row r="44" spans="1:4" ht="15.75">
      <c r="A44" s="47"/>
      <c r="B44" s="197"/>
      <c r="C44" s="197"/>
      <c r="D44" s="197"/>
    </row>
    <row r="45" spans="1:4" ht="16.5" thickBot="1">
      <c r="A45" s="224" t="s">
        <v>926</v>
      </c>
      <c r="B45" s="281">
        <f>B10+B15+B21+B25+B29+B32+B38+B43</f>
        <v>2452165</v>
      </c>
      <c r="C45" s="281">
        <f>C10+C15+C21+C25+C29+C32+C38+C43</f>
        <v>2430019</v>
      </c>
      <c r="D45" s="281">
        <f>D10+D15+D21+D25+D29+D32+D38+D43</f>
        <v>2479056</v>
      </c>
    </row>
    <row r="46" spans="1:4" ht="16.5" thickTop="1">
      <c r="A46" s="282"/>
      <c r="B46" s="197"/>
      <c r="C46" s="197"/>
      <c r="D46" s="197"/>
    </row>
    <row r="47" spans="1:4" ht="15.75">
      <c r="A47" s="401" t="s">
        <v>628</v>
      </c>
      <c r="B47" s="197" t="str">
        <f>CONCATENATE("",general!C59,"b")</f>
        <v>8b</v>
      </c>
      <c r="C47" s="197"/>
      <c r="D47" s="197"/>
    </row>
    <row r="48" spans="1:4" ht="15.75">
      <c r="A48" s="47"/>
      <c r="B48" s="197"/>
      <c r="C48" s="197"/>
      <c r="D48" s="197"/>
    </row>
    <row r="49" spans="1:4" ht="15.75">
      <c r="A49" s="197" t="str">
        <f>A1</f>
        <v>City of Haysville</v>
      </c>
      <c r="B49" s="47"/>
      <c r="C49" s="171"/>
      <c r="D49" s="47">
        <f>D1</f>
        <v>2013</v>
      </c>
    </row>
    <row r="50" spans="1:4" ht="15.75">
      <c r="A50" s="47"/>
      <c r="B50" s="47"/>
      <c r="C50" s="47"/>
      <c r="D50" s="171"/>
    </row>
    <row r="51" spans="1:6" ht="15.75">
      <c r="A51" s="247"/>
      <c r="B51" s="219"/>
      <c r="C51" s="219"/>
      <c r="D51" s="219"/>
      <c r="F51" s="714"/>
    </row>
    <row r="52" spans="1:6" ht="15.75">
      <c r="A52" s="712" t="s">
        <v>609</v>
      </c>
      <c r="B52" s="566" t="str">
        <f aca="true" t="shared" si="0" ref="B52:D53">B4</f>
        <v>Prior Year </v>
      </c>
      <c r="C52" s="713" t="str">
        <f t="shared" si="0"/>
        <v>Current Year </v>
      </c>
      <c r="D52" s="565" t="str">
        <f t="shared" si="0"/>
        <v>Proposed Budget </v>
      </c>
      <c r="F52" s="714"/>
    </row>
    <row r="53" spans="1:4" ht="15.75">
      <c r="A53" s="567" t="s">
        <v>931</v>
      </c>
      <c r="B53" s="249" t="str">
        <f t="shared" si="0"/>
        <v>Actual for 2011</v>
      </c>
      <c r="C53" s="249" t="str">
        <f t="shared" si="0"/>
        <v>Estimate for 2012</v>
      </c>
      <c r="D53" s="249" t="str">
        <f t="shared" si="0"/>
        <v>Year for 2013</v>
      </c>
    </row>
    <row r="54" spans="1:4" ht="15.75">
      <c r="A54" s="224" t="s">
        <v>621</v>
      </c>
      <c r="B54" s="87"/>
      <c r="C54" s="87"/>
      <c r="D54" s="87"/>
    </row>
    <row r="55" spans="1:4" ht="15.75">
      <c r="A55" s="278" t="s">
        <v>106</v>
      </c>
      <c r="B55" s="87"/>
      <c r="C55" s="87"/>
      <c r="D55" s="87"/>
    </row>
    <row r="56" spans="1:4" ht="15.75">
      <c r="A56" s="279" t="s">
        <v>629</v>
      </c>
      <c r="B56" s="258">
        <v>7777</v>
      </c>
      <c r="C56" s="258">
        <v>10374</v>
      </c>
      <c r="D56" s="258">
        <v>7825</v>
      </c>
    </row>
    <row r="57" spans="1:4" ht="15.75">
      <c r="A57" s="279" t="s">
        <v>623</v>
      </c>
      <c r="B57" s="258">
        <v>13431</v>
      </c>
      <c r="C57" s="258">
        <v>14212</v>
      </c>
      <c r="D57" s="258">
        <v>15120</v>
      </c>
    </row>
    <row r="58" spans="1:4" ht="15.75">
      <c r="A58" s="224" t="s">
        <v>581</v>
      </c>
      <c r="B58" s="263">
        <f>SUM(B56:B57)</f>
        <v>21208</v>
      </c>
      <c r="C58" s="263">
        <f>SUM(C56:C57)</f>
        <v>24586</v>
      </c>
      <c r="D58" s="263">
        <f>SUM(D56:D57)</f>
        <v>22945</v>
      </c>
    </row>
    <row r="59" spans="1:4" ht="15.75">
      <c r="A59" s="280" t="s">
        <v>107</v>
      </c>
      <c r="B59" s="197"/>
      <c r="C59" s="197"/>
      <c r="D59" s="197"/>
    </row>
    <row r="60" spans="1:4" ht="15.75">
      <c r="A60" s="279" t="s">
        <v>629</v>
      </c>
      <c r="B60" s="258">
        <v>195448</v>
      </c>
      <c r="C60" s="258">
        <v>207785</v>
      </c>
      <c r="D60" s="258">
        <v>194980</v>
      </c>
    </row>
    <row r="61" spans="1:4" ht="15.75">
      <c r="A61" s="279" t="s">
        <v>623</v>
      </c>
      <c r="B61" s="258">
        <v>11680</v>
      </c>
      <c r="C61" s="258">
        <v>13785</v>
      </c>
      <c r="D61" s="258">
        <v>10393</v>
      </c>
    </row>
    <row r="62" spans="1:4" ht="15.75">
      <c r="A62" s="224" t="s">
        <v>581</v>
      </c>
      <c r="B62" s="263">
        <f>SUM(B60:B61)</f>
        <v>207128</v>
      </c>
      <c r="C62" s="263">
        <f>SUM(C60:C61)</f>
        <v>221570</v>
      </c>
      <c r="D62" s="263">
        <f>SUM(D60:D61)</f>
        <v>205373</v>
      </c>
    </row>
    <row r="63" spans="1:4" ht="15.75">
      <c r="A63" s="280" t="s">
        <v>108</v>
      </c>
      <c r="B63" s="197"/>
      <c r="C63" s="197"/>
      <c r="D63" s="197"/>
    </row>
    <row r="64" spans="1:4" ht="15.75">
      <c r="A64" s="279" t="s">
        <v>629</v>
      </c>
      <c r="B64" s="258">
        <v>62744</v>
      </c>
      <c r="C64" s="258">
        <v>59223</v>
      </c>
      <c r="D64" s="258">
        <v>57190</v>
      </c>
    </row>
    <row r="65" spans="1:4" ht="15.75">
      <c r="A65" s="279" t="s">
        <v>623</v>
      </c>
      <c r="B65" s="258">
        <v>7322</v>
      </c>
      <c r="C65" s="258">
        <v>5400</v>
      </c>
      <c r="D65" s="258">
        <v>29885</v>
      </c>
    </row>
    <row r="66" spans="1:4" ht="15.75">
      <c r="A66" s="224" t="s">
        <v>581</v>
      </c>
      <c r="B66" s="263">
        <f>SUM(B64:B65)</f>
        <v>70066</v>
      </c>
      <c r="C66" s="263">
        <f>SUM(C64:C65)</f>
        <v>64623</v>
      </c>
      <c r="D66" s="263">
        <f>SUM(D64:D65)</f>
        <v>87075</v>
      </c>
    </row>
    <row r="67" spans="1:4" ht="15.75">
      <c r="A67" s="280" t="s">
        <v>109</v>
      </c>
      <c r="B67" s="197"/>
      <c r="C67" s="197"/>
      <c r="D67" s="197"/>
    </row>
    <row r="68" spans="1:4" ht="15.75">
      <c r="A68" s="279" t="s">
        <v>629</v>
      </c>
      <c r="B68" s="258">
        <v>38071</v>
      </c>
      <c r="C68" s="258">
        <v>33302</v>
      </c>
      <c r="D68" s="258">
        <v>32959</v>
      </c>
    </row>
    <row r="69" spans="1:4" ht="15.75">
      <c r="A69" s="279" t="s">
        <v>622</v>
      </c>
      <c r="B69" s="258">
        <v>1616</v>
      </c>
      <c r="C69" s="258">
        <v>1500</v>
      </c>
      <c r="D69" s="258">
        <v>2000</v>
      </c>
    </row>
    <row r="70" spans="1:4" ht="15.75">
      <c r="A70" s="279" t="s">
        <v>623</v>
      </c>
      <c r="B70" s="258">
        <v>3706</v>
      </c>
      <c r="C70" s="258">
        <v>4889</v>
      </c>
      <c r="D70" s="258">
        <v>5185</v>
      </c>
    </row>
    <row r="71" spans="1:4" ht="15.75">
      <c r="A71" s="224" t="s">
        <v>581</v>
      </c>
      <c r="B71" s="263">
        <f>SUM(B68:B70)</f>
        <v>43393</v>
      </c>
      <c r="C71" s="263">
        <f>SUM(C68:C70)</f>
        <v>39691</v>
      </c>
      <c r="D71" s="263">
        <f>SUM(D68:D70)</f>
        <v>40144</v>
      </c>
    </row>
    <row r="72" spans="1:4" ht="15.75">
      <c r="A72" s="280" t="s">
        <v>110</v>
      </c>
      <c r="B72" s="197"/>
      <c r="C72" s="197"/>
      <c r="D72" s="197"/>
    </row>
    <row r="73" spans="1:4" ht="15.75">
      <c r="A73" s="279" t="s">
        <v>629</v>
      </c>
      <c r="B73" s="258">
        <v>21401</v>
      </c>
      <c r="C73" s="258">
        <v>18453</v>
      </c>
      <c r="D73" s="258">
        <v>18741</v>
      </c>
    </row>
    <row r="74" spans="1:4" ht="15.75">
      <c r="A74" s="279" t="s">
        <v>623</v>
      </c>
      <c r="B74" s="258">
        <v>617</v>
      </c>
      <c r="C74" s="258">
        <v>806</v>
      </c>
      <c r="D74" s="258">
        <v>1338</v>
      </c>
    </row>
    <row r="75" spans="1:4" ht="15.75">
      <c r="A75" s="224" t="s">
        <v>581</v>
      </c>
      <c r="B75" s="263">
        <f>SUM(B73:B74)</f>
        <v>22018</v>
      </c>
      <c r="C75" s="263">
        <f>SUM(C73:C74)</f>
        <v>19259</v>
      </c>
      <c r="D75" s="263">
        <f>SUM(D73:D74)</f>
        <v>20079</v>
      </c>
    </row>
    <row r="76" spans="1:4" ht="15.75">
      <c r="A76" s="280" t="s">
        <v>481</v>
      </c>
      <c r="B76" s="197"/>
      <c r="C76" s="197"/>
      <c r="D76" s="197"/>
    </row>
    <row r="77" spans="1:4" ht="15.75">
      <c r="A77" s="279" t="s">
        <v>991</v>
      </c>
      <c r="B77" s="258">
        <v>1119774</v>
      </c>
      <c r="C77" s="258">
        <v>1142022</v>
      </c>
      <c r="D77" s="258">
        <v>1151842</v>
      </c>
    </row>
    <row r="78" spans="1:4" ht="15.75">
      <c r="A78" s="224" t="s">
        <v>581</v>
      </c>
      <c r="B78" s="263">
        <f>SUM(B77:B77)</f>
        <v>1119774</v>
      </c>
      <c r="C78" s="263">
        <f>SUM(C77:C77)</f>
        <v>1142022</v>
      </c>
      <c r="D78" s="263">
        <f>SUM(D77:D77)</f>
        <v>1151842</v>
      </c>
    </row>
    <row r="79" spans="1:4" ht="15.75">
      <c r="A79" s="280" t="s">
        <v>111</v>
      </c>
      <c r="B79" s="197"/>
      <c r="C79" s="197"/>
      <c r="D79" s="197"/>
    </row>
    <row r="80" spans="1:4" ht="15.75">
      <c r="A80" s="279" t="s">
        <v>992</v>
      </c>
      <c r="B80" s="258">
        <v>43697</v>
      </c>
      <c r="C80" s="258">
        <v>39484</v>
      </c>
      <c r="D80" s="258">
        <v>50698</v>
      </c>
    </row>
    <row r="81" spans="1:4" ht="15.75">
      <c r="A81" s="279" t="s">
        <v>993</v>
      </c>
      <c r="B81" s="258">
        <v>10000</v>
      </c>
      <c r="C81" s="258">
        <v>10000</v>
      </c>
      <c r="D81" s="258">
        <v>10000</v>
      </c>
    </row>
    <row r="82" spans="1:4" ht="15.75">
      <c r="A82" s="279" t="s">
        <v>994</v>
      </c>
      <c r="B82" s="258">
        <v>100</v>
      </c>
      <c r="C82" s="258">
        <v>100</v>
      </c>
      <c r="D82" s="258">
        <v>125</v>
      </c>
    </row>
    <row r="83" spans="1:4" ht="15.75">
      <c r="A83" s="279" t="s">
        <v>995</v>
      </c>
      <c r="B83" s="258">
        <v>1005</v>
      </c>
      <c r="C83" s="258">
        <v>2400</v>
      </c>
      <c r="D83" s="258">
        <v>2500</v>
      </c>
    </row>
    <row r="84" spans="1:4" ht="15.75">
      <c r="A84" s="279" t="s">
        <v>996</v>
      </c>
      <c r="B84" s="258">
        <v>184546</v>
      </c>
      <c r="C84" s="258">
        <v>110000</v>
      </c>
      <c r="D84" s="258">
        <v>322000</v>
      </c>
    </row>
    <row r="85" spans="1:4" ht="15.75">
      <c r="A85" s="224" t="s">
        <v>581</v>
      </c>
      <c r="B85" s="263">
        <f>SUM(B80:B84)</f>
        <v>239348</v>
      </c>
      <c r="C85" s="263">
        <f>SUM(C80:C84)</f>
        <v>161984</v>
      </c>
      <c r="D85" s="263">
        <f>SUM(D80:D84)</f>
        <v>385323</v>
      </c>
    </row>
    <row r="86" spans="1:4" ht="15.75">
      <c r="A86" s="224"/>
      <c r="B86" s="197"/>
      <c r="C86" s="197"/>
      <c r="D86" s="197"/>
    </row>
    <row r="87" spans="1:4" ht="15.75">
      <c r="A87" s="65" t="s">
        <v>928</v>
      </c>
      <c r="B87" s="273">
        <f>B58+B62+B66+B71+B75+B78+B85</f>
        <v>1722935</v>
      </c>
      <c r="C87" s="273">
        <f>C58+C62+C66+C71+C75+C78+C85</f>
        <v>1673735</v>
      </c>
      <c r="D87" s="273">
        <f>D58+D62+D66+D71+D75+D78+D85</f>
        <v>1912781</v>
      </c>
    </row>
    <row r="88" spans="1:4" ht="15.75">
      <c r="A88" s="224" t="s">
        <v>927</v>
      </c>
      <c r="B88" s="263">
        <f>B45</f>
        <v>2452165</v>
      </c>
      <c r="C88" s="263">
        <f>C45</f>
        <v>2430019</v>
      </c>
      <c r="D88" s="263">
        <f>D45</f>
        <v>2479056</v>
      </c>
    </row>
    <row r="89" spans="1:4" ht="16.5" thickBot="1">
      <c r="A89" s="224" t="s">
        <v>929</v>
      </c>
      <c r="B89" s="281">
        <f>SUM(B87:B88)</f>
        <v>4175100</v>
      </c>
      <c r="C89" s="281">
        <f>SUM(C87:C88)</f>
        <v>4103754</v>
      </c>
      <c r="D89" s="281">
        <f>SUM(D87:D88)</f>
        <v>4391837</v>
      </c>
    </row>
    <row r="90" spans="1:4" ht="16.5" thickTop="1">
      <c r="A90" s="282" t="s">
        <v>506</v>
      </c>
      <c r="B90" s="197"/>
      <c r="C90" s="197"/>
      <c r="D90" s="197"/>
    </row>
    <row r="91" spans="1:4" ht="15.75">
      <c r="A91" s="401" t="s">
        <v>628</v>
      </c>
      <c r="B91" s="197" t="str">
        <f>CONCATENATE("",general!C59,"c")</f>
        <v>8c</v>
      </c>
      <c r="C91" s="197"/>
      <c r="D91" s="197"/>
    </row>
  </sheetData>
  <sheetProtection/>
  <printOptions/>
  <pageMargins left="0.5" right="0.5" top="1" bottom="0.5" header="0.5" footer="0.5"/>
  <pageSetup blackAndWhite="1" fitToHeight="2" horizontalDpi="300" verticalDpi="300" orientation="portrait" scale="75" r:id="rId1"/>
  <headerFooter alignWithMargins="0">
    <oddHeader>&amp;RState of Kansas
City</oddHeader>
  </headerFooter>
  <rowBreaks count="1" manualBreakCount="1">
    <brk id="48" max="255" man="1"/>
  </rowBreaks>
</worksheet>
</file>

<file path=xl/worksheets/sheet15.xml><?xml version="1.0" encoding="utf-8"?>
<worksheet xmlns="http://schemas.openxmlformats.org/spreadsheetml/2006/main" xmlns:r="http://schemas.openxmlformats.org/officeDocument/2006/relationships">
  <sheetPr>
    <tabColor indexed="62"/>
    <pageSetUpPr fitToPage="1"/>
  </sheetPr>
  <dimension ref="B1:K96"/>
  <sheetViews>
    <sheetView zoomScalePageLayoutView="0" workbookViewId="0" topLeftCell="A56">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99" t="str">
        <f>inputPrYr!D2</f>
        <v>City of Haysville</v>
      </c>
      <c r="C1" s="399"/>
      <c r="D1" s="385"/>
      <c r="E1" s="393">
        <f>inputPrYr!C5</f>
        <v>2013</v>
      </c>
    </row>
    <row r="2" spans="2:5" ht="15.75">
      <c r="B2" s="385"/>
      <c r="C2" s="385"/>
      <c r="D2" s="385"/>
      <c r="E2" s="401"/>
    </row>
    <row r="3" spans="2:5" ht="15.75">
      <c r="B3" s="388" t="s">
        <v>676</v>
      </c>
      <c r="C3" s="388"/>
      <c r="D3" s="403"/>
      <c r="E3" s="394"/>
    </row>
    <row r="4" spans="2:5" ht="15.75">
      <c r="B4" s="387" t="s">
        <v>609</v>
      </c>
      <c r="C4" s="709" t="s">
        <v>565</v>
      </c>
      <c r="D4" s="710" t="s">
        <v>566</v>
      </c>
      <c r="E4" s="144" t="s">
        <v>567</v>
      </c>
    </row>
    <row r="5" spans="2:5" ht="15.75">
      <c r="B5" s="430" t="s">
        <v>505</v>
      </c>
      <c r="C5" s="223" t="str">
        <f>CONCATENATE("Actual for ",E1-2,"")</f>
        <v>Actual for 2011</v>
      </c>
      <c r="D5" s="223" t="str">
        <f>CONCATENATE("Estimate for ",E1-1,"")</f>
        <v>Estimate for 2012</v>
      </c>
      <c r="E5" s="208" t="str">
        <f>CONCATENATE("Year for ",E1,"")</f>
        <v>Year for 2013</v>
      </c>
    </row>
    <row r="6" spans="2:5" ht="15.75">
      <c r="B6" s="395" t="s">
        <v>731</v>
      </c>
      <c r="C6" s="426">
        <v>170951</v>
      </c>
      <c r="D6" s="425">
        <f>C34</f>
        <v>145027</v>
      </c>
      <c r="E6" s="396">
        <f>D34</f>
        <v>8407</v>
      </c>
    </row>
    <row r="7" spans="2:5" ht="15.75">
      <c r="B7" s="395" t="s">
        <v>733</v>
      </c>
      <c r="C7" s="397"/>
      <c r="D7" s="425"/>
      <c r="E7" s="396"/>
    </row>
    <row r="8" spans="2:5" ht="15.75">
      <c r="B8" s="395" t="s">
        <v>610</v>
      </c>
      <c r="C8" s="423">
        <v>463814</v>
      </c>
      <c r="D8" s="425">
        <v>486398</v>
      </c>
      <c r="E8" s="412" t="s">
        <v>598</v>
      </c>
    </row>
    <row r="9" spans="2:5" ht="15.75">
      <c r="B9" s="395" t="s">
        <v>611</v>
      </c>
      <c r="C9" s="423">
        <v>22820</v>
      </c>
      <c r="D9" s="427">
        <v>22000</v>
      </c>
      <c r="E9" s="389">
        <v>2500</v>
      </c>
    </row>
    <row r="10" spans="2:5" ht="15.75">
      <c r="B10" s="395" t="s">
        <v>612</v>
      </c>
      <c r="C10" s="423">
        <v>66691</v>
      </c>
      <c r="D10" s="427">
        <v>70000</v>
      </c>
      <c r="E10" s="396">
        <f>mvalloc!D8</f>
        <v>67358</v>
      </c>
    </row>
    <row r="11" spans="2:5" ht="15.75">
      <c r="B11" s="395" t="s">
        <v>613</v>
      </c>
      <c r="C11" s="423">
        <v>1268</v>
      </c>
      <c r="D11" s="427">
        <v>1384</v>
      </c>
      <c r="E11" s="396">
        <f>mvalloc!E8</f>
        <v>1264</v>
      </c>
    </row>
    <row r="12" spans="2:5" ht="15.75">
      <c r="B12" s="398" t="s">
        <v>708</v>
      </c>
      <c r="C12" s="423">
        <v>113</v>
      </c>
      <c r="D12" s="427">
        <v>170</v>
      </c>
      <c r="E12" s="396">
        <f>mvalloc!F8</f>
        <v>136</v>
      </c>
    </row>
    <row r="13" spans="2:5" ht="15.75">
      <c r="B13" s="414" t="s">
        <v>275</v>
      </c>
      <c r="C13" s="423">
        <v>1219304</v>
      </c>
      <c r="D13" s="427">
        <v>1125000</v>
      </c>
      <c r="E13" s="389">
        <v>1165393</v>
      </c>
    </row>
    <row r="14" spans="2:5" ht="15.75">
      <c r="B14" s="414" t="s">
        <v>276</v>
      </c>
      <c r="C14" s="423">
        <v>182251</v>
      </c>
      <c r="D14" s="427">
        <v>181709</v>
      </c>
      <c r="E14" s="389">
        <v>183455</v>
      </c>
    </row>
    <row r="15" spans="2:5" ht="15.75">
      <c r="B15" s="414" t="s">
        <v>277</v>
      </c>
      <c r="C15" s="423">
        <v>0</v>
      </c>
      <c r="D15" s="427">
        <v>0</v>
      </c>
      <c r="E15" s="389"/>
    </row>
    <row r="16" spans="2:5" ht="15.75">
      <c r="B16" s="414" t="s">
        <v>280</v>
      </c>
      <c r="C16" s="423">
        <v>66466</v>
      </c>
      <c r="D16" s="427">
        <v>68466</v>
      </c>
      <c r="E16" s="389">
        <v>148235</v>
      </c>
    </row>
    <row r="17" spans="2:9" ht="15.75">
      <c r="B17" s="409" t="s">
        <v>617</v>
      </c>
      <c r="C17" s="423">
        <v>3558</v>
      </c>
      <c r="D17" s="427">
        <v>4500</v>
      </c>
      <c r="E17" s="389">
        <v>4472</v>
      </c>
      <c r="F17" s="384"/>
      <c r="G17" s="384"/>
      <c r="H17" s="384"/>
      <c r="I17" s="384"/>
    </row>
    <row r="18" spans="2:9" ht="15.75">
      <c r="B18" s="395" t="s">
        <v>472</v>
      </c>
      <c r="C18" s="255">
        <v>5387</v>
      </c>
      <c r="D18" s="255">
        <v>5665</v>
      </c>
      <c r="E18" s="67">
        <v>5664</v>
      </c>
      <c r="F18" s="384"/>
      <c r="G18" s="384"/>
      <c r="H18" s="384"/>
      <c r="I18" s="384"/>
    </row>
    <row r="19" spans="2:9" ht="15.75">
      <c r="B19" s="395" t="s">
        <v>373</v>
      </c>
      <c r="C19" s="260">
        <f>IF(C20*0.1&lt;C18,"Exceed 10% Rule","")</f>
      </c>
      <c r="D19" s="260">
        <f>IF(D20*0.1&lt;D18,"Exceed 10% Rule","")</f>
      </c>
      <c r="E19" s="297">
        <f>IF(E20*0.1+E40&lt;E18,"Exceed 10% Rule","")</f>
      </c>
      <c r="F19" s="384"/>
      <c r="G19" s="384"/>
      <c r="H19" s="384"/>
      <c r="I19" s="384"/>
    </row>
    <row r="20" spans="2:9" ht="15.75">
      <c r="B20" s="405" t="s">
        <v>618</v>
      </c>
      <c r="C20" s="428">
        <f>SUM(C8:C18)</f>
        <v>2031672</v>
      </c>
      <c r="D20" s="428">
        <f>SUM(D8:D18)</f>
        <v>1965292</v>
      </c>
      <c r="E20" s="415">
        <f>SUM(E9:E18)</f>
        <v>1578477</v>
      </c>
      <c r="F20" s="384"/>
      <c r="G20" s="384"/>
      <c r="H20" s="384"/>
      <c r="I20" s="384"/>
    </row>
    <row r="21" spans="2:9" ht="15.75">
      <c r="B21" s="405" t="s">
        <v>619</v>
      </c>
      <c r="C21" s="428">
        <f>SUM(C6+C20)</f>
        <v>2202623</v>
      </c>
      <c r="D21" s="428">
        <f>SUM(D6+D20)</f>
        <v>2110319</v>
      </c>
      <c r="E21" s="415">
        <f>SUM(E6+E20)</f>
        <v>1586884</v>
      </c>
      <c r="F21" s="384"/>
      <c r="G21" s="384"/>
      <c r="H21" s="384"/>
      <c r="I21" s="384"/>
    </row>
    <row r="22" spans="2:9" ht="15.75">
      <c r="B22" s="395" t="s">
        <v>621</v>
      </c>
      <c r="C22" s="395"/>
      <c r="D22" s="425"/>
      <c r="E22" s="396"/>
      <c r="F22" s="384"/>
      <c r="G22" s="384"/>
      <c r="H22" s="384"/>
      <c r="I22" s="384"/>
    </row>
    <row r="23" spans="2:9" ht="15.75">
      <c r="B23" s="414" t="s">
        <v>278</v>
      </c>
      <c r="C23" s="490">
        <v>0</v>
      </c>
      <c r="D23" s="427">
        <v>300</v>
      </c>
      <c r="E23" s="389">
        <v>300</v>
      </c>
      <c r="F23" s="384"/>
      <c r="G23" s="384"/>
      <c r="H23" s="384"/>
      <c r="I23" s="384"/>
    </row>
    <row r="24" spans="2:10" ht="15.75">
      <c r="B24" s="414" t="s">
        <v>279</v>
      </c>
      <c r="C24" s="490">
        <v>570567</v>
      </c>
      <c r="D24" s="427">
        <v>416612</v>
      </c>
      <c r="E24" s="389">
        <v>242035</v>
      </c>
      <c r="F24" s="384"/>
      <c r="G24" s="803" t="str">
        <f>CONCATENATE("Desired Carryover Into ",E1+1,"")</f>
        <v>Desired Carryover Into 2014</v>
      </c>
      <c r="H24" s="801"/>
      <c r="I24" s="801"/>
      <c r="J24" s="802"/>
    </row>
    <row r="25" spans="2:10" ht="15.75">
      <c r="B25" s="414" t="s">
        <v>662</v>
      </c>
      <c r="C25" s="490">
        <v>1487029</v>
      </c>
      <c r="D25" s="427">
        <v>1685000</v>
      </c>
      <c r="E25" s="389">
        <v>1822000</v>
      </c>
      <c r="F25" s="384"/>
      <c r="G25" s="647"/>
      <c r="H25" s="76"/>
      <c r="I25" s="648"/>
      <c r="J25" s="649"/>
    </row>
    <row r="26" spans="2:10" ht="15.75">
      <c r="B26" s="414"/>
      <c r="C26" s="490"/>
      <c r="D26" s="427"/>
      <c r="E26" s="389"/>
      <c r="F26" s="384"/>
      <c r="G26" s="650" t="s">
        <v>361</v>
      </c>
      <c r="H26" s="648"/>
      <c r="I26" s="648"/>
      <c r="J26" s="651">
        <v>0</v>
      </c>
    </row>
    <row r="27" spans="2:10" ht="15.75">
      <c r="B27" s="414"/>
      <c r="C27" s="490"/>
      <c r="D27" s="427"/>
      <c r="E27" s="389"/>
      <c r="F27" s="384"/>
      <c r="G27" s="647" t="s">
        <v>362</v>
      </c>
      <c r="H27" s="76"/>
      <c r="I27" s="76"/>
      <c r="J27" s="652">
        <f>IF(J26=0,"",ROUND((J26+E40-G39)/inputOth!E7*1000,3)-G44)</f>
      </c>
    </row>
    <row r="28" spans="2:10" ht="15.75">
      <c r="B28" s="414"/>
      <c r="C28" s="490"/>
      <c r="D28" s="427"/>
      <c r="E28" s="389"/>
      <c r="F28" s="384"/>
      <c r="G28" s="653" t="str">
        <f>CONCATENATE("",E1," Tot Exp/Non-Appr Must Be:")</f>
        <v>2013 Tot Exp/Non-Appr Must Be:</v>
      </c>
      <c r="H28" s="654"/>
      <c r="I28" s="655"/>
      <c r="J28" s="656">
        <f>IF(J26&gt;0,IF(E37&lt;E21,IF(J26=G39,E37,((J26-G39)*(1-D39))+E21),E37+(J26-G39)),0)</f>
        <v>0</v>
      </c>
    </row>
    <row r="29" spans="2:10" ht="15.75">
      <c r="B29" s="414"/>
      <c r="C29" s="490"/>
      <c r="D29" s="427"/>
      <c r="E29" s="389"/>
      <c r="F29" s="384"/>
      <c r="G29" s="657" t="s">
        <v>440</v>
      </c>
      <c r="H29" s="658"/>
      <c r="I29" s="658"/>
      <c r="J29" s="659">
        <f>IF(J26&gt;0,J28-E37,0)</f>
        <v>0</v>
      </c>
    </row>
    <row r="30" spans="2:9" ht="15.75">
      <c r="B30" s="411" t="s">
        <v>471</v>
      </c>
      <c r="C30" s="490"/>
      <c r="D30" s="427"/>
      <c r="E30" s="396">
        <f>nhood!E7</f>
      </c>
      <c r="F30" s="384"/>
      <c r="G30" s="384"/>
      <c r="H30" s="384"/>
      <c r="I30" s="384"/>
    </row>
    <row r="31" spans="2:10" ht="15.75">
      <c r="B31" s="411" t="s">
        <v>472</v>
      </c>
      <c r="C31" s="490"/>
      <c r="D31" s="427"/>
      <c r="E31" s="389"/>
      <c r="F31" s="384"/>
      <c r="G31" s="806" t="str">
        <f>CONCATENATE("Projected Carryover Into ",E1+1,"")</f>
        <v>Projected Carryover Into 2014</v>
      </c>
      <c r="H31" s="801"/>
      <c r="I31" s="801"/>
      <c r="J31" s="802"/>
    </row>
    <row r="32" spans="2:10" ht="15.75">
      <c r="B32" s="411" t="s">
        <v>375</v>
      </c>
      <c r="C32" s="260">
        <f>IF(C33*0.1&lt;C31,"Exceed 10% Rule","")</f>
      </c>
      <c r="D32" s="260">
        <f>IF(D33*0.1&lt;D31,"Exceed 10% Rule","")</f>
      </c>
      <c r="E32" s="297">
        <f>IF(E33*0.1&lt;E31,"Exceed 10% Rule","")</f>
      </c>
      <c r="F32" s="384"/>
      <c r="G32" s="416"/>
      <c r="H32" s="534"/>
      <c r="I32" s="534"/>
      <c r="J32" s="643"/>
    </row>
    <row r="33" spans="2:10" ht="15.75">
      <c r="B33" s="405" t="s">
        <v>625</v>
      </c>
      <c r="C33" s="424">
        <f>SUM(C23:C31)</f>
        <v>2057596</v>
      </c>
      <c r="D33" s="424">
        <f>SUM(D23:D31)</f>
        <v>2101912</v>
      </c>
      <c r="E33" s="410">
        <f>SUM(E23:E31)</f>
        <v>2064335</v>
      </c>
      <c r="F33" s="384"/>
      <c r="G33" s="420">
        <f>D34</f>
        <v>8407</v>
      </c>
      <c r="H33" s="422" t="str">
        <f>CONCATENATE("",E1-1," Ending Cash Balance (est.)")</f>
        <v>2012 Ending Cash Balance (est.)</v>
      </c>
      <c r="I33" s="417"/>
      <c r="J33" s="643"/>
    </row>
    <row r="34" spans="2:10" ht="15.75">
      <c r="B34" s="395" t="s">
        <v>732</v>
      </c>
      <c r="C34" s="429">
        <f>SUM(C21-C33)</f>
        <v>145027</v>
      </c>
      <c r="D34" s="429">
        <f>SUM(D21-D33)</f>
        <v>8407</v>
      </c>
      <c r="E34" s="412" t="s">
        <v>598</v>
      </c>
      <c r="F34" s="384"/>
      <c r="G34" s="420">
        <f>E20</f>
        <v>1578477</v>
      </c>
      <c r="H34" s="421" t="str">
        <f>CONCATENATE("",E1," Non-AV Receipts (est.)")</f>
        <v>2013 Non-AV Receipts (est.)</v>
      </c>
      <c r="I34" s="534"/>
      <c r="J34" s="643"/>
    </row>
    <row r="35" spans="2:10" ht="15.75">
      <c r="B35" s="400" t="str">
        <f>CONCATENATE("",E1-2,"/",E1-1," Budget Authority Amount:")</f>
        <v>2011/2012 Budget Authority Amount:</v>
      </c>
      <c r="C35" s="402">
        <f>inputOth!B61</f>
        <v>2057896</v>
      </c>
      <c r="D35" s="406">
        <f>inputPrYr!D18</f>
        <v>2131988</v>
      </c>
      <c r="E35" s="412" t="s">
        <v>598</v>
      </c>
      <c r="F35" s="407"/>
      <c r="G35" s="419">
        <f>IF(E39&gt;0,E38,E40)</f>
        <v>477451</v>
      </c>
      <c r="H35" s="421" t="str">
        <f>CONCATENATE("",E1," Ad Valorem Tax (est.)")</f>
        <v>2013 Ad Valorem Tax (est.)</v>
      </c>
      <c r="I35" s="534"/>
      <c r="J35" s="643"/>
    </row>
    <row r="36" spans="2:10" ht="15.75">
      <c r="B36" s="400"/>
      <c r="C36" s="795" t="s">
        <v>245</v>
      </c>
      <c r="D36" s="796"/>
      <c r="E36" s="67"/>
      <c r="F36" s="435">
        <f>IF(E33/0.95-E33&lt;E36,"Exceeds 5%","")</f>
      </c>
      <c r="G36" s="420">
        <f>SUM(G33:G35)</f>
        <v>2064335</v>
      </c>
      <c r="H36" s="421" t="str">
        <f>CONCATENATE("Total ",E1," Resources Available")</f>
        <v>Total 2013 Resources Available</v>
      </c>
      <c r="I36" s="417"/>
      <c r="J36" s="643"/>
    </row>
    <row r="37" spans="2:10" ht="15.75">
      <c r="B37" s="527" t="str">
        <f>CONCATENATE(C93,"     ",D93)</f>
        <v>     </v>
      </c>
      <c r="C37" s="797" t="s">
        <v>246</v>
      </c>
      <c r="D37" s="798"/>
      <c r="E37" s="396">
        <f>SUM(E33+E36)</f>
        <v>2064335</v>
      </c>
      <c r="F37" s="384"/>
      <c r="G37" s="418"/>
      <c r="H37" s="421"/>
      <c r="I37" s="534"/>
      <c r="J37" s="643"/>
    </row>
    <row r="38" spans="2:10" ht="15.75">
      <c r="B38" s="527" t="str">
        <f>CONCATENATE(C94,"     ",D94)</f>
        <v>     </v>
      </c>
      <c r="C38" s="408"/>
      <c r="D38" s="401" t="s">
        <v>626</v>
      </c>
      <c r="E38" s="390">
        <f>IF(E37-E21&gt;0,E37-E21,0)</f>
        <v>477451</v>
      </c>
      <c r="F38" s="384"/>
      <c r="G38" s="419">
        <f>C33</f>
        <v>2057596</v>
      </c>
      <c r="H38" s="421" t="str">
        <f>CONCATENATE("Less ",E1-2," Expenditures")</f>
        <v>Less 2011 Expenditures</v>
      </c>
      <c r="I38" s="534"/>
      <c r="J38" s="643"/>
    </row>
    <row r="39" spans="2:10" ht="15.75">
      <c r="B39" s="401"/>
      <c r="C39" s="383" t="s">
        <v>244</v>
      </c>
      <c r="D39" s="723">
        <f>inputOth!$E$47</f>
        <v>0.025</v>
      </c>
      <c r="E39" s="396">
        <f>ROUND(IF(D39&gt;0,(E38*D39),0),0)</f>
        <v>11936</v>
      </c>
      <c r="F39" s="384"/>
      <c r="G39" s="640">
        <f>SUM(G36-G38)</f>
        <v>6739</v>
      </c>
      <c r="H39" s="641" t="str">
        <f>CONCATENATE("Projected ",E1+1," carryover (est.)")</f>
        <v>Projected 2014 carryover (est.)</v>
      </c>
      <c r="I39" s="642"/>
      <c r="J39" s="628"/>
    </row>
    <row r="40" spans="2:6" ht="16.5" thickBot="1">
      <c r="B40" s="385"/>
      <c r="C40" s="807" t="str">
        <f>CONCATENATE("Amount of  ",E1-1," Ad Valorem Tax")</f>
        <v>Amount of  2012 Ad Valorem Tax</v>
      </c>
      <c r="D40" s="808"/>
      <c r="E40" s="644">
        <f>SUM(E38:E39)</f>
        <v>489387</v>
      </c>
      <c r="F40" s="384"/>
    </row>
    <row r="41" spans="2:10" ht="16.5" thickTop="1">
      <c r="B41" s="385"/>
      <c r="C41" s="604"/>
      <c r="D41" s="391"/>
      <c r="E41" s="391"/>
      <c r="F41" s="384"/>
      <c r="G41" s="789" t="s">
        <v>439</v>
      </c>
      <c r="H41" s="790"/>
      <c r="I41" s="790"/>
      <c r="J41" s="791"/>
    </row>
    <row r="42" spans="2:10" ht="15.75">
      <c r="B42" s="387"/>
      <c r="C42" s="387"/>
      <c r="D42" s="403"/>
      <c r="E42" s="403"/>
      <c r="F42" s="384"/>
      <c r="G42" s="629"/>
      <c r="H42" s="630"/>
      <c r="I42" s="631"/>
      <c r="J42" s="632"/>
    </row>
    <row r="43" spans="2:10" ht="15.75">
      <c r="B43" s="387" t="s">
        <v>609</v>
      </c>
      <c r="C43" s="709" t="s">
        <v>565</v>
      </c>
      <c r="D43" s="710" t="s">
        <v>566</v>
      </c>
      <c r="E43" s="144" t="s">
        <v>567</v>
      </c>
      <c r="F43" s="384"/>
      <c r="G43" s="633">
        <f>summ!H16</f>
        <v>9.09</v>
      </c>
      <c r="H43" s="630" t="str">
        <f>CONCATENATE("",E1," Fund Mill Rate")</f>
        <v>2013 Fund Mill Rate</v>
      </c>
      <c r="I43" s="631"/>
      <c r="J43" s="632"/>
    </row>
    <row r="44" spans="2:10" ht="15.75">
      <c r="B44" s="431" t="str">
        <f>inputPrYr!B19</f>
        <v>Library</v>
      </c>
      <c r="C44" s="223" t="str">
        <f>CONCATENATE("Actual for ",E1-2,"")</f>
        <v>Actual for 2011</v>
      </c>
      <c r="D44" s="223" t="str">
        <f>CONCATENATE("Estimate for ",E1-1,"")</f>
        <v>Estimate for 2012</v>
      </c>
      <c r="E44" s="208" t="str">
        <f>CONCATENATE("Year for ",E1,"")</f>
        <v>Year for 2013</v>
      </c>
      <c r="F44" s="384"/>
      <c r="G44" s="634">
        <f>summ!E16</f>
        <v>9.209</v>
      </c>
      <c r="H44" s="630" t="str">
        <f>CONCATENATE("",E1-1," Fund Mill Rate")</f>
        <v>2012 Fund Mill Rate</v>
      </c>
      <c r="I44" s="631"/>
      <c r="J44" s="632"/>
    </row>
    <row r="45" spans="2:10" ht="15.75">
      <c r="B45" s="395" t="s">
        <v>731</v>
      </c>
      <c r="C45" s="423">
        <v>0</v>
      </c>
      <c r="D45" s="425">
        <f>C74</f>
        <v>0</v>
      </c>
      <c r="E45" s="396">
        <f>D74</f>
        <v>0</v>
      </c>
      <c r="F45" s="384"/>
      <c r="G45" s="635">
        <f>summ!H52</f>
        <v>48.436</v>
      </c>
      <c r="H45" s="630" t="str">
        <f>CONCATENATE("Total ",E1," Mill Rate")</f>
        <v>Total 2013 Mill Rate</v>
      </c>
      <c r="I45" s="631"/>
      <c r="J45" s="632"/>
    </row>
    <row r="46" spans="2:10" ht="15.75">
      <c r="B46" s="404" t="s">
        <v>733</v>
      </c>
      <c r="C46" s="395"/>
      <c r="D46" s="425"/>
      <c r="E46" s="396"/>
      <c r="F46" s="384"/>
      <c r="G46" s="634">
        <f>summ!E52</f>
        <v>48.436</v>
      </c>
      <c r="H46" s="636" t="str">
        <f>CONCATENATE("Total ",E1-1," Mill Rate")</f>
        <v>Total 2012 Mill Rate</v>
      </c>
      <c r="I46" s="637"/>
      <c r="J46" s="638"/>
    </row>
    <row r="47" spans="2:9" ht="15.75">
      <c r="B47" s="395" t="s">
        <v>610</v>
      </c>
      <c r="C47" s="423">
        <v>267964</v>
      </c>
      <c r="D47" s="425">
        <v>271400</v>
      </c>
      <c r="E47" s="412" t="s">
        <v>598</v>
      </c>
      <c r="F47" s="384"/>
      <c r="G47" s="384"/>
      <c r="H47" s="384"/>
      <c r="I47" s="384"/>
    </row>
    <row r="48" spans="2:9" ht="15.75">
      <c r="B48" s="395" t="s">
        <v>611</v>
      </c>
      <c r="C48" s="423">
        <v>14172</v>
      </c>
      <c r="D48" s="427">
        <v>11500</v>
      </c>
      <c r="E48" s="389">
        <v>8400</v>
      </c>
      <c r="F48" s="384"/>
      <c r="G48" s="384"/>
      <c r="H48" s="384"/>
      <c r="I48" s="384"/>
    </row>
    <row r="49" spans="2:9" ht="15.75">
      <c r="B49" s="395" t="s">
        <v>612</v>
      </c>
      <c r="C49" s="423">
        <v>38572</v>
      </c>
      <c r="D49" s="427">
        <v>41200</v>
      </c>
      <c r="E49" s="396">
        <f>mvalloc!D9</f>
        <v>38413</v>
      </c>
      <c r="F49" s="384"/>
      <c r="G49" s="384"/>
      <c r="H49" s="384"/>
      <c r="I49" s="384"/>
    </row>
    <row r="50" spans="2:9" ht="15.75">
      <c r="B50" s="395" t="s">
        <v>613</v>
      </c>
      <c r="C50" s="423">
        <v>733</v>
      </c>
      <c r="D50" s="427">
        <v>800</v>
      </c>
      <c r="E50" s="396">
        <f>mvalloc!E9</f>
        <v>721</v>
      </c>
      <c r="F50" s="384"/>
      <c r="G50" s="384"/>
      <c r="H50" s="384"/>
      <c r="I50" s="384"/>
    </row>
    <row r="51" spans="2:5" ht="15.75">
      <c r="B51" s="398" t="s">
        <v>708</v>
      </c>
      <c r="C51" s="423">
        <v>67</v>
      </c>
      <c r="D51" s="427">
        <v>100</v>
      </c>
      <c r="E51" s="396">
        <f>mvalloc!F9</f>
        <v>78</v>
      </c>
    </row>
    <row r="52" spans="2:5" ht="15.75">
      <c r="B52" s="389"/>
      <c r="C52" s="423"/>
      <c r="D52" s="427"/>
      <c r="E52" s="389"/>
    </row>
    <row r="53" spans="2:5" ht="15.75">
      <c r="B53" s="389"/>
      <c r="C53" s="423"/>
      <c r="D53" s="427"/>
      <c r="E53" s="389"/>
    </row>
    <row r="54" spans="2:5" ht="15.75">
      <c r="B54" s="389"/>
      <c r="C54" s="423"/>
      <c r="D54" s="427"/>
      <c r="E54" s="389"/>
    </row>
    <row r="55" spans="2:5" ht="15.75">
      <c r="B55" s="414"/>
      <c r="C55" s="423"/>
      <c r="D55" s="427"/>
      <c r="E55" s="389"/>
    </row>
    <row r="56" spans="2:5" ht="15.75">
      <c r="B56" s="414"/>
      <c r="C56" s="423"/>
      <c r="D56" s="427"/>
      <c r="E56" s="389"/>
    </row>
    <row r="57" spans="2:5" ht="15.75">
      <c r="B57" s="409" t="s">
        <v>617</v>
      </c>
      <c r="C57" s="423">
        <v>0</v>
      </c>
      <c r="D57" s="427">
        <v>0</v>
      </c>
      <c r="E57" s="389"/>
    </row>
    <row r="58" spans="2:5" ht="15.75">
      <c r="B58" s="395" t="s">
        <v>472</v>
      </c>
      <c r="C58" s="423">
        <v>0</v>
      </c>
      <c r="D58" s="255">
        <v>0</v>
      </c>
      <c r="E58" s="67"/>
    </row>
    <row r="59" spans="2:5" ht="15.75">
      <c r="B59" s="395" t="s">
        <v>373</v>
      </c>
      <c r="C59" s="260">
        <f>IF(C60*0.1&lt;C58,"Exceed 10% Rule","")</f>
      </c>
      <c r="D59" s="260">
        <f>IF(D60*0.1&lt;D58,"Exceed 10% Rule","")</f>
      </c>
      <c r="E59" s="297">
        <f>IF(E60*0.1+E80&lt;E58,"Exceed 10% Rule","")</f>
      </c>
    </row>
    <row r="60" spans="2:5" ht="15.75">
      <c r="B60" s="405" t="s">
        <v>618</v>
      </c>
      <c r="C60" s="424">
        <f>SUM(C47:C58)</f>
        <v>321508</v>
      </c>
      <c r="D60" s="424">
        <f>SUM(D47:D58)</f>
        <v>325000</v>
      </c>
      <c r="E60" s="410">
        <f>SUM(E48:E58)</f>
        <v>47612</v>
      </c>
    </row>
    <row r="61" spans="2:5" ht="15.75">
      <c r="B61" s="405" t="s">
        <v>619</v>
      </c>
      <c r="C61" s="424">
        <f>SUM(C45+C60)</f>
        <v>321508</v>
      </c>
      <c r="D61" s="424">
        <f>SUM(D45+D60)</f>
        <v>325000</v>
      </c>
      <c r="E61" s="410">
        <f>SUM(E45+E60)</f>
        <v>47612</v>
      </c>
    </row>
    <row r="62" spans="2:5" ht="15.75">
      <c r="B62" s="395" t="s">
        <v>621</v>
      </c>
      <c r="C62" s="395"/>
      <c r="D62" s="425"/>
      <c r="E62" s="396"/>
    </row>
    <row r="63" spans="2:5" ht="15.75">
      <c r="B63" s="414" t="s">
        <v>281</v>
      </c>
      <c r="C63" s="423">
        <v>321508</v>
      </c>
      <c r="D63" s="427">
        <v>325000</v>
      </c>
      <c r="E63" s="389">
        <v>330261</v>
      </c>
    </row>
    <row r="64" spans="2:10" ht="15.75">
      <c r="B64" s="414"/>
      <c r="C64" s="423"/>
      <c r="D64" s="427"/>
      <c r="E64" s="389"/>
      <c r="F64" s="2"/>
      <c r="G64" s="803" t="str">
        <f>CONCATENATE("Desired Carryover Into ",E1+1,"")</f>
        <v>Desired Carryover Into 2014</v>
      </c>
      <c r="H64" s="801"/>
      <c r="I64" s="801"/>
      <c r="J64" s="802"/>
    </row>
    <row r="65" spans="2:10" ht="15.75">
      <c r="B65" s="414"/>
      <c r="C65" s="423"/>
      <c r="D65" s="427"/>
      <c r="E65" s="389"/>
      <c r="F65" s="2"/>
      <c r="G65" s="647"/>
      <c r="H65" s="76"/>
      <c r="I65" s="648"/>
      <c r="J65" s="649"/>
    </row>
    <row r="66" spans="2:10" ht="15.75">
      <c r="B66" s="414"/>
      <c r="C66" s="423"/>
      <c r="D66" s="427"/>
      <c r="E66" s="389"/>
      <c r="F66" s="2"/>
      <c r="G66" s="650" t="s">
        <v>361</v>
      </c>
      <c r="H66" s="648"/>
      <c r="I66" s="648"/>
      <c r="J66" s="651">
        <v>0</v>
      </c>
    </row>
    <row r="67" spans="2:10" ht="15.75">
      <c r="B67" s="414"/>
      <c r="C67" s="423"/>
      <c r="D67" s="427"/>
      <c r="E67" s="389"/>
      <c r="F67" s="2"/>
      <c r="G67" s="647" t="s">
        <v>362</v>
      </c>
      <c r="H67" s="76"/>
      <c r="I67" s="76"/>
      <c r="J67" s="652">
        <f>IF(J66=0,"",ROUND((J66+E80-G79)/inputOth!E7*1000,3)-G84)</f>
      </c>
    </row>
    <row r="68" spans="2:10" ht="15.75">
      <c r="B68" s="414"/>
      <c r="C68" s="423"/>
      <c r="D68" s="427"/>
      <c r="E68" s="389"/>
      <c r="F68" s="2"/>
      <c r="G68" s="653" t="str">
        <f>CONCATENATE("",E1," Tot Exp/Non-Appr Must Be:")</f>
        <v>2013 Tot Exp/Non-Appr Must Be:</v>
      </c>
      <c r="H68" s="654"/>
      <c r="I68" s="655"/>
      <c r="J68" s="656">
        <f>IF(J66&gt;0,IF(E77&lt;E61,IF(J66=G79,E77,((J66-G79)*(1-D79))+E61),E77+(J66-G79)),0)</f>
        <v>0</v>
      </c>
    </row>
    <row r="69" spans="2:10" ht="15.75">
      <c r="B69" s="414"/>
      <c r="C69" s="423"/>
      <c r="D69" s="427"/>
      <c r="E69" s="389"/>
      <c r="F69" s="2"/>
      <c r="G69" s="657" t="s">
        <v>440</v>
      </c>
      <c r="H69" s="658"/>
      <c r="I69" s="658"/>
      <c r="J69" s="659">
        <f>IF(J66&gt;0,J68-E77,0)</f>
        <v>0</v>
      </c>
    </row>
    <row r="70" spans="2:10" ht="15.75">
      <c r="B70" s="398" t="s">
        <v>471</v>
      </c>
      <c r="C70" s="423"/>
      <c r="D70" s="427"/>
      <c r="E70" s="396">
        <f>nhood!E8</f>
      </c>
      <c r="F70"/>
      <c r="G70" s="2"/>
      <c r="H70" s="2"/>
      <c r="I70" s="2"/>
      <c r="J70" s="2"/>
    </row>
    <row r="71" spans="2:10" ht="15.75">
      <c r="B71" s="398" t="s">
        <v>472</v>
      </c>
      <c r="C71" s="490"/>
      <c r="D71" s="427"/>
      <c r="E71" s="389"/>
      <c r="F71"/>
      <c r="G71" s="803" t="str">
        <f>CONCATENATE("Projected Carryover Into ",E1+1,"")</f>
        <v>Projected Carryover Into 2014</v>
      </c>
      <c r="H71" s="804"/>
      <c r="I71" s="804"/>
      <c r="J71" s="805"/>
    </row>
    <row r="72" spans="2:10" ht="15.75">
      <c r="B72" s="398" t="s">
        <v>374</v>
      </c>
      <c r="C72" s="260">
        <f>IF(C73*0.1&lt;C71,"Exceed 10% Rule","")</f>
      </c>
      <c r="D72" s="260">
        <f>IF(D73*0.1&lt;D71,"Exceed 10% Rule","")</f>
      </c>
      <c r="E72" s="297">
        <f>IF(E73*0.1&lt;E71,"Exceed 10% Rule","")</f>
      </c>
      <c r="F72"/>
      <c r="G72" s="660"/>
      <c r="H72" s="76"/>
      <c r="I72" s="76"/>
      <c r="J72" s="661"/>
    </row>
    <row r="73" spans="2:10" ht="15.75">
      <c r="B73" s="405" t="s">
        <v>625</v>
      </c>
      <c r="C73" s="424">
        <f>SUM(C63:C71)</f>
        <v>321508</v>
      </c>
      <c r="D73" s="424">
        <f>SUM(D63:D71)</f>
        <v>325000</v>
      </c>
      <c r="E73" s="410">
        <f>SUM(E63:E71)</f>
        <v>330261</v>
      </c>
      <c r="F73"/>
      <c r="G73" s="662">
        <f>D74</f>
        <v>0</v>
      </c>
      <c r="H73" s="630" t="str">
        <f>CONCATENATE("",E1-1," Ending Cash Balance (est.)")</f>
        <v>2012 Ending Cash Balance (est.)</v>
      </c>
      <c r="I73" s="663"/>
      <c r="J73" s="661"/>
    </row>
    <row r="74" spans="2:10" ht="15.75">
      <c r="B74" s="395" t="s">
        <v>732</v>
      </c>
      <c r="C74" s="429">
        <f>SUM(C61-C73)</f>
        <v>0</v>
      </c>
      <c r="D74" s="429">
        <f>SUM(D61-D73)</f>
        <v>0</v>
      </c>
      <c r="E74" s="412" t="s">
        <v>598</v>
      </c>
      <c r="F74"/>
      <c r="G74" s="662">
        <f>E60</f>
        <v>47612</v>
      </c>
      <c r="H74" s="648" t="str">
        <f>CONCATENATE("",E1," Non-AV Receipts (est.)")</f>
        <v>2013 Non-AV Receipts (est.)</v>
      </c>
      <c r="I74" s="663"/>
      <c r="J74" s="661"/>
    </row>
    <row r="75" spans="2:11" ht="15.75">
      <c r="B75" s="400" t="str">
        <f>CONCATENATE("",E1-2,"/",E1-1," Budget Authority Amount:")</f>
        <v>2011/2012 Budget Authority Amount:</v>
      </c>
      <c r="C75" s="402">
        <f>inputOth!B62</f>
        <v>330738</v>
      </c>
      <c r="D75" s="402">
        <f>inputPrYr!D19</f>
        <v>332884</v>
      </c>
      <c r="E75" s="412" t="s">
        <v>598</v>
      </c>
      <c r="F75" s="274"/>
      <c r="G75" s="664">
        <f>IF(E79&gt;0,E78,E80)</f>
        <v>282649</v>
      </c>
      <c r="H75" s="648" t="str">
        <f>CONCATENATE("",E1," Ad Valorem Tax (est.)")</f>
        <v>2013 Ad Valorem Tax (est.)</v>
      </c>
      <c r="I75" s="663"/>
      <c r="J75" s="661"/>
      <c r="K75" s="639">
        <f>IF(G75=E80,"","Note: Does not include Delinquent Taxes")</f>
      </c>
    </row>
    <row r="76" spans="2:10" ht="15.75">
      <c r="B76" s="400"/>
      <c r="C76" s="795" t="s">
        <v>245</v>
      </c>
      <c r="D76" s="796"/>
      <c r="E76" s="67"/>
      <c r="F76" s="665">
        <f>IF(E73/0.95-E73&lt;E76,"Exceeds 5%","")</f>
      </c>
      <c r="G76" s="666">
        <f>SUM(G73:G75)</f>
        <v>330261</v>
      </c>
      <c r="H76" s="648" t="str">
        <f>CONCATENATE("Total ",E1," Resources Available")</f>
        <v>Total 2013 Resources Available</v>
      </c>
      <c r="I76" s="667"/>
      <c r="J76" s="661"/>
    </row>
    <row r="77" spans="2:10" ht="15.75">
      <c r="B77" s="527" t="str">
        <f>CONCATENATE(C95,"     ",D95)</f>
        <v>     </v>
      </c>
      <c r="C77" s="797" t="s">
        <v>246</v>
      </c>
      <c r="D77" s="798"/>
      <c r="E77" s="396">
        <f>SUM(E73+E76)</f>
        <v>330261</v>
      </c>
      <c r="F77"/>
      <c r="G77" s="668"/>
      <c r="H77" s="669"/>
      <c r="I77" s="76"/>
      <c r="J77" s="661"/>
    </row>
    <row r="78" spans="2:10" ht="15.75">
      <c r="B78" s="527" t="str">
        <f>CONCATENATE(C96,"     ",D96)</f>
        <v>     </v>
      </c>
      <c r="C78" s="408"/>
      <c r="D78" s="401" t="s">
        <v>626</v>
      </c>
      <c r="E78" s="390">
        <f>IF(E77-E61&gt;0,E77-E61,0)</f>
        <v>282649</v>
      </c>
      <c r="F78"/>
      <c r="G78" s="670">
        <f>ROUND(C73*0.05+C73,0)</f>
        <v>337583</v>
      </c>
      <c r="H78" s="669" t="str">
        <f>CONCATENATE("Less ",E1-2," Expenditures + 5%")</f>
        <v>Less 2011 Expenditures + 5%</v>
      </c>
      <c r="I78" s="667"/>
      <c r="J78" s="661"/>
    </row>
    <row r="79" spans="2:10" ht="15.75">
      <c r="B79" s="401"/>
      <c r="C79" s="383" t="s">
        <v>244</v>
      </c>
      <c r="D79" s="723">
        <v>0</v>
      </c>
      <c r="E79" s="396">
        <f>ROUND(IF(D79&gt;0,(E78*D79),0),0)</f>
        <v>0</v>
      </c>
      <c r="F79"/>
      <c r="G79" s="671">
        <f>G76-G78</f>
        <v>-7322</v>
      </c>
      <c r="H79" s="672" t="str">
        <f>CONCATENATE("Projected ",E1+1," carryover (est.)")</f>
        <v>Projected 2014 carryover (est.)</v>
      </c>
      <c r="I79" s="673"/>
      <c r="J79" s="674"/>
    </row>
    <row r="80" spans="2:10" ht="16.5" thickBot="1">
      <c r="B80" s="385"/>
      <c r="C80" s="807" t="str">
        <f>CONCATENATE("Amount of  ",E1-1," Ad Valorem Tax")</f>
        <v>Amount of  2012 Ad Valorem Tax</v>
      </c>
      <c r="D80" s="808"/>
      <c r="E80" s="644">
        <f>SUM(E78:E79)</f>
        <v>282649</v>
      </c>
      <c r="F80" s="675" t="str">
        <f>IF('Library Grant'!F33="","",IF('Library Grant'!F33="Qualify","Qualifies for State Library Grant","See 'Library Grant' tab"))</f>
        <v>Qualifies for State Library Grant</v>
      </c>
      <c r="G80" s="2"/>
      <c r="H80" s="2"/>
      <c r="I80" s="2"/>
      <c r="J80" s="2"/>
    </row>
    <row r="81" spans="2:10" ht="16.5" thickTop="1">
      <c r="B81" s="401" t="s">
        <v>628</v>
      </c>
      <c r="C81" s="413">
        <v>9</v>
      </c>
      <c r="D81" s="391"/>
      <c r="E81" s="385"/>
      <c r="F81"/>
      <c r="G81" s="789" t="s">
        <v>439</v>
      </c>
      <c r="H81" s="790"/>
      <c r="I81" s="790"/>
      <c r="J81" s="791"/>
    </row>
    <row r="82" spans="6:10" ht="15.75">
      <c r="F82" s="2"/>
      <c r="G82" s="629"/>
      <c r="H82" s="630"/>
      <c r="I82" s="631"/>
      <c r="J82" s="632"/>
    </row>
    <row r="83" spans="2:10" ht="15.75">
      <c r="B83" s="392"/>
      <c r="C83" s="392"/>
      <c r="D83" s="384"/>
      <c r="E83" s="384"/>
      <c r="F83"/>
      <c r="G83" s="633">
        <f>summ!H17</f>
        <v>5.25</v>
      </c>
      <c r="H83" s="630" t="str">
        <f>CONCATENATE("",E1," Fund Mill Rate")</f>
        <v>2013 Fund Mill Rate</v>
      </c>
      <c r="I83" s="631"/>
      <c r="J83" s="632"/>
    </row>
    <row r="84" spans="6:10" ht="15.75">
      <c r="F84" s="2"/>
      <c r="G84" s="634">
        <f>summ!E17</f>
        <v>5.252</v>
      </c>
      <c r="H84" s="630" t="str">
        <f>CONCATENATE("",E1-1," Fund Mill Rate")</f>
        <v>2012 Fund Mill Rate</v>
      </c>
      <c r="I84" s="631"/>
      <c r="J84" s="632"/>
    </row>
    <row r="85" spans="6:10" ht="15.75">
      <c r="F85" s="2"/>
      <c r="G85" s="635">
        <f>summ!H52</f>
        <v>48.436</v>
      </c>
      <c r="H85" s="630" t="str">
        <f>CONCATENATE("Total ",E1," Mill Rate")</f>
        <v>Total 2013 Mill Rate</v>
      </c>
      <c r="I85" s="631"/>
      <c r="J85" s="632"/>
    </row>
    <row r="86" spans="6:10" ht="15.75">
      <c r="F86" s="2"/>
      <c r="G86" s="634">
        <f>summ!E52</f>
        <v>48.436</v>
      </c>
      <c r="H86" s="636" t="str">
        <f>CONCATENATE("Total ",E1-1," Mill Rate")</f>
        <v>Total 2012 Mill Rate</v>
      </c>
      <c r="I86" s="637"/>
      <c r="J86" s="638"/>
    </row>
    <row r="88" spans="3:4" ht="15.75">
      <c r="C88" s="386" t="s">
        <v>248</v>
      </c>
      <c r="D88" s="386" t="s">
        <v>248</v>
      </c>
    </row>
    <row r="89" spans="3:4" ht="15.75">
      <c r="C89" s="386" t="s">
        <v>248</v>
      </c>
      <c r="D89" s="386" t="s">
        <v>248</v>
      </c>
    </row>
    <row r="91" spans="3:4" ht="15.75">
      <c r="C91" s="386" t="s">
        <v>248</v>
      </c>
      <c r="D91" s="386" t="s">
        <v>248</v>
      </c>
    </row>
    <row r="92" spans="3:4" ht="1.5" customHeight="1">
      <c r="C92" s="386" t="s">
        <v>248</v>
      </c>
      <c r="D92" s="386" t="s">
        <v>248</v>
      </c>
    </row>
    <row r="93" spans="3:4" ht="15" customHeight="1" hidden="1">
      <c r="C93" s="526">
        <f>IF(C33&gt;C35,"See Tab A","")</f>
      </c>
      <c r="D93" s="526">
        <f>IF(D33&gt;D35,"See Tab C","")</f>
      </c>
    </row>
    <row r="94" spans="3:4" ht="15.75" customHeight="1" hidden="1">
      <c r="C94" s="526">
        <f>IF(C34&lt;0,"See Tab B","")</f>
      </c>
      <c r="D94" s="526">
        <f>IF(D34&lt;0,"See Tab D","")</f>
      </c>
    </row>
    <row r="95" spans="3:4" ht="1.5" customHeight="1" hidden="1">
      <c r="C95" s="526">
        <f>IF(C73&gt;C75,"See Tab A","")</f>
      </c>
      <c r="D95" s="526">
        <f>IF(D73&gt;D75,"See Tab C","")</f>
      </c>
    </row>
    <row r="96" spans="3:4" ht="43.5" customHeight="1" hidden="1">
      <c r="C96" s="526">
        <f>IF(C74&lt;0,"See Tab B","")</f>
      </c>
      <c r="D96" s="526">
        <f>IF(D74&lt;0,"See Tab D","")</f>
      </c>
    </row>
    <row r="97" ht="24.75" customHeight="1"/>
  </sheetData>
  <sheetProtection/>
  <mergeCells count="12">
    <mergeCell ref="C80:D80"/>
    <mergeCell ref="C76:D76"/>
    <mergeCell ref="C77:D77"/>
    <mergeCell ref="C36:D36"/>
    <mergeCell ref="C37:D37"/>
    <mergeCell ref="C40:D40"/>
    <mergeCell ref="G71:J71"/>
    <mergeCell ref="G81:J81"/>
    <mergeCell ref="G31:J31"/>
    <mergeCell ref="G24:J24"/>
    <mergeCell ref="G41:J41"/>
    <mergeCell ref="G64:J64"/>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E18">
    <cfRule type="cellIs" priority="20" dxfId="311" operator="greaterThan" stopIfTrue="1">
      <formula>$E$20*0.1+E40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36">
    <cfRule type="cellIs" priority="10" dxfId="311" operator="greaterThan" stopIfTrue="1">
      <formula>$E$33/0.95-$E$33</formula>
    </cfRule>
  </conditionalFormatting>
  <conditionalFormatting sqref="E76">
    <cfRule type="cellIs" priority="9" dxfId="311"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tabColor indexed="62"/>
    <pageSetUpPr fitToPage="1"/>
  </sheetPr>
  <dimension ref="B1:K97"/>
  <sheetViews>
    <sheetView zoomScalePageLayoutView="0" workbookViewId="0" topLeftCell="A56">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676</v>
      </c>
      <c r="C3" s="201"/>
      <c r="D3" s="201"/>
      <c r="E3" s="286"/>
    </row>
    <row r="4" spans="2:5" ht="15.75">
      <c r="B4" s="52" t="s">
        <v>609</v>
      </c>
      <c r="C4" s="709" t="s">
        <v>565</v>
      </c>
      <c r="D4" s="710" t="s">
        <v>566</v>
      </c>
      <c r="E4" s="144" t="s">
        <v>567</v>
      </c>
    </row>
    <row r="5" spans="2:5" ht="15.75">
      <c r="B5" s="531" t="str">
        <f>inputPrYr!B21</f>
        <v>Law Enforcement</v>
      </c>
      <c r="C5" s="223" t="str">
        <f>CONCATENATE("Actual for ",E1-2,"")</f>
        <v>Actual for 2011</v>
      </c>
      <c r="D5" s="223" t="str">
        <f>CONCATENATE("Estimate for ",E1-1,"")</f>
        <v>Estimate for 2012</v>
      </c>
      <c r="E5" s="208" t="str">
        <f>CONCATENATE("Year for ",E1,"")</f>
        <v>Year for 2013</v>
      </c>
    </row>
    <row r="6" spans="2:5" ht="15.75">
      <c r="B6" s="250" t="s">
        <v>731</v>
      </c>
      <c r="C6" s="255">
        <v>174501</v>
      </c>
      <c r="D6" s="253">
        <f>C34</f>
        <v>175773</v>
      </c>
      <c r="E6" s="226">
        <f>D34</f>
        <v>131421</v>
      </c>
    </row>
    <row r="7" spans="2:5" ht="15.75">
      <c r="B7" s="254" t="s">
        <v>733</v>
      </c>
      <c r="C7" s="159"/>
      <c r="D7" s="159"/>
      <c r="E7" s="87"/>
    </row>
    <row r="8" spans="2:5" ht="15.75">
      <c r="B8" s="150" t="s">
        <v>610</v>
      </c>
      <c r="C8" s="255">
        <v>102082</v>
      </c>
      <c r="D8" s="253">
        <v>103200</v>
      </c>
      <c r="E8" s="284" t="s">
        <v>598</v>
      </c>
    </row>
    <row r="9" spans="2:5" ht="15.75">
      <c r="B9" s="150" t="s">
        <v>611</v>
      </c>
      <c r="C9" s="255">
        <v>5398</v>
      </c>
      <c r="D9" s="255">
        <v>4300</v>
      </c>
      <c r="E9" s="67">
        <v>3200</v>
      </c>
    </row>
    <row r="10" spans="2:5" ht="15.75">
      <c r="B10" s="150" t="s">
        <v>612</v>
      </c>
      <c r="C10" s="255">
        <v>14689</v>
      </c>
      <c r="D10" s="255">
        <v>15700</v>
      </c>
      <c r="E10" s="226">
        <f>mvalloc!D10</f>
        <v>14634</v>
      </c>
    </row>
    <row r="11" spans="2:5" ht="15.75">
      <c r="B11" s="150" t="s">
        <v>613</v>
      </c>
      <c r="C11" s="255">
        <v>279</v>
      </c>
      <c r="D11" s="255">
        <v>300</v>
      </c>
      <c r="E11" s="226">
        <f>mvalloc!E10</f>
        <v>275</v>
      </c>
    </row>
    <row r="12" spans="2:5" ht="15.75">
      <c r="B12" s="159" t="s">
        <v>708</v>
      </c>
      <c r="C12" s="255">
        <v>26</v>
      </c>
      <c r="D12" s="255">
        <v>37</v>
      </c>
      <c r="E12" s="226">
        <f>mvalloc!F10</f>
        <v>30</v>
      </c>
    </row>
    <row r="13" spans="2:5" ht="15.75">
      <c r="B13" s="67" t="s">
        <v>282</v>
      </c>
      <c r="C13" s="255">
        <v>2544</v>
      </c>
      <c r="D13" s="255">
        <v>2100</v>
      </c>
      <c r="E13" s="67">
        <v>2200</v>
      </c>
    </row>
    <row r="14" spans="2:5" ht="15.75">
      <c r="B14" s="67" t="s">
        <v>283</v>
      </c>
      <c r="C14" s="255">
        <v>5965</v>
      </c>
      <c r="D14" s="255">
        <v>23</v>
      </c>
      <c r="E14" s="67">
        <v>0</v>
      </c>
    </row>
    <row r="15" spans="2:5" ht="15.75">
      <c r="B15" s="271" t="s">
        <v>284</v>
      </c>
      <c r="C15" s="255">
        <v>0</v>
      </c>
      <c r="D15" s="255">
        <v>0</v>
      </c>
      <c r="E15" s="67">
        <v>0</v>
      </c>
    </row>
    <row r="16" spans="2:5" ht="15.75">
      <c r="B16" s="271"/>
      <c r="C16" s="255"/>
      <c r="D16" s="255"/>
      <c r="E16" s="67"/>
    </row>
    <row r="17" spans="2:5" ht="15.75">
      <c r="B17" s="259" t="s">
        <v>617</v>
      </c>
      <c r="C17" s="255">
        <v>1145</v>
      </c>
      <c r="D17" s="255">
        <v>900</v>
      </c>
      <c r="E17" s="67">
        <v>1000</v>
      </c>
    </row>
    <row r="18" spans="2:5" ht="15.75">
      <c r="B18" s="159" t="s">
        <v>472</v>
      </c>
      <c r="C18" s="255">
        <v>30</v>
      </c>
      <c r="D18" s="255">
        <v>0</v>
      </c>
      <c r="E18" s="67">
        <v>100</v>
      </c>
    </row>
    <row r="19" spans="2:5" ht="15.75">
      <c r="B19" s="250" t="s">
        <v>373</v>
      </c>
      <c r="C19" s="260">
        <f>IF(C20*0.1&lt;C18,"Exceed 10% Rule","")</f>
      </c>
      <c r="D19" s="260">
        <f>IF(D20*0.1&lt;D18,"Exceed 10% Rule","")</f>
      </c>
      <c r="E19" s="297">
        <f>IF(E20*0.1+E40&lt;E18,"Exceed 10% Rule","")</f>
      </c>
    </row>
    <row r="20" spans="2:5" ht="15.75">
      <c r="B20" s="262" t="s">
        <v>618</v>
      </c>
      <c r="C20" s="264">
        <f>SUM(C8:C18)</f>
        <v>132158</v>
      </c>
      <c r="D20" s="264">
        <f>SUM(D8:D18)</f>
        <v>126560</v>
      </c>
      <c r="E20" s="265">
        <f>SUM(E8:E18)</f>
        <v>21439</v>
      </c>
    </row>
    <row r="21" spans="2:5" ht="15.75">
      <c r="B21" s="262" t="s">
        <v>619</v>
      </c>
      <c r="C21" s="268">
        <f>C6+C20</f>
        <v>306659</v>
      </c>
      <c r="D21" s="268">
        <f>D6+D20</f>
        <v>302333</v>
      </c>
      <c r="E21" s="82">
        <f>E6+E20</f>
        <v>152860</v>
      </c>
    </row>
    <row r="22" spans="2:5" ht="15.75">
      <c r="B22" s="150" t="s">
        <v>621</v>
      </c>
      <c r="C22" s="272"/>
      <c r="D22" s="272"/>
      <c r="E22" s="65"/>
    </row>
    <row r="23" spans="2:5" ht="15.75">
      <c r="B23" s="271" t="s">
        <v>285</v>
      </c>
      <c r="C23" s="255">
        <v>117297</v>
      </c>
      <c r="D23" s="255">
        <v>117297</v>
      </c>
      <c r="E23" s="67">
        <v>208736</v>
      </c>
    </row>
    <row r="24" spans="2:10" ht="15.75">
      <c r="B24" s="271" t="s">
        <v>286</v>
      </c>
      <c r="C24" s="255">
        <v>0</v>
      </c>
      <c r="D24" s="255">
        <v>52000</v>
      </c>
      <c r="E24" s="67">
        <v>50000</v>
      </c>
      <c r="G24" s="803" t="str">
        <f>CONCATENATE("Desired Carryover Into ",E1+1,"")</f>
        <v>Desired Carryover Into 2014</v>
      </c>
      <c r="H24" s="801"/>
      <c r="I24" s="801"/>
      <c r="J24" s="802"/>
    </row>
    <row r="25" spans="2:10" ht="15.75">
      <c r="B25" s="271" t="s">
        <v>282</v>
      </c>
      <c r="C25" s="255">
        <v>1615</v>
      </c>
      <c r="D25" s="255">
        <v>1615</v>
      </c>
      <c r="E25" s="67">
        <v>1800</v>
      </c>
      <c r="G25" s="647"/>
      <c r="H25" s="76"/>
      <c r="I25" s="648"/>
      <c r="J25" s="649"/>
    </row>
    <row r="26" spans="2:10" ht="15.75">
      <c r="B26" s="271"/>
      <c r="C26" s="255"/>
      <c r="D26" s="255"/>
      <c r="E26" s="67"/>
      <c r="G26" s="650" t="s">
        <v>361</v>
      </c>
      <c r="H26" s="648"/>
      <c r="I26" s="648"/>
      <c r="J26" s="651">
        <v>0</v>
      </c>
    </row>
    <row r="27" spans="2:10" ht="15.75">
      <c r="B27" s="271"/>
      <c r="C27" s="255"/>
      <c r="D27" s="255"/>
      <c r="E27" s="67"/>
      <c r="G27" s="647" t="s">
        <v>362</v>
      </c>
      <c r="H27" s="76"/>
      <c r="I27" s="76"/>
      <c r="J27" s="652">
        <f>IF(J26=0,"",ROUND((J26+E40-G39)/inputOth!E7*1000,3)-G44)</f>
      </c>
    </row>
    <row r="28" spans="2:10" ht="15.75">
      <c r="B28" s="271"/>
      <c r="C28" s="255"/>
      <c r="D28" s="255"/>
      <c r="E28" s="67"/>
      <c r="G28" s="653" t="str">
        <f>CONCATENATE("",E1," Tot Exp/Non-Appr Must Be:")</f>
        <v>2013 Tot Exp/Non-Appr Must Be:</v>
      </c>
      <c r="H28" s="654"/>
      <c r="I28" s="655"/>
      <c r="J28" s="656">
        <f>IF(J26&gt;0,IF(E37&lt;E21,IF(J26=G39,E37,((J26-G39)*(1-D39))+E21),E37+(J26-G39)),0)</f>
        <v>0</v>
      </c>
    </row>
    <row r="29" spans="2:10" ht="15.75">
      <c r="B29" s="271"/>
      <c r="C29" s="255"/>
      <c r="D29" s="255"/>
      <c r="E29" s="67"/>
      <c r="G29" s="657" t="s">
        <v>440</v>
      </c>
      <c r="H29" s="658"/>
      <c r="I29" s="658"/>
      <c r="J29" s="659">
        <f>IF(J26&gt;0,J28-E37,0)</f>
        <v>0</v>
      </c>
    </row>
    <row r="30" spans="2:10" ht="15.75">
      <c r="B30" s="272" t="s">
        <v>471</v>
      </c>
      <c r="C30" s="255"/>
      <c r="D30" s="255"/>
      <c r="E30" s="82">
        <f>nhood!E9</f>
      </c>
      <c r="J30" s="2"/>
    </row>
    <row r="31" spans="2:10" ht="15.75">
      <c r="B31" s="272" t="s">
        <v>472</v>
      </c>
      <c r="C31" s="255">
        <v>11974</v>
      </c>
      <c r="D31" s="255"/>
      <c r="E31" s="67"/>
      <c r="G31" s="803" t="str">
        <f>CONCATENATE("Projected Carryover Into ",E1+1,"")</f>
        <v>Projected Carryover Into 2014</v>
      </c>
      <c r="H31" s="809"/>
      <c r="I31" s="809"/>
      <c r="J31" s="805"/>
    </row>
    <row r="32" spans="2:10" ht="15.75">
      <c r="B32" s="272" t="s">
        <v>374</v>
      </c>
      <c r="C32" s="260">
        <f>IF(C33*0.1&lt;C31,"Exceed 10% Rule","")</f>
      </c>
      <c r="D32" s="260">
        <f>IF(D33*0.1&lt;D31,"Exceed 10% Rule","")</f>
      </c>
      <c r="E32" s="297">
        <f>IF(E33*0.1&lt;E31,"Exceed 10% Rule","")</f>
      </c>
      <c r="G32" s="647"/>
      <c r="H32" s="648"/>
      <c r="I32" s="648"/>
      <c r="J32" s="661"/>
    </row>
    <row r="33" spans="2:10" ht="15.75">
      <c r="B33" s="262" t="s">
        <v>625</v>
      </c>
      <c r="C33" s="264">
        <f>SUM(C23:C31)</f>
        <v>130886</v>
      </c>
      <c r="D33" s="264">
        <f>SUM(D23:D31)</f>
        <v>170912</v>
      </c>
      <c r="E33" s="265">
        <f>SUM(E23:E31)</f>
        <v>260536</v>
      </c>
      <c r="G33" s="662">
        <f>D34</f>
        <v>131421</v>
      </c>
      <c r="H33" s="630" t="str">
        <f>CONCATENATE("",E1-1," Ending Cash Balance (est.)")</f>
        <v>2012 Ending Cash Balance (est.)</v>
      </c>
      <c r="I33" s="663"/>
      <c r="J33" s="661"/>
    </row>
    <row r="34" spans="2:10" ht="15.75">
      <c r="B34" s="150" t="s">
        <v>732</v>
      </c>
      <c r="C34" s="268">
        <f>C21-C33</f>
        <v>175773</v>
      </c>
      <c r="D34" s="268">
        <f>D21-D33</f>
        <v>131421</v>
      </c>
      <c r="E34" s="284" t="s">
        <v>598</v>
      </c>
      <c r="G34" s="662">
        <f>E20</f>
        <v>21439</v>
      </c>
      <c r="H34" s="648" t="str">
        <f>CONCATENATE("",E1," Non-AV Receipts (est.)")</f>
        <v>2013 Non-AV Receipts (est.)</v>
      </c>
      <c r="I34" s="663"/>
      <c r="J34" s="661"/>
    </row>
    <row r="35" spans="2:11" ht="15.75">
      <c r="B35" s="136" t="str">
        <f>CONCATENATE("",E1-2,"/",E1-1," Budget Authority Amount:")</f>
        <v>2011/2012 Budget Authority Amount:</v>
      </c>
      <c r="C35" s="239">
        <f>inputOth!B63</f>
        <v>251767</v>
      </c>
      <c r="D35" s="239">
        <f>inputPrYr!D21</f>
        <v>256800</v>
      </c>
      <c r="E35" s="284" t="s">
        <v>598</v>
      </c>
      <c r="F35" s="274"/>
      <c r="G35" s="664">
        <f>IF(E39&gt;0,E38,E40)</f>
        <v>107676</v>
      </c>
      <c r="H35" s="648" t="str">
        <f>CONCATENATE("",E1," Ad Valorem Tax (est.)")</f>
        <v>2013 Ad Valorem Tax (est.)</v>
      </c>
      <c r="I35" s="663"/>
      <c r="J35" s="643"/>
      <c r="K35" s="639">
        <f>IF(G35=E40,"","Note: Does not include Delinquent Taxes")</f>
      </c>
    </row>
    <row r="36" spans="2:10" ht="15.75">
      <c r="B36" s="136"/>
      <c r="C36" s="795" t="s">
        <v>245</v>
      </c>
      <c r="D36" s="796"/>
      <c r="E36" s="67"/>
      <c r="F36" s="733">
        <f>IF(E33/0.95-E33&lt;E36,"Exceeds 5%","")</f>
      </c>
      <c r="G36" s="662">
        <f>SUM(G33:G35)</f>
        <v>260536</v>
      </c>
      <c r="H36" s="648" t="str">
        <f>CONCATENATE("Total ",E1," Resources Available")</f>
        <v>Total 2013 Resources Available</v>
      </c>
      <c r="I36" s="663"/>
      <c r="J36" s="661"/>
    </row>
    <row r="37" spans="2:10" ht="15.75">
      <c r="B37" s="527" t="str">
        <f>CONCATENATE(C94,"     ",D94)</f>
        <v>     </v>
      </c>
      <c r="C37" s="797" t="s">
        <v>246</v>
      </c>
      <c r="D37" s="798"/>
      <c r="E37" s="226">
        <f>E33+E36</f>
        <v>260536</v>
      </c>
      <c r="G37" s="699"/>
      <c r="H37" s="648"/>
      <c r="I37" s="648"/>
      <c r="J37" s="661"/>
    </row>
    <row r="38" spans="2:10" ht="15.75">
      <c r="B38" s="527" t="str">
        <f>CONCATENATE(C95,"     ",D95)</f>
        <v>     </v>
      </c>
      <c r="C38" s="275"/>
      <c r="D38" s="169" t="s">
        <v>626</v>
      </c>
      <c r="E38" s="82">
        <f>IF(E37-E21&gt;0,E37-E21,0)</f>
        <v>107676</v>
      </c>
      <c r="G38" s="664">
        <f>ROUND(C33*0.05+C33,0)</f>
        <v>137430</v>
      </c>
      <c r="H38" s="648" t="str">
        <f>CONCATENATE("Less ",E1-2," Expenditures + 5%")</f>
        <v>Less 2011 Expenditures + 5%</v>
      </c>
      <c r="I38" s="663"/>
      <c r="J38" s="661"/>
    </row>
    <row r="39" spans="2:10" ht="15.75">
      <c r="B39" s="169"/>
      <c r="C39" s="383" t="s">
        <v>244</v>
      </c>
      <c r="D39" s="723">
        <v>0</v>
      </c>
      <c r="E39" s="226">
        <f>ROUND(IF(D39&gt;0,(E38*D39),0),0)</f>
        <v>0</v>
      </c>
      <c r="G39" s="700">
        <f>G36-G38</f>
        <v>123106</v>
      </c>
      <c r="H39" s="701" t="str">
        <f>CONCATENATE("Projected ",E1+1," carryover (est.)")</f>
        <v>Projected 2014 carryover (est.)</v>
      </c>
      <c r="I39" s="702"/>
      <c r="J39" s="674"/>
    </row>
    <row r="40" spans="2:10" ht="16.5" thickBot="1">
      <c r="B40" s="169"/>
      <c r="C40" s="799" t="str">
        <f>CONCATENATE("Amount of  ",$E$1-1," Ad Valorem Tax")</f>
        <v>Amount of  2012 Ad Valorem Tax</v>
      </c>
      <c r="D40" s="800"/>
      <c r="E40" s="646">
        <f>E38+E39</f>
        <v>107676</v>
      </c>
      <c r="G40" s="2"/>
      <c r="H40" s="2"/>
      <c r="I40" s="2"/>
      <c r="J40" s="2"/>
    </row>
    <row r="41" spans="2:10" ht="16.5" thickTop="1">
      <c r="B41" s="47"/>
      <c r="C41" s="799"/>
      <c r="D41" s="810"/>
      <c r="E41" s="76"/>
      <c r="G41" s="789" t="s">
        <v>439</v>
      </c>
      <c r="H41" s="790"/>
      <c r="I41" s="790"/>
      <c r="J41" s="791"/>
    </row>
    <row r="42" spans="2:10" ht="15.75">
      <c r="B42" s="52"/>
      <c r="C42" s="287"/>
      <c r="D42" s="287"/>
      <c r="E42" s="287"/>
      <c r="G42" s="629"/>
      <c r="H42" s="630"/>
      <c r="I42" s="631"/>
      <c r="J42" s="632"/>
    </row>
    <row r="43" spans="2:10" ht="15.75">
      <c r="B43" s="52" t="s">
        <v>609</v>
      </c>
      <c r="C43" s="709" t="s">
        <v>565</v>
      </c>
      <c r="D43" s="710" t="s">
        <v>566</v>
      </c>
      <c r="E43" s="144" t="s">
        <v>567</v>
      </c>
      <c r="G43" s="633">
        <f>summ!H18</f>
        <v>2</v>
      </c>
      <c r="H43" s="630" t="str">
        <f>CONCATENATE("",E1," Fund Mill Rate")</f>
        <v>2013 Fund Mill Rate</v>
      </c>
      <c r="I43" s="631"/>
      <c r="J43" s="632"/>
    </row>
    <row r="44" spans="2:10" ht="15.75">
      <c r="B44" s="531" t="str">
        <f>(inputPrYr!B22)</f>
        <v>Special Liability</v>
      </c>
      <c r="C44" s="223" t="str">
        <f>CONCATENATE("Actual for ",E1-2,"")</f>
        <v>Actual for 2011</v>
      </c>
      <c r="D44" s="223" t="str">
        <f>CONCATENATE("Estimate for ",E1-1,"")</f>
        <v>Estimate for 2012</v>
      </c>
      <c r="E44" s="208" t="str">
        <f>CONCATENATE("Year for ",E1,"")</f>
        <v>Year for 2013</v>
      </c>
      <c r="G44" s="634">
        <f>summ!E18</f>
        <v>2</v>
      </c>
      <c r="H44" s="630" t="str">
        <f>CONCATENATE("",E1-1," Fund Mill Rate")</f>
        <v>2012 Fund Mill Rate</v>
      </c>
      <c r="I44" s="631"/>
      <c r="J44" s="632"/>
    </row>
    <row r="45" spans="2:10" ht="15.75">
      <c r="B45" s="250" t="s">
        <v>731</v>
      </c>
      <c r="C45" s="255">
        <v>18616</v>
      </c>
      <c r="D45" s="253">
        <f>C74</f>
        <v>4155</v>
      </c>
      <c r="E45" s="226">
        <f>D74</f>
        <v>803</v>
      </c>
      <c r="G45" s="635">
        <f>summ!H52</f>
        <v>48.436</v>
      </c>
      <c r="H45" s="630" t="str">
        <f>CONCATENATE("Total ",E1," Mill Rate")</f>
        <v>Total 2013 Mill Rate</v>
      </c>
      <c r="I45" s="631"/>
      <c r="J45" s="632"/>
    </row>
    <row r="46" spans="2:10" ht="15.75">
      <c r="B46" s="254" t="s">
        <v>733</v>
      </c>
      <c r="C46" s="159"/>
      <c r="D46" s="159"/>
      <c r="E46" s="87"/>
      <c r="G46" s="634">
        <f>summ!E52</f>
        <v>48.436</v>
      </c>
      <c r="H46" s="636" t="str">
        <f>CONCATENATE("Total ",E1-1," Mill Rate")</f>
        <v>Total 2012 Mill Rate</v>
      </c>
      <c r="I46" s="637"/>
      <c r="J46" s="638"/>
    </row>
    <row r="47" spans="2:5" ht="15.75">
      <c r="B47" s="150" t="s">
        <v>610</v>
      </c>
      <c r="C47" s="255">
        <v>17550</v>
      </c>
      <c r="D47" s="253">
        <v>33019</v>
      </c>
      <c r="E47" s="284" t="s">
        <v>598</v>
      </c>
    </row>
    <row r="48" spans="2:5" ht="15.75">
      <c r="B48" s="150" t="s">
        <v>611</v>
      </c>
      <c r="C48" s="255">
        <v>1375</v>
      </c>
      <c r="D48" s="255">
        <v>0</v>
      </c>
      <c r="E48" s="67">
        <v>0</v>
      </c>
    </row>
    <row r="49" spans="2:5" ht="15.75">
      <c r="B49" s="150" t="s">
        <v>612</v>
      </c>
      <c r="C49" s="255">
        <v>2559</v>
      </c>
      <c r="D49" s="255">
        <v>2571</v>
      </c>
      <c r="E49" s="226">
        <f>mvalloc!D11</f>
        <v>4573</v>
      </c>
    </row>
    <row r="50" spans="2:5" ht="15.75">
      <c r="B50" s="150" t="s">
        <v>613</v>
      </c>
      <c r="C50" s="255">
        <v>48</v>
      </c>
      <c r="D50" s="255">
        <v>52</v>
      </c>
      <c r="E50" s="226">
        <f>mvalloc!E11</f>
        <v>86</v>
      </c>
    </row>
    <row r="51" spans="2:5" ht="15.75">
      <c r="B51" s="159" t="s">
        <v>708</v>
      </c>
      <c r="C51" s="255">
        <v>7</v>
      </c>
      <c r="D51" s="255">
        <v>6</v>
      </c>
      <c r="E51" s="226">
        <f>mvalloc!F11</f>
        <v>9</v>
      </c>
    </row>
    <row r="52" spans="2:5" ht="15.75">
      <c r="B52" s="271"/>
      <c r="C52" s="255"/>
      <c r="D52" s="255"/>
      <c r="E52" s="67"/>
    </row>
    <row r="53" spans="2:5" ht="15.75">
      <c r="B53" s="271"/>
      <c r="C53" s="255"/>
      <c r="D53" s="255"/>
      <c r="E53" s="67"/>
    </row>
    <row r="54" spans="2:5" ht="15.75">
      <c r="B54" s="271"/>
      <c r="C54" s="255"/>
      <c r="D54" s="255"/>
      <c r="E54" s="67"/>
    </row>
    <row r="55" spans="2:5" ht="15.75">
      <c r="B55" s="271"/>
      <c r="C55" s="255"/>
      <c r="D55" s="255"/>
      <c r="E55" s="67"/>
    </row>
    <row r="56" spans="2:5" ht="15.75">
      <c r="B56" s="271"/>
      <c r="C56" s="255"/>
      <c r="D56" s="255"/>
      <c r="E56" s="67"/>
    </row>
    <row r="57" spans="2:5" ht="15.75">
      <c r="B57" s="259" t="s">
        <v>617</v>
      </c>
      <c r="C57" s="255"/>
      <c r="D57" s="255"/>
      <c r="E57" s="67"/>
    </row>
    <row r="58" spans="2:5" ht="15.75">
      <c r="B58" s="159" t="s">
        <v>472</v>
      </c>
      <c r="C58" s="255"/>
      <c r="D58" s="255"/>
      <c r="E58" s="67"/>
    </row>
    <row r="59" spans="2:5" ht="15.75">
      <c r="B59" s="250" t="s">
        <v>373</v>
      </c>
      <c r="C59" s="260">
        <f>IF(C60*0.1&lt;C58,"Exceed 10% Rule","")</f>
      </c>
      <c r="D59" s="260">
        <f>IF(D60*0.1&lt;D58,"Exceed 10% Rule","")</f>
      </c>
      <c r="E59" s="297">
        <f>IF(E60*0.1+E80&lt;E58,"Exceed 10% Rule","")</f>
      </c>
    </row>
    <row r="60" spans="2:5" ht="15.75">
      <c r="B60" s="262" t="s">
        <v>618</v>
      </c>
      <c r="C60" s="264">
        <f>SUM(C47:C58)</f>
        <v>21539</v>
      </c>
      <c r="D60" s="264">
        <f>SUM(D47:D58)</f>
        <v>35648</v>
      </c>
      <c r="E60" s="265">
        <f>SUM(E47:E58)</f>
        <v>4668</v>
      </c>
    </row>
    <row r="61" spans="2:5" ht="15.75">
      <c r="B61" s="262" t="s">
        <v>619</v>
      </c>
      <c r="C61" s="264">
        <f>C45+C60</f>
        <v>40155</v>
      </c>
      <c r="D61" s="264">
        <f>D45+D60</f>
        <v>39803</v>
      </c>
      <c r="E61" s="265">
        <f>E45+E60</f>
        <v>5471</v>
      </c>
    </row>
    <row r="62" spans="2:5" ht="15.75">
      <c r="B62" s="150" t="s">
        <v>621</v>
      </c>
      <c r="C62" s="272"/>
      <c r="D62" s="272"/>
      <c r="E62" s="65"/>
    </row>
    <row r="63" spans="2:5" ht="15.75">
      <c r="B63" s="271" t="s">
        <v>287</v>
      </c>
      <c r="C63" s="255">
        <v>36000</v>
      </c>
      <c r="D63" s="255">
        <v>39000</v>
      </c>
      <c r="E63" s="67">
        <v>50000</v>
      </c>
    </row>
    <row r="64" spans="2:10" ht="15.75">
      <c r="B64" s="271"/>
      <c r="C64" s="255"/>
      <c r="D64" s="255"/>
      <c r="E64" s="67"/>
      <c r="G64" s="803" t="str">
        <f>CONCATENATE("Desired Carryover Into ",E1+1,"")</f>
        <v>Desired Carryover Into 2014</v>
      </c>
      <c r="H64" s="801"/>
      <c r="I64" s="801"/>
      <c r="J64" s="802"/>
    </row>
    <row r="65" spans="2:10" ht="15.75">
      <c r="B65" s="271"/>
      <c r="C65" s="255"/>
      <c r="D65" s="255"/>
      <c r="E65" s="67"/>
      <c r="G65" s="647"/>
      <c r="H65" s="76"/>
      <c r="I65" s="648"/>
      <c r="J65" s="649"/>
    </row>
    <row r="66" spans="2:10" ht="15.75">
      <c r="B66" s="271"/>
      <c r="C66" s="255"/>
      <c r="D66" s="255"/>
      <c r="E66" s="67"/>
      <c r="G66" s="650" t="s">
        <v>361</v>
      </c>
      <c r="H66" s="648"/>
      <c r="I66" s="648"/>
      <c r="J66" s="651">
        <v>0</v>
      </c>
    </row>
    <row r="67" spans="2:10" ht="15.75">
      <c r="B67" s="271"/>
      <c r="C67" s="255"/>
      <c r="D67" s="255"/>
      <c r="E67" s="67"/>
      <c r="G67" s="647" t="s">
        <v>362</v>
      </c>
      <c r="H67" s="76"/>
      <c r="I67" s="76"/>
      <c r="J67" s="652">
        <f>IF(J66=0,"",ROUND((J66+E80-G79)/inputOth!E7*1000,3)-G84)</f>
      </c>
    </row>
    <row r="68" spans="2:10" ht="15.75">
      <c r="B68" s="271"/>
      <c r="C68" s="255"/>
      <c r="D68" s="255"/>
      <c r="E68" s="67"/>
      <c r="G68" s="653" t="str">
        <f>CONCATENATE("",E1," Tot Exp/Non-Appr Must Be:")</f>
        <v>2013 Tot Exp/Non-Appr Must Be:</v>
      </c>
      <c r="H68" s="654"/>
      <c r="I68" s="655"/>
      <c r="J68" s="656">
        <f>IF(J66&gt;0,IF(E77&lt;E61,IF(J66=G79,E77,((J66-G79)*(1-D79))+E61),E77+(J66-G79)),0)</f>
        <v>0</v>
      </c>
    </row>
    <row r="69" spans="2:10" ht="15.75">
      <c r="B69" s="271"/>
      <c r="C69" s="255"/>
      <c r="D69" s="255"/>
      <c r="E69" s="67"/>
      <c r="G69" s="657" t="s">
        <v>440</v>
      </c>
      <c r="H69" s="658"/>
      <c r="I69" s="658"/>
      <c r="J69" s="659">
        <f>IF(J66&gt;0,J68-E77,0)</f>
        <v>0</v>
      </c>
    </row>
    <row r="70" spans="2:10" ht="15.75">
      <c r="B70" s="272" t="s">
        <v>471</v>
      </c>
      <c r="C70" s="255"/>
      <c r="D70" s="255"/>
      <c r="E70" s="82">
        <f>nhood!E10</f>
      </c>
      <c r="J70" s="2"/>
    </row>
    <row r="71" spans="2:10" ht="15.75">
      <c r="B71" s="272" t="s">
        <v>472</v>
      </c>
      <c r="C71" s="255"/>
      <c r="D71" s="255"/>
      <c r="E71" s="67"/>
      <c r="G71" s="803" t="str">
        <f>CONCATENATE("Projected Carryover Into ",E1+1,"")</f>
        <v>Projected Carryover Into 2014</v>
      </c>
      <c r="H71" s="804"/>
      <c r="I71" s="804"/>
      <c r="J71" s="805"/>
    </row>
    <row r="72" spans="2:10" ht="15.75">
      <c r="B72" s="272" t="s">
        <v>374</v>
      </c>
      <c r="C72" s="260">
        <f>IF(C73*0.1&lt;C71,"Exceed 10% Rule","")</f>
      </c>
      <c r="D72" s="260">
        <f>IF(D73*0.1&lt;D71,"Exceed 10% Rule","")</f>
      </c>
      <c r="E72" s="297">
        <f>IF(E73*0.1&lt;E71,"Exceed 10% Rule","")</f>
      </c>
      <c r="G72" s="660"/>
      <c r="H72" s="76"/>
      <c r="I72" s="76"/>
      <c r="J72" s="667"/>
    </row>
    <row r="73" spans="2:10" ht="15.75">
      <c r="B73" s="262" t="s">
        <v>625</v>
      </c>
      <c r="C73" s="264">
        <f>SUM(C63:C71)</f>
        <v>36000</v>
      </c>
      <c r="D73" s="264">
        <f>SUM(D63:D71)</f>
        <v>39000</v>
      </c>
      <c r="E73" s="265">
        <f>SUM(E63:E71)</f>
        <v>50000</v>
      </c>
      <c r="G73" s="662">
        <f>D74</f>
        <v>803</v>
      </c>
      <c r="H73" s="630" t="str">
        <f>CONCATENATE("",E1-1," Ending Cash Balance (est.)")</f>
        <v>2012 Ending Cash Balance (est.)</v>
      </c>
      <c r="I73" s="663"/>
      <c r="J73" s="667"/>
    </row>
    <row r="74" spans="2:10" ht="15.75">
      <c r="B74" s="150" t="s">
        <v>732</v>
      </c>
      <c r="C74" s="268">
        <f>C61-C73</f>
        <v>4155</v>
      </c>
      <c r="D74" s="268">
        <f>D61-D73</f>
        <v>803</v>
      </c>
      <c r="E74" s="284" t="s">
        <v>598</v>
      </c>
      <c r="G74" s="662">
        <f>E60</f>
        <v>4668</v>
      </c>
      <c r="H74" s="648" t="str">
        <f>CONCATENATE("",E1," Non-AV Receipts (est.)")</f>
        <v>2013 Non-AV Receipts (est.)</v>
      </c>
      <c r="I74" s="663"/>
      <c r="J74" s="667"/>
    </row>
    <row r="75" spans="2:11" ht="15.75">
      <c r="B75" s="136" t="str">
        <f>CONCATENATE("",E1-2,"/",E1-1," Budget Authority Amount:")</f>
        <v>2011/2012 Budget Authority Amount:</v>
      </c>
      <c r="C75" s="239">
        <f>inputOth!B64</f>
        <v>36000</v>
      </c>
      <c r="D75" s="239">
        <f>inputPrYr!D22</f>
        <v>39000</v>
      </c>
      <c r="E75" s="284" t="s">
        <v>598</v>
      </c>
      <c r="F75" s="274"/>
      <c r="G75" s="664">
        <f>IF(D79&gt;0,E78,E80)</f>
        <v>44529</v>
      </c>
      <c r="H75" s="648" t="str">
        <f>CONCATENATE("",E1," Ad Valorem Tax (est.)")</f>
        <v>2013 Ad Valorem Tax (est.)</v>
      </c>
      <c r="I75" s="663"/>
      <c r="J75" s="667"/>
      <c r="K75" s="639" t="str">
        <f>IF(G75=E80,"","Note: Does not include Delinquent Taxes")</f>
        <v>Note: Does not include Delinquent Taxes</v>
      </c>
    </row>
    <row r="76" spans="2:10" ht="15.75">
      <c r="B76" s="136"/>
      <c r="C76" s="795" t="s">
        <v>245</v>
      </c>
      <c r="D76" s="796"/>
      <c r="E76" s="67"/>
      <c r="F76" s="733">
        <f>IF(E73/0.95-E73&lt;E76,"Exceeds 5%","")</f>
      </c>
      <c r="G76" s="666">
        <f>SUM(G73:G75)</f>
        <v>50000</v>
      </c>
      <c r="H76" s="648" t="str">
        <f>CONCATENATE("Total ",E1," Resources Available")</f>
        <v>Total 2013 Resources Available</v>
      </c>
      <c r="I76" s="667"/>
      <c r="J76" s="667"/>
    </row>
    <row r="77" spans="2:10" ht="15.75">
      <c r="B77" s="527" t="str">
        <f>CONCATENATE(C96,"     ",D96)</f>
        <v>     </v>
      </c>
      <c r="C77" s="797" t="s">
        <v>246</v>
      </c>
      <c r="D77" s="798"/>
      <c r="E77" s="226">
        <f>E73+E76</f>
        <v>50000</v>
      </c>
      <c r="G77" s="668"/>
      <c r="H77" s="669"/>
      <c r="I77" s="76"/>
      <c r="J77" s="667"/>
    </row>
    <row r="78" spans="2:10" ht="15.75">
      <c r="B78" s="527" t="str">
        <f>CONCATENATE(C97,"     ",D97)</f>
        <v>     </v>
      </c>
      <c r="C78" s="275"/>
      <c r="D78" s="169" t="s">
        <v>626</v>
      </c>
      <c r="E78" s="82">
        <f>IF(E77-E61&gt;0,E77-E61,0)</f>
        <v>44529</v>
      </c>
      <c r="G78" s="670">
        <f>ROUND(C73*0.05+C73,0)</f>
        <v>37800</v>
      </c>
      <c r="H78" s="669" t="str">
        <f>CONCATENATE("Less ",E1-2," Expenditures + 5%")</f>
        <v>Less 2011 Expenditures + 5%</v>
      </c>
      <c r="I78" s="667"/>
      <c r="J78" s="667"/>
    </row>
    <row r="79" spans="2:10" ht="15.75">
      <c r="B79" s="169"/>
      <c r="C79" s="383" t="s">
        <v>244</v>
      </c>
      <c r="D79" s="723">
        <f>inputOth!$E$47</f>
        <v>0.025</v>
      </c>
      <c r="E79" s="226">
        <f>ROUND(IF(D79&gt;0,(E78*D79),0),0)</f>
        <v>1113</v>
      </c>
      <c r="G79" s="671">
        <f>G76-G78</f>
        <v>12200</v>
      </c>
      <c r="H79" s="672" t="str">
        <f>CONCATENATE("Projected ",E1+1," carryover (est.)")</f>
        <v>Projected 2014 carryover (est.)</v>
      </c>
      <c r="I79" s="673"/>
      <c r="J79" s="674"/>
    </row>
    <row r="80" spans="2:9" ht="16.5" thickBot="1">
      <c r="B80" s="47"/>
      <c r="C80" s="799" t="str">
        <f>CONCATENATE("Amount of  ",$E$1-1," Ad Valorem Tax")</f>
        <v>Amount of  2012 Ad Valorem Tax</v>
      </c>
      <c r="D80" s="800"/>
      <c r="E80" s="646">
        <f>E78+E79</f>
        <v>45642</v>
      </c>
      <c r="G80" s="2"/>
      <c r="H80" s="2"/>
      <c r="I80" s="2"/>
    </row>
    <row r="81" spans="2:10" ht="16.5" thickTop="1">
      <c r="B81" s="401" t="s">
        <v>628</v>
      </c>
      <c r="C81" s="280">
        <v>10</v>
      </c>
      <c r="D81" s="47"/>
      <c r="E81" s="47"/>
      <c r="G81" s="789" t="s">
        <v>439</v>
      </c>
      <c r="H81" s="790"/>
      <c r="I81" s="790"/>
      <c r="J81" s="791"/>
    </row>
    <row r="82" spans="2:10" ht="15.75">
      <c r="B82" s="32"/>
      <c r="G82" s="629"/>
      <c r="H82" s="630"/>
      <c r="I82" s="631"/>
      <c r="J82" s="632"/>
    </row>
    <row r="83" spans="7:10" ht="15.75">
      <c r="G83" s="633">
        <f>summ!H19</f>
        <v>0.848</v>
      </c>
      <c r="H83" s="630" t="str">
        <f>CONCATENATE("",E1," Fund Mill Rate")</f>
        <v>2013 Fund Mill Rate</v>
      </c>
      <c r="I83" s="631"/>
      <c r="J83" s="632"/>
    </row>
    <row r="84" spans="7:10" ht="15.75">
      <c r="G84" s="634">
        <f>summ!E19</f>
        <v>0.625</v>
      </c>
      <c r="H84" s="630" t="str">
        <f>CONCATENATE("",E1-1," Fund Mill Rate")</f>
        <v>2012 Fund Mill Rate</v>
      </c>
      <c r="I84" s="631"/>
      <c r="J84" s="632"/>
    </row>
    <row r="85" spans="7:10" ht="15.75">
      <c r="G85" s="635">
        <f>summ!H52</f>
        <v>48.436</v>
      </c>
      <c r="H85" s="630" t="str">
        <f>CONCATENATE("Total ",E1," Mill Rate")</f>
        <v>Total 2013 Mill Rate</v>
      </c>
      <c r="I85" s="631"/>
      <c r="J85" s="632"/>
    </row>
    <row r="86" spans="7:10" ht="15.75">
      <c r="G86" s="634">
        <f>summ!E52</f>
        <v>48.436</v>
      </c>
      <c r="H86" s="636" t="str">
        <f>CONCATENATE("Total ",E1-1," Mill Rate")</f>
        <v>Total 2012 Mill Rate</v>
      </c>
      <c r="I86" s="637"/>
      <c r="J86" s="638"/>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mergeCells count="13">
    <mergeCell ref="G81:J81"/>
    <mergeCell ref="C80:D80"/>
    <mergeCell ref="C40:D40"/>
    <mergeCell ref="G71:J71"/>
    <mergeCell ref="C76:D76"/>
    <mergeCell ref="C77:D77"/>
    <mergeCell ref="G24:J24"/>
    <mergeCell ref="G31:J31"/>
    <mergeCell ref="G41:J41"/>
    <mergeCell ref="G64:J64"/>
    <mergeCell ref="C36:D36"/>
    <mergeCell ref="C37:D37"/>
    <mergeCell ref="C41:D41"/>
  </mergeCells>
  <conditionalFormatting sqref="E71">
    <cfRule type="cellIs" priority="3" dxfId="311" operator="greaterThan" stopIfTrue="1">
      <formula>$E$73*0.1</formula>
    </cfRule>
  </conditionalFormatting>
  <conditionalFormatting sqref="E76">
    <cfRule type="cellIs" priority="4" dxfId="311" operator="greaterThan" stopIfTrue="1">
      <formula>$E$73/0.95-$E$73</formula>
    </cfRule>
  </conditionalFormatting>
  <conditionalFormatting sqref="E31">
    <cfRule type="cellIs" priority="5" dxfId="311" operator="greaterThan" stopIfTrue="1">
      <formula>$E$33*0.1</formula>
    </cfRule>
  </conditionalFormatting>
  <conditionalFormatting sqref="E36">
    <cfRule type="cellIs" priority="6" dxfId="311"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11" operator="greaterThan" stopIfTrue="1">
      <formula>$E$20*0.1+E40</formula>
    </cfRule>
  </conditionalFormatting>
  <conditionalFormatting sqref="E58">
    <cfRule type="cellIs" priority="21" dxfId="311"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676</v>
      </c>
      <c r="C3" s="201"/>
      <c r="D3" s="201"/>
      <c r="E3" s="286"/>
    </row>
    <row r="4" spans="2:5" ht="15.75">
      <c r="B4" s="52" t="s">
        <v>609</v>
      </c>
      <c r="C4" s="709" t="s">
        <v>565</v>
      </c>
      <c r="D4" s="710" t="s">
        <v>566</v>
      </c>
      <c r="E4" s="144" t="s">
        <v>567</v>
      </c>
    </row>
    <row r="5" spans="2:5" ht="15.75">
      <c r="B5" s="531">
        <f>inputPrYr!B23</f>
        <v>0</v>
      </c>
      <c r="C5" s="223" t="str">
        <f>CONCATENATE("Actual for ",E1-2,"")</f>
        <v>Actual for 2011</v>
      </c>
      <c r="D5" s="223" t="str">
        <f>CONCATENATE("Estimate for ",E1-1,"")</f>
        <v>Estimate for 2012</v>
      </c>
      <c r="E5" s="208" t="str">
        <f>CONCATENATE("Year for ",E1,"")</f>
        <v>Year for 2013</v>
      </c>
    </row>
    <row r="6" spans="2:5" ht="15.75">
      <c r="B6" s="250" t="s">
        <v>731</v>
      </c>
      <c r="C6" s="255"/>
      <c r="D6" s="253">
        <f>C34</f>
        <v>0</v>
      </c>
      <c r="E6" s="226">
        <f>D34</f>
        <v>0</v>
      </c>
    </row>
    <row r="7" spans="2:5" ht="15.75">
      <c r="B7" s="254" t="s">
        <v>733</v>
      </c>
      <c r="C7" s="253"/>
      <c r="D7" s="253"/>
      <c r="E7" s="226"/>
    </row>
    <row r="8" spans="2:5" ht="15.75">
      <c r="B8" s="150" t="s">
        <v>610</v>
      </c>
      <c r="C8" s="255"/>
      <c r="D8" s="253">
        <f>IF(inputPrYr!H16&gt;0,inputPrYr!G23,inputPrYr!E23)</f>
        <v>0</v>
      </c>
      <c r="E8" s="284" t="s">
        <v>598</v>
      </c>
    </row>
    <row r="9" spans="2:5" ht="15.75">
      <c r="B9" s="150" t="s">
        <v>611</v>
      </c>
      <c r="C9" s="255"/>
      <c r="D9" s="255"/>
      <c r="E9" s="67"/>
    </row>
    <row r="10" spans="2:5" ht="15.75">
      <c r="B10" s="150" t="s">
        <v>612</v>
      </c>
      <c r="C10" s="255"/>
      <c r="D10" s="255"/>
      <c r="E10" s="226" t="str">
        <f>mvalloc!D12</f>
        <v>  </v>
      </c>
    </row>
    <row r="11" spans="2:5" ht="15.75">
      <c r="B11" s="150" t="s">
        <v>613</v>
      </c>
      <c r="C11" s="255"/>
      <c r="D11" s="255"/>
      <c r="E11" s="226" t="str">
        <f>mvalloc!E12</f>
        <v> </v>
      </c>
    </row>
    <row r="12" spans="2:5" ht="15.75">
      <c r="B12" s="159" t="s">
        <v>708</v>
      </c>
      <c r="C12" s="255"/>
      <c r="D12" s="255"/>
      <c r="E12" s="226" t="str">
        <f>mvalloc!F12</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617</v>
      </c>
      <c r="C17" s="255"/>
      <c r="D17" s="255"/>
      <c r="E17" s="67"/>
    </row>
    <row r="18" spans="2:5" ht="15.75">
      <c r="B18" s="159" t="s">
        <v>472</v>
      </c>
      <c r="C18" s="255"/>
      <c r="D18" s="255"/>
      <c r="E18" s="67"/>
    </row>
    <row r="19" spans="2:5" ht="15.75">
      <c r="B19" s="250" t="s">
        <v>373</v>
      </c>
      <c r="C19" s="260">
        <f>IF(C20*0.1&lt;C18,"Exceed 10% Rule","")</f>
      </c>
      <c r="D19" s="260">
        <f>IF(D20*0.1&lt;D18,"Exceed 10% Rule","")</f>
      </c>
      <c r="E19" s="297">
        <f>IF(E20*0.1+E40&lt;E18,"Exceed 10% Rule","")</f>
      </c>
    </row>
    <row r="20" spans="2:5" ht="15.75">
      <c r="B20" s="262" t="s">
        <v>618</v>
      </c>
      <c r="C20" s="264">
        <f>SUM(C8:C18)</f>
        <v>0</v>
      </c>
      <c r="D20" s="264">
        <f>SUM(D8:D18)</f>
        <v>0</v>
      </c>
      <c r="E20" s="265">
        <f>SUM(E8:E18)</f>
        <v>0</v>
      </c>
    </row>
    <row r="21" spans="2:5" ht="15.75">
      <c r="B21" s="262" t="s">
        <v>619</v>
      </c>
      <c r="C21" s="264">
        <f>C6+C20</f>
        <v>0</v>
      </c>
      <c r="D21" s="264">
        <f>D6+D20</f>
        <v>0</v>
      </c>
      <c r="E21" s="265">
        <f>E6+E20</f>
        <v>0</v>
      </c>
    </row>
    <row r="22" spans="2:6" ht="15.75">
      <c r="B22" s="150" t="s">
        <v>621</v>
      </c>
      <c r="C22" s="272"/>
      <c r="D22" s="272"/>
      <c r="E22" s="65"/>
      <c r="F22" s="288"/>
    </row>
    <row r="23" spans="2:5" ht="15.75">
      <c r="B23" s="289"/>
      <c r="C23" s="255"/>
      <c r="D23" s="255"/>
      <c r="E23" s="103"/>
    </row>
    <row r="24" spans="2:10" ht="15.75">
      <c r="B24" s="289"/>
      <c r="C24" s="255"/>
      <c r="D24" s="255"/>
      <c r="E24" s="103"/>
      <c r="G24" s="803" t="str">
        <f>CONCATENATE("Desired Carryover Into ",E1+1,"")</f>
        <v>Desired Carryover Into 2014</v>
      </c>
      <c r="H24" s="801"/>
      <c r="I24" s="801"/>
      <c r="J24" s="802"/>
    </row>
    <row r="25" spans="2:10" ht="15.75">
      <c r="B25" s="289"/>
      <c r="C25" s="255"/>
      <c r="D25" s="255"/>
      <c r="E25" s="103"/>
      <c r="G25" s="647"/>
      <c r="H25" s="76"/>
      <c r="I25" s="648"/>
      <c r="J25" s="649"/>
    </row>
    <row r="26" spans="2:10" ht="15.75">
      <c r="B26" s="271"/>
      <c r="C26" s="255"/>
      <c r="D26" s="255"/>
      <c r="E26" s="67"/>
      <c r="G26" s="650" t="s">
        <v>361</v>
      </c>
      <c r="H26" s="648"/>
      <c r="I26" s="648"/>
      <c r="J26" s="651">
        <v>0</v>
      </c>
    </row>
    <row r="27" spans="2:10" ht="15.75">
      <c r="B27" s="271"/>
      <c r="C27" s="255"/>
      <c r="D27" s="255"/>
      <c r="E27" s="67"/>
      <c r="G27" s="647" t="s">
        <v>362</v>
      </c>
      <c r="H27" s="76"/>
      <c r="I27" s="76"/>
      <c r="J27" s="652">
        <f>IF(J26=0,"",ROUND((J26+E40-G39)/inputOth!E7*1000,3)-G44)</f>
      </c>
    </row>
    <row r="28" spans="2:10" ht="15.75">
      <c r="B28" s="271"/>
      <c r="C28" s="255"/>
      <c r="D28" s="255"/>
      <c r="E28" s="67"/>
      <c r="G28" s="653" t="str">
        <f>CONCATENATE("",E1," Tot Exp/Non-Appr Must Be:")</f>
        <v>2013 Tot Exp/Non-Appr Must Be:</v>
      </c>
      <c r="H28" s="654"/>
      <c r="I28" s="655"/>
      <c r="J28" s="656">
        <f>IF(J26&gt;0,IF(E37&lt;E21,IF(J26=G39,E37,((J26-G39)*(1-D39))+E21),E37+(J26-G39)),0)</f>
        <v>0</v>
      </c>
    </row>
    <row r="29" spans="2:10" ht="15.75">
      <c r="B29" s="271"/>
      <c r="C29" s="255"/>
      <c r="D29" s="255"/>
      <c r="E29" s="67"/>
      <c r="G29" s="657" t="s">
        <v>440</v>
      </c>
      <c r="H29" s="658"/>
      <c r="I29" s="658"/>
      <c r="J29" s="659">
        <f>IF(J26&gt;0,J28-E37,0)</f>
        <v>0</v>
      </c>
    </row>
    <row r="30" spans="2:10" ht="15.75">
      <c r="B30" s="272" t="s">
        <v>471</v>
      </c>
      <c r="C30" s="255"/>
      <c r="D30" s="255"/>
      <c r="E30" s="82">
        <f>nhood!E11</f>
      </c>
      <c r="J30" s="2"/>
    </row>
    <row r="31" spans="2:10" ht="15.75">
      <c r="B31" s="272" t="s">
        <v>472</v>
      </c>
      <c r="C31" s="255"/>
      <c r="D31" s="255"/>
      <c r="E31" s="67"/>
      <c r="G31" s="803" t="str">
        <f>CONCATENATE("Projected Carryover Into ",E1+1,"")</f>
        <v>Projected Carryover Into 2014</v>
      </c>
      <c r="H31" s="809"/>
      <c r="I31" s="809"/>
      <c r="J31" s="805"/>
    </row>
    <row r="32" spans="2:10" ht="15.75">
      <c r="B32" s="272" t="s">
        <v>374</v>
      </c>
      <c r="C32" s="260">
        <f>IF(C33*0.1&lt;C31,"Exceed 10% Rule","")</f>
      </c>
      <c r="D32" s="260">
        <f>IF(D33*0.1&lt;D31,"Exceed 10% Rule","")</f>
      </c>
      <c r="E32" s="297">
        <f>IF(E33*0.1&lt;E31,"Exceed 10% Rule","")</f>
      </c>
      <c r="G32" s="647"/>
      <c r="H32" s="648"/>
      <c r="I32" s="648"/>
      <c r="J32" s="661"/>
    </row>
    <row r="33" spans="2:10" ht="15.75">
      <c r="B33" s="262" t="s">
        <v>625</v>
      </c>
      <c r="C33" s="264">
        <f>SUM(C23:C31)</f>
        <v>0</v>
      </c>
      <c r="D33" s="264">
        <f>SUM(D23:D31)</f>
        <v>0</v>
      </c>
      <c r="E33" s="265">
        <f>SUM(E23:E31)</f>
        <v>0</v>
      </c>
      <c r="G33" s="662">
        <f>D34</f>
        <v>0</v>
      </c>
      <c r="H33" s="630" t="str">
        <f>CONCATENATE("",E1-1," Ending Cash Balance (est.)")</f>
        <v>2012 Ending Cash Balance (est.)</v>
      </c>
      <c r="I33" s="663"/>
      <c r="J33" s="661"/>
    </row>
    <row r="34" spans="2:10" ht="15.75">
      <c r="B34" s="150" t="s">
        <v>732</v>
      </c>
      <c r="C34" s="268">
        <f>C21-C33</f>
        <v>0</v>
      </c>
      <c r="D34" s="268">
        <f>D21-D33</f>
        <v>0</v>
      </c>
      <c r="E34" s="284" t="s">
        <v>598</v>
      </c>
      <c r="G34" s="662">
        <f>E20</f>
        <v>0</v>
      </c>
      <c r="H34" s="648" t="str">
        <f>CONCATENATE("",E1," Non-AV Receipts (est.)")</f>
        <v>2013 Non-AV Receipts (est.)</v>
      </c>
      <c r="I34" s="663"/>
      <c r="J34" s="661"/>
    </row>
    <row r="35" spans="2:11" ht="15.75">
      <c r="B35" s="136" t="str">
        <f>CONCATENATE("",E1-2,"/",E1-1," Budget Authority Amount:")</f>
        <v>2011/2012 Budget Authority Amount:</v>
      </c>
      <c r="C35" s="239">
        <f>inputOth!B65</f>
        <v>0</v>
      </c>
      <c r="D35" s="239">
        <f>inputPrYr!D23</f>
        <v>0</v>
      </c>
      <c r="E35" s="284" t="s">
        <v>598</v>
      </c>
      <c r="F35" s="274"/>
      <c r="G35" s="664">
        <f>IF(E39&gt;0,E38,E40)</f>
        <v>0</v>
      </c>
      <c r="H35" s="648" t="str">
        <f>CONCATENATE("",E1," Ad Valorem Tax (est.)")</f>
        <v>2013 Ad Valorem Tax (est.)</v>
      </c>
      <c r="I35" s="663"/>
      <c r="J35" s="643"/>
      <c r="K35" s="639">
        <f>IF(G35=E40,"","Note: Does not include Delinquent Taxes")</f>
      </c>
    </row>
    <row r="36" spans="2:10" ht="15.75">
      <c r="B36" s="136"/>
      <c r="C36" s="795" t="s">
        <v>245</v>
      </c>
      <c r="D36" s="796"/>
      <c r="E36" s="67"/>
      <c r="F36" s="733">
        <f>IF(E33/0.95-E33&lt;E36,"Exceeds 5%","")</f>
      </c>
      <c r="G36" s="662">
        <f>SUM(G33:G35)</f>
        <v>0</v>
      </c>
      <c r="H36" s="648" t="str">
        <f>CONCATENATE("Total ",E1," Resources Available")</f>
        <v>Total 2013 Resources Available</v>
      </c>
      <c r="I36" s="663"/>
      <c r="J36" s="661"/>
    </row>
    <row r="37" spans="2:10" ht="15.75">
      <c r="B37" s="527" t="str">
        <f>CONCATENATE(C94,"     ",D94)</f>
        <v>     </v>
      </c>
      <c r="C37" s="797" t="s">
        <v>246</v>
      </c>
      <c r="D37" s="798"/>
      <c r="E37" s="226">
        <f>E33+E36</f>
        <v>0</v>
      </c>
      <c r="G37" s="699"/>
      <c r="H37" s="648"/>
      <c r="I37" s="648"/>
      <c r="J37" s="661"/>
    </row>
    <row r="38" spans="2:10" ht="15.75">
      <c r="B38" s="527" t="str">
        <f>CONCATENATE(C95,"     ",D95)</f>
        <v>     </v>
      </c>
      <c r="C38" s="275"/>
      <c r="D38" s="169" t="s">
        <v>626</v>
      </c>
      <c r="E38" s="82">
        <f>IF(E37-E21&gt;0,E37-E21,0)</f>
        <v>0</v>
      </c>
      <c r="G38" s="664">
        <f>ROUND(C33*0.05+C33,0)</f>
        <v>0</v>
      </c>
      <c r="H38" s="648" t="str">
        <f>CONCATENATE("Less ",E1-2," Expenditures + 5%")</f>
        <v>Less 2011 Expenditures + 5%</v>
      </c>
      <c r="I38" s="663"/>
      <c r="J38" s="661"/>
    </row>
    <row r="39" spans="2:10" ht="15.75">
      <c r="B39" s="169"/>
      <c r="C39" s="383" t="s">
        <v>244</v>
      </c>
      <c r="D39" s="723">
        <f>inputOth!$E$47</f>
        <v>0.025</v>
      </c>
      <c r="E39" s="226">
        <f>ROUND(IF(D39&gt;0,(E38*D39),0),0)</f>
        <v>0</v>
      </c>
      <c r="G39" s="700">
        <f>G36-G38</f>
        <v>0</v>
      </c>
      <c r="H39" s="701" t="str">
        <f>CONCATENATE("Projected ",E1+1," carryover (est.)")</f>
        <v>Projected 2014 carryover (est.)</v>
      </c>
      <c r="I39" s="702"/>
      <c r="J39" s="674"/>
    </row>
    <row r="40" spans="2:10" ht="16.5" thickBot="1">
      <c r="B40" s="169"/>
      <c r="C40" s="799" t="str">
        <f>CONCATENATE("Amount of  ",$E$1-1," Ad Valorem Tax")</f>
        <v>Amount of  2012 Ad Valorem Tax</v>
      </c>
      <c r="D40" s="800"/>
      <c r="E40" s="646">
        <f>E38+E39</f>
        <v>0</v>
      </c>
      <c r="G40" s="2"/>
      <c r="H40" s="2"/>
      <c r="I40" s="2"/>
      <c r="J40" s="2"/>
    </row>
    <row r="41" spans="2:10" ht="16.5" thickTop="1">
      <c r="B41" s="47"/>
      <c r="C41" s="799"/>
      <c r="D41" s="810"/>
      <c r="E41" s="76"/>
      <c r="G41" s="789" t="s">
        <v>439</v>
      </c>
      <c r="H41" s="790"/>
      <c r="I41" s="790"/>
      <c r="J41" s="791"/>
    </row>
    <row r="42" spans="2:10" ht="15.75">
      <c r="B42" s="52"/>
      <c r="C42" s="287"/>
      <c r="D42" s="287"/>
      <c r="E42" s="287"/>
      <c r="G42" s="629"/>
      <c r="H42" s="630"/>
      <c r="I42" s="631"/>
      <c r="J42" s="632"/>
    </row>
    <row r="43" spans="2:10" ht="15.75">
      <c r="B43" s="52" t="s">
        <v>609</v>
      </c>
      <c r="C43" s="709" t="s">
        <v>565</v>
      </c>
      <c r="D43" s="710" t="s">
        <v>566</v>
      </c>
      <c r="E43" s="144" t="s">
        <v>567</v>
      </c>
      <c r="G43" s="633" t="str">
        <f>summ!H20</f>
        <v>  </v>
      </c>
      <c r="H43" s="630" t="str">
        <f>CONCATENATE("",E1," Fund Mill Rate")</f>
        <v>2013 Fund Mill Rate</v>
      </c>
      <c r="I43" s="631"/>
      <c r="J43" s="632"/>
    </row>
    <row r="44" spans="2:10" ht="15.75">
      <c r="B44" s="531">
        <f>inputPrYr!B24</f>
        <v>0</v>
      </c>
      <c r="C44" s="223" t="str">
        <f>CONCATENATE("Actual for ",E1-2,"")</f>
        <v>Actual for 2011</v>
      </c>
      <c r="D44" s="223" t="str">
        <f>CONCATENATE("Estimate for ",E1-1,"")</f>
        <v>Estimate for 2012</v>
      </c>
      <c r="E44" s="208" t="str">
        <f>CONCATENATE("Year for ",E1,"")</f>
        <v>Year for 2013</v>
      </c>
      <c r="G44" s="634" t="str">
        <f>summ!E20</f>
        <v>  </v>
      </c>
      <c r="H44" s="630" t="str">
        <f>CONCATENATE("",E1-1," Fund Mill Rate")</f>
        <v>2012 Fund Mill Rate</v>
      </c>
      <c r="I44" s="631"/>
      <c r="J44" s="632"/>
    </row>
    <row r="45" spans="2:10" ht="15.75">
      <c r="B45" s="250" t="s">
        <v>731</v>
      </c>
      <c r="C45" s="255"/>
      <c r="D45" s="253">
        <f>C74</f>
        <v>0</v>
      </c>
      <c r="E45" s="226">
        <f>D74</f>
        <v>0</v>
      </c>
      <c r="G45" s="635">
        <f>summ!H52</f>
        <v>48.436</v>
      </c>
      <c r="H45" s="630" t="str">
        <f>CONCATENATE("Total ",E1," Mill Rate")</f>
        <v>Total 2013 Mill Rate</v>
      </c>
      <c r="I45" s="631"/>
      <c r="J45" s="632"/>
    </row>
    <row r="46" spans="2:10" ht="15.75">
      <c r="B46" s="254" t="s">
        <v>733</v>
      </c>
      <c r="C46" s="159"/>
      <c r="D46" s="159"/>
      <c r="E46" s="87"/>
      <c r="G46" s="634">
        <f>summ!E52</f>
        <v>48.436</v>
      </c>
      <c r="H46" s="636" t="str">
        <f>CONCATENATE("Total ",E1-1," Mill Rate")</f>
        <v>Total 2012 Mill Rate</v>
      </c>
      <c r="I46" s="637"/>
      <c r="J46" s="638"/>
    </row>
    <row r="47" spans="2:5" ht="15.75">
      <c r="B47" s="150" t="s">
        <v>610</v>
      </c>
      <c r="C47" s="255"/>
      <c r="D47" s="253">
        <f>IF(inputPrYr!H16&gt;0,inputPrYr!G24,inputPrYr!E24)</f>
        <v>0</v>
      </c>
      <c r="E47" s="284" t="s">
        <v>598</v>
      </c>
    </row>
    <row r="48" spans="2:5" ht="15.75">
      <c r="B48" s="150" t="s">
        <v>611</v>
      </c>
      <c r="C48" s="255"/>
      <c r="D48" s="255"/>
      <c r="E48" s="67"/>
    </row>
    <row r="49" spans="2:5" ht="15.75">
      <c r="B49" s="150" t="s">
        <v>612</v>
      </c>
      <c r="C49" s="255"/>
      <c r="D49" s="255"/>
      <c r="E49" s="226" t="str">
        <f>mvalloc!D13</f>
        <v>  </v>
      </c>
    </row>
    <row r="50" spans="2:5" ht="15.75">
      <c r="B50" s="150" t="s">
        <v>613</v>
      </c>
      <c r="C50" s="255"/>
      <c r="D50" s="255"/>
      <c r="E50" s="226" t="str">
        <f>mvalloc!E13</f>
        <v> </v>
      </c>
    </row>
    <row r="51" spans="2:5" ht="15.75">
      <c r="B51" s="159" t="s">
        <v>708</v>
      </c>
      <c r="C51" s="255"/>
      <c r="D51" s="255"/>
      <c r="E51" s="226" t="str">
        <f>mvalloc!F13</f>
        <v> </v>
      </c>
    </row>
    <row r="52" spans="2:5" ht="15.75">
      <c r="B52" s="67"/>
      <c r="C52" s="255"/>
      <c r="D52" s="255"/>
      <c r="E52" s="67"/>
    </row>
    <row r="53" spans="2:5" ht="15.75">
      <c r="B53" s="67"/>
      <c r="C53" s="255"/>
      <c r="D53" s="255"/>
      <c r="E53" s="67"/>
    </row>
    <row r="54" spans="2:5" ht="15.75">
      <c r="B54" s="67"/>
      <c r="C54" s="255"/>
      <c r="D54" s="255"/>
      <c r="E54" s="67"/>
    </row>
    <row r="55" spans="2:5" ht="15.75">
      <c r="B55" s="271"/>
      <c r="C55" s="255"/>
      <c r="D55" s="255"/>
      <c r="E55" s="67"/>
    </row>
    <row r="56" spans="2:5" ht="15.75">
      <c r="B56" s="271"/>
      <c r="C56" s="255"/>
      <c r="D56" s="255"/>
      <c r="E56" s="67"/>
    </row>
    <row r="57" spans="2:5" ht="15.75">
      <c r="B57" s="259" t="s">
        <v>617</v>
      </c>
      <c r="C57" s="255"/>
      <c r="D57" s="255"/>
      <c r="E57" s="67"/>
    </row>
    <row r="58" spans="2:5" ht="15.75">
      <c r="B58" s="159" t="s">
        <v>472</v>
      </c>
      <c r="C58" s="255"/>
      <c r="D58" s="255"/>
      <c r="E58" s="67"/>
    </row>
    <row r="59" spans="2:5" ht="15.75">
      <c r="B59" s="250" t="s">
        <v>373</v>
      </c>
      <c r="C59" s="260">
        <f>IF(C60*0.1&lt;C58,"Exceed 10% Rule","")</f>
      </c>
      <c r="D59" s="260">
        <f>IF(D60*0.1&lt;D58,"Exceed 10% Rule","")</f>
      </c>
      <c r="E59" s="297">
        <f>IF(E60*0.1+E80&lt;E58,"Exceed 10% Rule","")</f>
      </c>
    </row>
    <row r="60" spans="2:5" ht="15.75">
      <c r="B60" s="262" t="s">
        <v>618</v>
      </c>
      <c r="C60" s="264">
        <f>SUM(C47:C58)</f>
        <v>0</v>
      </c>
      <c r="D60" s="264">
        <f>SUM(D47:D58)</f>
        <v>0</v>
      </c>
      <c r="E60" s="265">
        <f>SUM(E48:E58)</f>
        <v>0</v>
      </c>
    </row>
    <row r="61" spans="2:5" ht="15.75">
      <c r="B61" s="262" t="s">
        <v>619</v>
      </c>
      <c r="C61" s="264">
        <f>C45+C60</f>
        <v>0</v>
      </c>
      <c r="D61" s="264">
        <f>D45+D60</f>
        <v>0</v>
      </c>
      <c r="E61" s="265">
        <f>E45+E60</f>
        <v>0</v>
      </c>
    </row>
    <row r="62" spans="2:5" ht="15.75">
      <c r="B62" s="150" t="s">
        <v>621</v>
      </c>
      <c r="C62" s="272"/>
      <c r="D62" s="272"/>
      <c r="E62" s="65"/>
    </row>
    <row r="63" spans="2:5" ht="15.75">
      <c r="B63" s="271"/>
      <c r="C63" s="255"/>
      <c r="D63" s="255"/>
      <c r="E63" s="67"/>
    </row>
    <row r="64" spans="2:10" ht="15.75">
      <c r="B64" s="271"/>
      <c r="C64" s="255"/>
      <c r="D64" s="255"/>
      <c r="E64" s="67"/>
      <c r="G64" s="803" t="str">
        <f>CONCATENATE("Desired Carryover Into ",E1+1,"")</f>
        <v>Desired Carryover Into 2014</v>
      </c>
      <c r="H64" s="801"/>
      <c r="I64" s="801"/>
      <c r="J64" s="802"/>
    </row>
    <row r="65" spans="2:10" ht="15.75">
      <c r="B65" s="271"/>
      <c r="C65" s="255"/>
      <c r="D65" s="255"/>
      <c r="E65" s="67"/>
      <c r="G65" s="647"/>
      <c r="H65" s="76"/>
      <c r="I65" s="648"/>
      <c r="J65" s="649"/>
    </row>
    <row r="66" spans="2:10" ht="15.75">
      <c r="B66" s="271"/>
      <c r="C66" s="255"/>
      <c r="D66" s="255"/>
      <c r="E66" s="67"/>
      <c r="G66" s="650" t="s">
        <v>361</v>
      </c>
      <c r="H66" s="648"/>
      <c r="I66" s="648"/>
      <c r="J66" s="651">
        <v>0</v>
      </c>
    </row>
    <row r="67" spans="2:10" ht="15.75">
      <c r="B67" s="271"/>
      <c r="C67" s="255"/>
      <c r="D67" s="255"/>
      <c r="E67" s="67"/>
      <c r="G67" s="647" t="s">
        <v>362</v>
      </c>
      <c r="H67" s="76"/>
      <c r="I67" s="76"/>
      <c r="J67" s="652">
        <f>IF(J66=0,"",ROUND((J66+E80-G79)/inputOth!E7*1000,3)-G84)</f>
      </c>
    </row>
    <row r="68" spans="2:10" ht="15.75">
      <c r="B68" s="271"/>
      <c r="C68" s="255"/>
      <c r="D68" s="255"/>
      <c r="E68" s="67"/>
      <c r="G68" s="653" t="str">
        <f>CONCATENATE("",E1," Tot Exp/Non-Appr Must Be:")</f>
        <v>2013 Tot Exp/Non-Appr Must Be:</v>
      </c>
      <c r="H68" s="654"/>
      <c r="I68" s="655"/>
      <c r="J68" s="656">
        <f>IF(J66&gt;0,IF(E77&lt;E61,IF(J66=G79,E77,((J66-G79)*(1-D79))+E61),E77+(J66-G79)),0)</f>
        <v>0</v>
      </c>
    </row>
    <row r="69" spans="2:10" ht="15.75">
      <c r="B69" s="271"/>
      <c r="C69" s="255"/>
      <c r="D69" s="255"/>
      <c r="E69" s="67"/>
      <c r="G69" s="657" t="s">
        <v>440</v>
      </c>
      <c r="H69" s="658"/>
      <c r="I69" s="658"/>
      <c r="J69" s="659">
        <f>IF(J66&gt;0,J68-E77,0)</f>
        <v>0</v>
      </c>
    </row>
    <row r="70" spans="2:10" ht="15.75">
      <c r="B70" s="272" t="s">
        <v>471</v>
      </c>
      <c r="C70" s="255"/>
      <c r="D70" s="255"/>
      <c r="E70" s="82">
        <f>nhood!E12</f>
      </c>
      <c r="J70" s="2"/>
    </row>
    <row r="71" spans="2:10" ht="15.75">
      <c r="B71" s="272" t="s">
        <v>472</v>
      </c>
      <c r="C71" s="255"/>
      <c r="D71" s="255"/>
      <c r="E71" s="67"/>
      <c r="G71" s="803" t="str">
        <f>CONCATENATE("Projected Carryover Into ",E1+1,"")</f>
        <v>Projected Carryover Into 2014</v>
      </c>
      <c r="H71" s="804"/>
      <c r="I71" s="804"/>
      <c r="J71" s="805"/>
    </row>
    <row r="72" spans="2:10" ht="15.75">
      <c r="B72" s="272" t="s">
        <v>374</v>
      </c>
      <c r="C72" s="260">
        <f>IF(C73*0.1&lt;C71,"Exceed 10% Rule","")</f>
      </c>
      <c r="D72" s="260">
        <f>IF(D73*0.1&lt;D71,"Exceed 10% Rule","")</f>
      </c>
      <c r="E72" s="297">
        <f>IF(E73*0.1&lt;E71,"Exceed 10% Rule","")</f>
      </c>
      <c r="G72" s="660"/>
      <c r="H72" s="76"/>
      <c r="I72" s="76"/>
      <c r="J72" s="667"/>
    </row>
    <row r="73" spans="2:10" ht="15.75">
      <c r="B73" s="262" t="s">
        <v>625</v>
      </c>
      <c r="C73" s="264">
        <f>SUM(C63:C71)</f>
        <v>0</v>
      </c>
      <c r="D73" s="264">
        <f>SUM(D63:D71)</f>
        <v>0</v>
      </c>
      <c r="E73" s="265">
        <f>SUM(E63:E71)</f>
        <v>0</v>
      </c>
      <c r="G73" s="662">
        <f>D74</f>
        <v>0</v>
      </c>
      <c r="H73" s="630" t="str">
        <f>CONCATENATE("",E1-1," Ending Cash Balance (est.)")</f>
        <v>2012 Ending Cash Balance (est.)</v>
      </c>
      <c r="I73" s="663"/>
      <c r="J73" s="667"/>
    </row>
    <row r="74" spans="2:10" ht="15.75">
      <c r="B74" s="150" t="s">
        <v>732</v>
      </c>
      <c r="C74" s="268">
        <f>C61-C73</f>
        <v>0</v>
      </c>
      <c r="D74" s="268">
        <f>D61-D73</f>
        <v>0</v>
      </c>
      <c r="E74" s="284" t="s">
        <v>598</v>
      </c>
      <c r="G74" s="662">
        <f>E60</f>
        <v>0</v>
      </c>
      <c r="H74" s="648" t="str">
        <f>CONCATENATE("",E1," Non-AV Receipts (est.)")</f>
        <v>2013 Non-AV Receipts (est.)</v>
      </c>
      <c r="I74" s="663"/>
      <c r="J74" s="667"/>
    </row>
    <row r="75" spans="2:11" ht="15.75">
      <c r="B75" s="136" t="str">
        <f>CONCATENATE("",E1-2,"/",E1-1," Budget Authority Amount:")</f>
        <v>2011/2012 Budget Authority Amount:</v>
      </c>
      <c r="C75" s="239">
        <f>inputOth!B66</f>
        <v>0</v>
      </c>
      <c r="D75" s="239">
        <f>inputPrYr!D24</f>
        <v>0</v>
      </c>
      <c r="E75" s="284" t="s">
        <v>598</v>
      </c>
      <c r="F75" s="274"/>
      <c r="G75" s="664">
        <f>IF(D79&gt;0,E78,E80)</f>
        <v>0</v>
      </c>
      <c r="H75" s="648" t="str">
        <f>CONCATENATE("",E1," Ad Valorem Tax (est.)")</f>
        <v>2013 Ad Valorem Tax (est.)</v>
      </c>
      <c r="I75" s="663"/>
      <c r="J75" s="667"/>
      <c r="K75" s="639">
        <f>IF(G75=E80,"","Note: Does not include Delinquent Taxes")</f>
      </c>
    </row>
    <row r="76" spans="2:10" ht="15.75">
      <c r="B76" s="136"/>
      <c r="C76" s="795" t="s">
        <v>245</v>
      </c>
      <c r="D76" s="796"/>
      <c r="E76" s="67"/>
      <c r="F76" s="733">
        <f>IF(E73/0.95-E73&lt;E76,"Exceeds 5%","")</f>
      </c>
      <c r="G76" s="666">
        <f>SUM(G73:G75)</f>
        <v>0</v>
      </c>
      <c r="H76" s="648" t="str">
        <f>CONCATENATE("Total ",E1," Resources Available")</f>
        <v>Total 2013 Resources Available</v>
      </c>
      <c r="I76" s="667"/>
      <c r="J76" s="667"/>
    </row>
    <row r="77" spans="2:10" ht="15.75">
      <c r="B77" s="527" t="str">
        <f>CONCATENATE(C96,"     ",D96)</f>
        <v>     </v>
      </c>
      <c r="C77" s="797" t="s">
        <v>246</v>
      </c>
      <c r="D77" s="798"/>
      <c r="E77" s="226">
        <f>E73+E76</f>
        <v>0</v>
      </c>
      <c r="G77" s="668"/>
      <c r="H77" s="669"/>
      <c r="I77" s="76"/>
      <c r="J77" s="667"/>
    </row>
    <row r="78" spans="2:10" ht="15.75">
      <c r="B78" s="527" t="str">
        <f>CONCATENATE(C97,"     ",D97)</f>
        <v>     </v>
      </c>
      <c r="C78" s="275"/>
      <c r="D78" s="169" t="s">
        <v>626</v>
      </c>
      <c r="E78" s="82">
        <f>IF(E77-E61&gt;0,E77-E61,0)</f>
        <v>0</v>
      </c>
      <c r="G78" s="670">
        <f>ROUND(C73*0.05+C73,0)</f>
        <v>0</v>
      </c>
      <c r="H78" s="669" t="str">
        <f>CONCATENATE("Less ",E1-2," Expenditures + 5%")</f>
        <v>Less 2011 Expenditures + 5%</v>
      </c>
      <c r="I78" s="667"/>
      <c r="J78" s="667"/>
    </row>
    <row r="79" spans="2:10" ht="15.75">
      <c r="B79" s="169"/>
      <c r="C79" s="383" t="s">
        <v>244</v>
      </c>
      <c r="D79" s="723">
        <f>inputOth!$E$47</f>
        <v>0.025</v>
      </c>
      <c r="E79" s="226">
        <f>ROUND(IF(D79&gt;0,(E78*D79),0),0)</f>
        <v>0</v>
      </c>
      <c r="G79" s="671">
        <f>G76-G78</f>
        <v>0</v>
      </c>
      <c r="H79" s="672" t="str">
        <f>CONCATENATE("Projected ",E1+1," carryover (est.)")</f>
        <v>Projected 2014 carryover (est.)</v>
      </c>
      <c r="I79" s="673"/>
      <c r="J79" s="674"/>
    </row>
    <row r="80" spans="2:9" ht="16.5" thickBot="1">
      <c r="B80" s="47"/>
      <c r="C80" s="799" t="str">
        <f>CONCATENATE("Amount of  ",$E$1-1," Ad Valorem Tax")</f>
        <v>Amount of  2012 Ad Valorem Tax</v>
      </c>
      <c r="D80" s="800"/>
      <c r="E80" s="646">
        <f>E78+E79</f>
        <v>0</v>
      </c>
      <c r="G80" s="2"/>
      <c r="H80" s="2"/>
      <c r="I80" s="2"/>
    </row>
    <row r="81" spans="2:10" ht="16.5" thickTop="1">
      <c r="B81" s="47"/>
      <c r="C81" s="47"/>
      <c r="D81" s="47"/>
      <c r="E81" s="47"/>
      <c r="G81" s="789" t="s">
        <v>439</v>
      </c>
      <c r="H81" s="790"/>
      <c r="I81" s="790"/>
      <c r="J81" s="791"/>
    </row>
    <row r="82" spans="2:10" ht="15.75">
      <c r="B82" s="401" t="s">
        <v>628</v>
      </c>
      <c r="C82" s="280"/>
      <c r="D82" s="47"/>
      <c r="E82" s="47"/>
      <c r="G82" s="629"/>
      <c r="H82" s="630"/>
      <c r="I82" s="631"/>
      <c r="J82" s="632"/>
    </row>
    <row r="83" spans="7:10" ht="15.75">
      <c r="G83" s="633" t="str">
        <f>summ!H21</f>
        <v>  </v>
      </c>
      <c r="H83" s="630" t="str">
        <f>CONCATENATE("",E1," Fund Mill Rate")</f>
        <v>2013 Fund Mill Rate</v>
      </c>
      <c r="I83" s="631"/>
      <c r="J83" s="632"/>
    </row>
    <row r="84" spans="7:10" ht="15.75">
      <c r="G84" s="634" t="str">
        <f>summ!E21</f>
        <v>  </v>
      </c>
      <c r="H84" s="630" t="str">
        <f>CONCATENATE("",E1-1," Fund Mill Rate")</f>
        <v>2012 Fund Mill Rate</v>
      </c>
      <c r="I84" s="631"/>
      <c r="J84" s="632"/>
    </row>
    <row r="85" spans="7:10" ht="15.75">
      <c r="G85" s="635">
        <f>summ!H52</f>
        <v>48.436</v>
      </c>
      <c r="H85" s="630" t="str">
        <f>CONCATENATE("Total ",E1," Mill Rate")</f>
        <v>Total 2013 Mill Rate</v>
      </c>
      <c r="I85" s="631"/>
      <c r="J85" s="632"/>
    </row>
    <row r="86" spans="7:10" ht="15.75">
      <c r="G86" s="634">
        <f>summ!E52</f>
        <v>48.436</v>
      </c>
      <c r="H86" s="636" t="str">
        <f>CONCATENATE("Total ",E1-1," Mill Rate")</f>
        <v>Total 2012 Mill Rate</v>
      </c>
      <c r="I86" s="637"/>
      <c r="J86" s="638"/>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3">
    <mergeCell ref="C80:D80"/>
    <mergeCell ref="C76:D76"/>
    <mergeCell ref="C77:D77"/>
    <mergeCell ref="C36:D36"/>
    <mergeCell ref="C37:D37"/>
    <mergeCell ref="C41:D41"/>
    <mergeCell ref="C40:D40"/>
    <mergeCell ref="G71:J71"/>
    <mergeCell ref="G81:J81"/>
    <mergeCell ref="G24:J24"/>
    <mergeCell ref="G31:J31"/>
    <mergeCell ref="G41:J41"/>
    <mergeCell ref="G64:J64"/>
  </mergeCells>
  <conditionalFormatting sqref="E71">
    <cfRule type="cellIs" priority="3" dxfId="311" operator="greaterThan" stopIfTrue="1">
      <formula>$E$73*0.1</formula>
    </cfRule>
  </conditionalFormatting>
  <conditionalFormatting sqref="E76">
    <cfRule type="cellIs" priority="4" dxfId="311" operator="greaterThan" stopIfTrue="1">
      <formula>$E$73/0.95-$E$73</formula>
    </cfRule>
  </conditionalFormatting>
  <conditionalFormatting sqref="E31">
    <cfRule type="cellIs" priority="5" dxfId="311" operator="greaterThan" stopIfTrue="1">
      <formula>$E$33*0.1</formula>
    </cfRule>
  </conditionalFormatting>
  <conditionalFormatting sqref="E36">
    <cfRule type="cellIs" priority="6" dxfId="311"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1" operator="greaterThan" stopIfTrue="1">
      <formula>$E$60*0.1+E80</formula>
    </cfRule>
  </conditionalFormatting>
  <conditionalFormatting sqref="E18">
    <cfRule type="cellIs" priority="21" dxfId="31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676</v>
      </c>
      <c r="C3" s="201"/>
      <c r="D3" s="201"/>
      <c r="E3" s="286"/>
    </row>
    <row r="4" spans="2:5" ht="15.75">
      <c r="B4" s="52" t="s">
        <v>609</v>
      </c>
      <c r="C4" s="709" t="s">
        <v>565</v>
      </c>
      <c r="D4" s="710" t="s">
        <v>566</v>
      </c>
      <c r="E4" s="144" t="s">
        <v>567</v>
      </c>
    </row>
    <row r="5" spans="2:5" ht="15.75">
      <c r="B5" s="531">
        <f>inputPrYr!B25</f>
        <v>0</v>
      </c>
      <c r="C5" s="223" t="str">
        <f>CONCATENATE("Actual for ",E1-2,"")</f>
        <v>Actual for 2011</v>
      </c>
      <c r="D5" s="223" t="str">
        <f>CONCATENATE("Estimate for ",E1-1,"")</f>
        <v>Estimate for 2012</v>
      </c>
      <c r="E5" s="208" t="str">
        <f>CONCATENATE("Year for ",E1,"")</f>
        <v>Year for 2013</v>
      </c>
    </row>
    <row r="6" spans="2:5" ht="15.75">
      <c r="B6" s="250" t="s">
        <v>731</v>
      </c>
      <c r="C6" s="255"/>
      <c r="D6" s="253">
        <f>C34</f>
        <v>0</v>
      </c>
      <c r="E6" s="226">
        <f>D34</f>
        <v>0</v>
      </c>
    </row>
    <row r="7" spans="2:5" ht="15.75">
      <c r="B7" s="254" t="s">
        <v>733</v>
      </c>
      <c r="C7" s="159"/>
      <c r="D7" s="159"/>
      <c r="E7" s="87"/>
    </row>
    <row r="8" spans="2:5" ht="15.75">
      <c r="B8" s="150" t="s">
        <v>610</v>
      </c>
      <c r="C8" s="255"/>
      <c r="D8" s="253">
        <f>IF(inputPrYr!H16&gt;0,inputPrYr!G25,inputPrYr!E25)</f>
        <v>0</v>
      </c>
      <c r="E8" s="284" t="s">
        <v>598</v>
      </c>
    </row>
    <row r="9" spans="2:5" ht="15.75">
      <c r="B9" s="150" t="s">
        <v>611</v>
      </c>
      <c r="C9" s="255"/>
      <c r="D9" s="255"/>
      <c r="E9" s="67"/>
    </row>
    <row r="10" spans="2:5" ht="15.75">
      <c r="B10" s="150" t="s">
        <v>612</v>
      </c>
      <c r="C10" s="255"/>
      <c r="D10" s="255"/>
      <c r="E10" s="226" t="str">
        <f>mvalloc!D14</f>
        <v>  </v>
      </c>
    </row>
    <row r="11" spans="2:5" ht="15.75">
      <c r="B11" s="150" t="s">
        <v>613</v>
      </c>
      <c r="C11" s="255"/>
      <c r="D11" s="255"/>
      <c r="E11" s="226" t="str">
        <f>mvalloc!E14</f>
        <v> </v>
      </c>
    </row>
    <row r="12" spans="2:5" ht="15.75">
      <c r="B12" s="159" t="s">
        <v>708</v>
      </c>
      <c r="C12" s="255"/>
      <c r="D12" s="255"/>
      <c r="E12" s="226" t="str">
        <f>mvalloc!F14</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617</v>
      </c>
      <c r="C17" s="255"/>
      <c r="D17" s="255"/>
      <c r="E17" s="67"/>
    </row>
    <row r="18" spans="2:5" ht="15.75">
      <c r="B18" s="159" t="s">
        <v>472</v>
      </c>
      <c r="C18" s="255"/>
      <c r="D18" s="255"/>
      <c r="E18" s="67"/>
    </row>
    <row r="19" spans="2:5" ht="15.75">
      <c r="B19" s="250" t="s">
        <v>373</v>
      </c>
      <c r="C19" s="260">
        <f>IF(C20*0.1&lt;C18,"Exceed 10% Rule","")</f>
      </c>
      <c r="D19" s="260">
        <f>IF(D20*0.1&lt;D18,"Exceed 10% Rule","")</f>
      </c>
      <c r="E19" s="297">
        <f>IF(E20*0.1+E40&lt;E18,"Exceed 10% Rule","")</f>
      </c>
    </row>
    <row r="20" spans="2:5" ht="15.75">
      <c r="B20" s="262" t="s">
        <v>618</v>
      </c>
      <c r="C20" s="264">
        <f>SUM(C8:C18)</f>
        <v>0</v>
      </c>
      <c r="D20" s="264">
        <f>SUM(D8:D18)</f>
        <v>0</v>
      </c>
      <c r="E20" s="265">
        <f>SUM(E8:E18)</f>
        <v>0</v>
      </c>
    </row>
    <row r="21" spans="2:5" ht="15.75">
      <c r="B21" s="262" t="s">
        <v>619</v>
      </c>
      <c r="C21" s="264">
        <f>C6+C20</f>
        <v>0</v>
      </c>
      <c r="D21" s="264">
        <f>D6+D20</f>
        <v>0</v>
      </c>
      <c r="E21" s="265">
        <f>E6+E20</f>
        <v>0</v>
      </c>
    </row>
    <row r="22" spans="2:5" ht="15.75">
      <c r="B22" s="150" t="s">
        <v>621</v>
      </c>
      <c r="C22" s="272"/>
      <c r="D22" s="272"/>
      <c r="E22" s="65"/>
    </row>
    <row r="23" spans="2:5" ht="15.75">
      <c r="B23" s="271"/>
      <c r="C23" s="255"/>
      <c r="D23" s="255"/>
      <c r="E23" s="67"/>
    </row>
    <row r="24" spans="2:10" ht="15.75">
      <c r="B24" s="271"/>
      <c r="C24" s="255"/>
      <c r="D24" s="255"/>
      <c r="E24" s="67"/>
      <c r="G24" s="803" t="str">
        <f>CONCATENATE("Desired Carryover Into ",E1+1,"")</f>
        <v>Desired Carryover Into 2014</v>
      </c>
      <c r="H24" s="801"/>
      <c r="I24" s="801"/>
      <c r="J24" s="802"/>
    </row>
    <row r="25" spans="2:10" ht="15.75">
      <c r="B25" s="271"/>
      <c r="C25" s="255"/>
      <c r="D25" s="255"/>
      <c r="E25" s="67"/>
      <c r="G25" s="647"/>
      <c r="H25" s="76"/>
      <c r="I25" s="648"/>
      <c r="J25" s="649"/>
    </row>
    <row r="26" spans="2:10" ht="15.75">
      <c r="B26" s="271"/>
      <c r="C26" s="255"/>
      <c r="D26" s="255"/>
      <c r="E26" s="67"/>
      <c r="G26" s="650" t="s">
        <v>361</v>
      </c>
      <c r="H26" s="648"/>
      <c r="I26" s="648"/>
      <c r="J26" s="651">
        <v>0</v>
      </c>
    </row>
    <row r="27" spans="2:10" ht="15.75">
      <c r="B27" s="271"/>
      <c r="C27" s="255"/>
      <c r="D27" s="255"/>
      <c r="E27" s="67"/>
      <c r="G27" s="647" t="s">
        <v>362</v>
      </c>
      <c r="H27" s="76"/>
      <c r="I27" s="76"/>
      <c r="J27" s="652">
        <f>IF(J26=0,"",ROUND((J26+E40-G39)/inputOth!E7*1000,3)-G44)</f>
      </c>
    </row>
    <row r="28" spans="2:10" ht="15.75">
      <c r="B28" s="271"/>
      <c r="C28" s="255"/>
      <c r="D28" s="255"/>
      <c r="E28" s="67"/>
      <c r="G28" s="653" t="str">
        <f>CONCATENATE("",E1," Tot Exp/Non-Appr Must Be:")</f>
        <v>2013 Tot Exp/Non-Appr Must Be:</v>
      </c>
      <c r="H28" s="654"/>
      <c r="I28" s="655"/>
      <c r="J28" s="656">
        <f>IF(J26&gt;0,IF(E37&lt;E21,IF(J26=G39,E37,((J26-G39)*(1-D39))+E21),E37+(J26-G39)),0)</f>
        <v>0</v>
      </c>
    </row>
    <row r="29" spans="2:10" ht="15.75">
      <c r="B29" s="271"/>
      <c r="C29" s="255"/>
      <c r="D29" s="255"/>
      <c r="E29" s="67"/>
      <c r="G29" s="657" t="s">
        <v>440</v>
      </c>
      <c r="H29" s="658"/>
      <c r="I29" s="658"/>
      <c r="J29" s="659">
        <f>IF(J26&gt;0,J28-E38,0)</f>
        <v>0</v>
      </c>
    </row>
    <row r="30" spans="2:10" ht="15.75">
      <c r="B30" s="272" t="s">
        <v>471</v>
      </c>
      <c r="C30" s="255"/>
      <c r="D30" s="255"/>
      <c r="E30" s="82">
        <f>nhood!E13</f>
      </c>
      <c r="J30" s="2"/>
    </row>
    <row r="31" spans="2:10" ht="15.75">
      <c r="B31" s="272" t="s">
        <v>472</v>
      </c>
      <c r="C31" s="255"/>
      <c r="D31" s="255"/>
      <c r="E31" s="67"/>
      <c r="G31" s="803" t="str">
        <f>CONCATENATE("Projected Carryover Into ",E1+1,"")</f>
        <v>Projected Carryover Into 2014</v>
      </c>
      <c r="H31" s="809"/>
      <c r="I31" s="809"/>
      <c r="J31" s="805"/>
    </row>
    <row r="32" spans="2:10" ht="15.75">
      <c r="B32" s="272" t="s">
        <v>374</v>
      </c>
      <c r="C32" s="260">
        <f>IF(C33*0.1&lt;C31,"Exceed 10% Rule","")</f>
      </c>
      <c r="D32" s="260">
        <f>IF(D33*0.1&lt;D31,"Exceed 10% Rule","")</f>
      </c>
      <c r="E32" s="297">
        <f>IF(E33*0.1&lt;E31,"Exceed 10% Rule","")</f>
      </c>
      <c r="G32" s="647"/>
      <c r="H32" s="648"/>
      <c r="I32" s="648"/>
      <c r="J32" s="661"/>
    </row>
    <row r="33" spans="2:10" ht="15.75">
      <c r="B33" s="262" t="s">
        <v>625</v>
      </c>
      <c r="C33" s="264">
        <f>SUM(C23:C31)</f>
        <v>0</v>
      </c>
      <c r="D33" s="264">
        <f>SUM(D23:D31)</f>
        <v>0</v>
      </c>
      <c r="E33" s="265">
        <f>SUM(E23:E31)</f>
        <v>0</v>
      </c>
      <c r="G33" s="662">
        <f>D34</f>
        <v>0</v>
      </c>
      <c r="H33" s="630" t="str">
        <f>CONCATENATE("",E1-1," Ending Cash Balance (est.)")</f>
        <v>2012 Ending Cash Balance (est.)</v>
      </c>
      <c r="I33" s="663"/>
      <c r="J33" s="661"/>
    </row>
    <row r="34" spans="2:10" ht="15.75">
      <c r="B34" s="150" t="s">
        <v>732</v>
      </c>
      <c r="C34" s="268">
        <f>C21-C33</f>
        <v>0</v>
      </c>
      <c r="D34" s="268">
        <f>D21-D33</f>
        <v>0</v>
      </c>
      <c r="E34" s="284" t="s">
        <v>598</v>
      </c>
      <c r="G34" s="662">
        <f>E20</f>
        <v>0</v>
      </c>
      <c r="H34" s="648" t="str">
        <f>CONCATENATE("",E1," Non-AV Receipts (est.)")</f>
        <v>2013 Non-AV Receipts (est.)</v>
      </c>
      <c r="I34" s="663"/>
      <c r="J34" s="661"/>
    </row>
    <row r="35" spans="2:11" ht="15.75">
      <c r="B35" s="136" t="str">
        <f>CONCATENATE("",E1-2,"/",E1-1," Budget Authority Amount:")</f>
        <v>2011/2012 Budget Authority Amount:</v>
      </c>
      <c r="C35" s="239">
        <f>inputOth!B67</f>
        <v>0</v>
      </c>
      <c r="D35" s="239">
        <f>inputPrYr!D25</f>
        <v>0</v>
      </c>
      <c r="E35" s="284" t="s">
        <v>598</v>
      </c>
      <c r="F35" s="274"/>
      <c r="G35" s="664">
        <f>IF(E39&gt;0,E38,E40)</f>
        <v>0</v>
      </c>
      <c r="H35" s="648" t="str">
        <f>CONCATENATE("",E1," Ad Valorem Tax (est.)")</f>
        <v>2013 Ad Valorem Tax (est.)</v>
      </c>
      <c r="I35" s="663"/>
      <c r="J35" s="643"/>
      <c r="K35" s="639">
        <f>IF(G35=E40,"","Note: Does not include Delinquent Taxes")</f>
      </c>
    </row>
    <row r="36" spans="2:10" ht="15.75">
      <c r="B36" s="136"/>
      <c r="C36" s="795" t="s">
        <v>245</v>
      </c>
      <c r="D36" s="796"/>
      <c r="E36" s="67"/>
      <c r="F36" s="733">
        <f>IF(E33/0.95-E33&lt;E36,"Exceeds 5%","")</f>
      </c>
      <c r="G36" s="662">
        <f>SUM(G33:G35)</f>
        <v>0</v>
      </c>
      <c r="H36" s="648" t="str">
        <f>CONCATENATE("Total ",E1," Resources Available")</f>
        <v>Total 2013 Resources Available</v>
      </c>
      <c r="I36" s="663"/>
      <c r="J36" s="661"/>
    </row>
    <row r="37" spans="2:10" ht="15.75">
      <c r="B37" s="527" t="str">
        <f>CONCATENATE(C94,"     ",D94)</f>
        <v>     </v>
      </c>
      <c r="C37" s="797" t="s">
        <v>246</v>
      </c>
      <c r="D37" s="798"/>
      <c r="E37" s="226">
        <f>E33+E36</f>
        <v>0</v>
      </c>
      <c r="G37" s="699"/>
      <c r="H37" s="648"/>
      <c r="I37" s="648"/>
      <c r="J37" s="661"/>
    </row>
    <row r="38" spans="2:10" ht="15.75">
      <c r="B38" s="527" t="str">
        <f>CONCATENATE(C95,"     ",D95)</f>
        <v>     </v>
      </c>
      <c r="C38" s="275"/>
      <c r="D38" s="169" t="s">
        <v>626</v>
      </c>
      <c r="E38" s="82">
        <f>IF(E37-E21&gt;0,E37-E21,0)</f>
        <v>0</v>
      </c>
      <c r="G38" s="664">
        <f>ROUND(C33*0.05+C33,0)</f>
        <v>0</v>
      </c>
      <c r="H38" s="648" t="str">
        <f>CONCATENATE("Less ",E1-2," Expenditures + 5%")</f>
        <v>Less 2011 Expenditures + 5%</v>
      </c>
      <c r="I38" s="663"/>
      <c r="J38" s="661"/>
    </row>
    <row r="39" spans="2:10" ht="15.75">
      <c r="B39" s="169"/>
      <c r="C39" s="383" t="s">
        <v>244</v>
      </c>
      <c r="D39" s="723">
        <f>inputOth!$E$47</f>
        <v>0.025</v>
      </c>
      <c r="E39" s="226">
        <f>ROUND(IF(D39&gt;0,(E38*D39),0),0)</f>
        <v>0</v>
      </c>
      <c r="G39" s="700">
        <f>G36-G38</f>
        <v>0</v>
      </c>
      <c r="H39" s="701" t="str">
        <f>CONCATENATE("Projected ",E1+1," carryover (est.)")</f>
        <v>Projected 2014 carryover (est.)</v>
      </c>
      <c r="I39" s="702"/>
      <c r="J39" s="674"/>
    </row>
    <row r="40" spans="2:10" ht="16.5" thickBot="1">
      <c r="B40" s="98"/>
      <c r="C40" s="799" t="str">
        <f>CONCATENATE("Amount of  ",$E$1-1," Ad Valorem Tax")</f>
        <v>Amount of  2012 Ad Valorem Tax</v>
      </c>
      <c r="D40" s="800"/>
      <c r="E40" s="646">
        <f>E38+E39</f>
        <v>0</v>
      </c>
      <c r="G40" s="2"/>
      <c r="H40" s="2"/>
      <c r="I40" s="2"/>
      <c r="J40" s="2"/>
    </row>
    <row r="41" spans="2:10" ht="16.5" thickTop="1">
      <c r="B41" s="47"/>
      <c r="C41" s="98"/>
      <c r="D41" s="98"/>
      <c r="E41" s="47"/>
      <c r="G41" s="789" t="s">
        <v>439</v>
      </c>
      <c r="H41" s="790"/>
      <c r="I41" s="790"/>
      <c r="J41" s="791"/>
    </row>
    <row r="42" spans="2:10" ht="15.75">
      <c r="B42" s="52"/>
      <c r="C42" s="287"/>
      <c r="D42" s="287"/>
      <c r="E42" s="287"/>
      <c r="G42" s="629"/>
      <c r="H42" s="630"/>
      <c r="I42" s="631"/>
      <c r="J42" s="632"/>
    </row>
    <row r="43" spans="2:10" ht="15.75">
      <c r="B43" s="52" t="s">
        <v>609</v>
      </c>
      <c r="C43" s="709" t="s">
        <v>565</v>
      </c>
      <c r="D43" s="710" t="s">
        <v>566</v>
      </c>
      <c r="E43" s="144" t="s">
        <v>567</v>
      </c>
      <c r="G43" s="633" t="str">
        <f>summ!H22</f>
        <v>  </v>
      </c>
      <c r="H43" s="630" t="str">
        <f>CONCATENATE("",E1," Fund Mill Rate")</f>
        <v>2013 Fund Mill Rate</v>
      </c>
      <c r="I43" s="631"/>
      <c r="J43" s="632"/>
    </row>
    <row r="44" spans="2:10" ht="15.75">
      <c r="B44" s="531">
        <f>inputPrYr!B26</f>
        <v>0</v>
      </c>
      <c r="C44" s="223" t="str">
        <f>CONCATENATE("Actual for ",E1-2,"")</f>
        <v>Actual for 2011</v>
      </c>
      <c r="D44" s="223" t="str">
        <f>CONCATENATE("Estimate for ",E1-1,"")</f>
        <v>Estimate for 2012</v>
      </c>
      <c r="E44" s="208" t="str">
        <f>CONCATENATE("Year for ",E1,"")</f>
        <v>Year for 2013</v>
      </c>
      <c r="G44" s="634" t="str">
        <f>summ!E22</f>
        <v>  </v>
      </c>
      <c r="H44" s="630" t="str">
        <f>CONCATENATE("",E1-1," Fund Mill Rate")</f>
        <v>2012 Fund Mill Rate</v>
      </c>
      <c r="I44" s="631"/>
      <c r="J44" s="632"/>
    </row>
    <row r="45" spans="2:10" ht="15.75">
      <c r="B45" s="250" t="s">
        <v>731</v>
      </c>
      <c r="C45" s="255"/>
      <c r="D45" s="253">
        <f>C74</f>
        <v>0</v>
      </c>
      <c r="E45" s="226">
        <f>D74</f>
        <v>0</v>
      </c>
      <c r="G45" s="635">
        <f>summ!H52</f>
        <v>48.436</v>
      </c>
      <c r="H45" s="630" t="str">
        <f>CONCATENATE("Total ",E1," Mill Rate")</f>
        <v>Total 2013 Mill Rate</v>
      </c>
      <c r="I45" s="631"/>
      <c r="J45" s="632"/>
    </row>
    <row r="46" spans="2:10" ht="15.75">
      <c r="B46" s="254" t="s">
        <v>733</v>
      </c>
      <c r="C46" s="159"/>
      <c r="D46" s="159"/>
      <c r="E46" s="87"/>
      <c r="G46" s="634">
        <f>summ!E52</f>
        <v>48.436</v>
      </c>
      <c r="H46" s="636" t="str">
        <f>CONCATENATE("Total ",E1-1," Mill Rate")</f>
        <v>Total 2012 Mill Rate</v>
      </c>
      <c r="I46" s="637"/>
      <c r="J46" s="638"/>
    </row>
    <row r="47" spans="2:5" ht="15.75">
      <c r="B47" s="150" t="s">
        <v>610</v>
      </c>
      <c r="C47" s="255"/>
      <c r="D47" s="253">
        <f>IF(inputPrYr!H16&gt;0,inputPrYr!G26,inputPrYr!E26)</f>
        <v>0</v>
      </c>
      <c r="E47" s="284" t="s">
        <v>598</v>
      </c>
    </row>
    <row r="48" spans="2:5" ht="15.75">
      <c r="B48" s="150" t="s">
        <v>611</v>
      </c>
      <c r="C48" s="255"/>
      <c r="D48" s="255"/>
      <c r="E48" s="67"/>
    </row>
    <row r="49" spans="2:5" ht="15.75">
      <c r="B49" s="150" t="s">
        <v>612</v>
      </c>
      <c r="C49" s="255"/>
      <c r="D49" s="255"/>
      <c r="E49" s="226" t="str">
        <f>mvalloc!D15</f>
        <v>  </v>
      </c>
    </row>
    <row r="50" spans="2:5" ht="15.75">
      <c r="B50" s="150" t="s">
        <v>613</v>
      </c>
      <c r="C50" s="255"/>
      <c r="D50" s="255"/>
      <c r="E50" s="226" t="str">
        <f>mvalloc!E15</f>
        <v> </v>
      </c>
    </row>
    <row r="51" spans="2:5" ht="15.75">
      <c r="B51" s="159" t="s">
        <v>708</v>
      </c>
      <c r="C51" s="255"/>
      <c r="D51" s="255"/>
      <c r="E51" s="226" t="str">
        <f>mvalloc!F15</f>
        <v> </v>
      </c>
    </row>
    <row r="52" spans="2:5" ht="15.75">
      <c r="B52" s="271"/>
      <c r="C52" s="255"/>
      <c r="D52" s="255"/>
      <c r="E52" s="67"/>
    </row>
    <row r="53" spans="2:5" ht="15.75">
      <c r="B53" s="271"/>
      <c r="C53" s="255"/>
      <c r="D53" s="255"/>
      <c r="E53" s="67"/>
    </row>
    <row r="54" spans="2:5" ht="15.75">
      <c r="B54" s="271"/>
      <c r="C54" s="255"/>
      <c r="D54" s="255"/>
      <c r="E54" s="67"/>
    </row>
    <row r="55" spans="2:5" ht="15.75">
      <c r="B55" s="271"/>
      <c r="C55" s="255"/>
      <c r="D55" s="255"/>
      <c r="E55" s="67"/>
    </row>
    <row r="56" spans="2:5" ht="15.75">
      <c r="B56" s="271"/>
      <c r="C56" s="255"/>
      <c r="D56" s="255"/>
      <c r="E56" s="67"/>
    </row>
    <row r="57" spans="2:5" ht="15.75">
      <c r="B57" s="259" t="s">
        <v>617</v>
      </c>
      <c r="C57" s="255"/>
      <c r="D57" s="255"/>
      <c r="E57" s="67"/>
    </row>
    <row r="58" spans="2:5" ht="15.75">
      <c r="B58" s="159" t="s">
        <v>472</v>
      </c>
      <c r="C58" s="255"/>
      <c r="D58" s="255"/>
      <c r="E58" s="67"/>
    </row>
    <row r="59" spans="2:5" ht="15.75">
      <c r="B59" s="250" t="s">
        <v>373</v>
      </c>
      <c r="C59" s="260">
        <f>IF(C60*0.1&lt;C58,"Exceed 10% Rule","")</f>
      </c>
      <c r="D59" s="260">
        <f>IF(D60*0.1&lt;D58,"Exceed 10% Rule","")</f>
      </c>
      <c r="E59" s="297">
        <f>IF(E60*0.1+E80&lt;E58,"Exceed 10% Rule","")</f>
      </c>
    </row>
    <row r="60" spans="2:5" ht="15.75">
      <c r="B60" s="262" t="s">
        <v>618</v>
      </c>
      <c r="C60" s="264">
        <f>SUM(C47:C58)</f>
        <v>0</v>
      </c>
      <c r="D60" s="264">
        <f>SUM(D47:D58)</f>
        <v>0</v>
      </c>
      <c r="E60" s="265">
        <f>SUM(E47:E58)</f>
        <v>0</v>
      </c>
    </row>
    <row r="61" spans="2:5" ht="15.75">
      <c r="B61" s="262" t="s">
        <v>619</v>
      </c>
      <c r="C61" s="264">
        <f>C45+C60</f>
        <v>0</v>
      </c>
      <c r="D61" s="264">
        <f>D45+D60</f>
        <v>0</v>
      </c>
      <c r="E61" s="265">
        <f>E45+E60</f>
        <v>0</v>
      </c>
    </row>
    <row r="62" spans="2:5" ht="15.75">
      <c r="B62" s="150" t="s">
        <v>621</v>
      </c>
      <c r="C62" s="272"/>
      <c r="D62" s="272"/>
      <c r="E62" s="65"/>
    </row>
    <row r="63" spans="2:5" ht="15.75">
      <c r="B63" s="271"/>
      <c r="C63" s="255"/>
      <c r="D63" s="255"/>
      <c r="E63" s="67"/>
    </row>
    <row r="64" spans="2:10" ht="15.75">
      <c r="B64" s="271"/>
      <c r="C64" s="255"/>
      <c r="D64" s="255"/>
      <c r="E64" s="67"/>
      <c r="G64" s="803" t="str">
        <f>CONCATENATE("Desired Carryover Into ",E1+1,"")</f>
        <v>Desired Carryover Into 2014</v>
      </c>
      <c r="H64" s="801"/>
      <c r="I64" s="801"/>
      <c r="J64" s="802"/>
    </row>
    <row r="65" spans="2:10" ht="15.75">
      <c r="B65" s="271"/>
      <c r="C65" s="255"/>
      <c r="D65" s="255"/>
      <c r="E65" s="67"/>
      <c r="G65" s="647"/>
      <c r="H65" s="76"/>
      <c r="I65" s="648"/>
      <c r="J65" s="649"/>
    </row>
    <row r="66" spans="2:10" ht="15.75">
      <c r="B66" s="271"/>
      <c r="C66" s="255"/>
      <c r="D66" s="255"/>
      <c r="E66" s="67"/>
      <c r="G66" s="650" t="s">
        <v>361</v>
      </c>
      <c r="H66" s="648"/>
      <c r="I66" s="648"/>
      <c r="J66" s="651">
        <v>0</v>
      </c>
    </row>
    <row r="67" spans="2:10" ht="15.75">
      <c r="B67" s="271"/>
      <c r="C67" s="255"/>
      <c r="D67" s="255"/>
      <c r="E67" s="67"/>
      <c r="G67" s="647" t="s">
        <v>362</v>
      </c>
      <c r="H67" s="76"/>
      <c r="I67" s="76"/>
      <c r="J67" s="652">
        <f>IF(J66=0,"",ROUND((J66+E80-G79)/inputOth!E7*1000,3)-G84)</f>
      </c>
    </row>
    <row r="68" spans="2:10" ht="15.75">
      <c r="B68" s="271"/>
      <c r="C68" s="255"/>
      <c r="D68" s="255"/>
      <c r="E68" s="67"/>
      <c r="G68" s="653" t="str">
        <f>CONCATENATE("",E1," Tot Exp/Non-Appr Must Be:")</f>
        <v>2013 Tot Exp/Non-Appr Must Be:</v>
      </c>
      <c r="H68" s="654"/>
      <c r="I68" s="655"/>
      <c r="J68" s="656">
        <f>IF(J66&gt;0,IF(E77&lt;E61,IF(J66=G79,E77,((J66-G79)*(1-D79))+E61),E77+(J66-G79)),0)</f>
        <v>0</v>
      </c>
    </row>
    <row r="69" spans="2:10" ht="15.75">
      <c r="B69" s="271"/>
      <c r="C69" s="255"/>
      <c r="D69" s="255"/>
      <c r="E69" s="381"/>
      <c r="G69" s="657" t="s">
        <v>440</v>
      </c>
      <c r="H69" s="658"/>
      <c r="I69" s="658"/>
      <c r="J69" s="659">
        <f>IF(J66&gt;0,J68-E77,0)</f>
        <v>0</v>
      </c>
    </row>
    <row r="70" spans="2:10" ht="15.75">
      <c r="B70" s="272" t="s">
        <v>471</v>
      </c>
      <c r="C70" s="255"/>
      <c r="D70" s="255"/>
      <c r="E70" s="82">
        <f>nhood!E14</f>
      </c>
      <c r="J70" s="2"/>
    </row>
    <row r="71" spans="2:10" ht="15.75">
      <c r="B71" s="272" t="s">
        <v>472</v>
      </c>
      <c r="C71" s="255"/>
      <c r="D71" s="255"/>
      <c r="E71" s="67"/>
      <c r="G71" s="803" t="str">
        <f>CONCATENATE("Projected Carryover Into ",E1+1,"")</f>
        <v>Projected Carryover Into 2014</v>
      </c>
      <c r="H71" s="804"/>
      <c r="I71" s="804"/>
      <c r="J71" s="805"/>
    </row>
    <row r="72" spans="2:10" ht="15.75">
      <c r="B72" s="272" t="s">
        <v>374</v>
      </c>
      <c r="C72" s="260">
        <f>IF(C73*0.1&lt;C71,"Exceed 10% Rule","")</f>
      </c>
      <c r="D72" s="260">
        <f>IF(D73*0.1&lt;D71,"Exceed 10% Rule","")</f>
      </c>
      <c r="E72" s="297">
        <f>IF(E73*0.1&lt;E71,"Exceed 10% Rule","")</f>
      </c>
      <c r="G72" s="660"/>
      <c r="H72" s="76"/>
      <c r="I72" s="76"/>
      <c r="J72" s="667"/>
    </row>
    <row r="73" spans="2:10" ht="15.75">
      <c r="B73" s="262" t="s">
        <v>625</v>
      </c>
      <c r="C73" s="264">
        <f>SUM(C63:C71)</f>
        <v>0</v>
      </c>
      <c r="D73" s="264">
        <f>SUM(D63:D71)</f>
        <v>0</v>
      </c>
      <c r="E73" s="265">
        <f>SUM(E63:E71)</f>
        <v>0</v>
      </c>
      <c r="G73" s="662">
        <f>D74</f>
        <v>0</v>
      </c>
      <c r="H73" s="630" t="str">
        <f>CONCATENATE("",E1-1," Ending Cash Balance (est.)")</f>
        <v>2012 Ending Cash Balance (est.)</v>
      </c>
      <c r="I73" s="663"/>
      <c r="J73" s="667"/>
    </row>
    <row r="74" spans="2:10" ht="15.75">
      <c r="B74" s="150" t="s">
        <v>732</v>
      </c>
      <c r="C74" s="268">
        <f>C61-C73</f>
        <v>0</v>
      </c>
      <c r="D74" s="268">
        <f>D61-D73</f>
        <v>0</v>
      </c>
      <c r="E74" s="284" t="s">
        <v>598</v>
      </c>
      <c r="G74" s="662">
        <f>E60</f>
        <v>0</v>
      </c>
      <c r="H74" s="648" t="str">
        <f>CONCATENATE("",E1," Non-AV Receipts (est.)")</f>
        <v>2013 Non-AV Receipts (est.)</v>
      </c>
      <c r="I74" s="663"/>
      <c r="J74" s="667"/>
    </row>
    <row r="75" spans="2:11" ht="15.75">
      <c r="B75" s="136" t="str">
        <f>CONCATENATE("",E1-2,"/",E1-1," Budget Authority Amount:")</f>
        <v>2011/2012 Budget Authority Amount:</v>
      </c>
      <c r="C75" s="239">
        <f>inputOth!B68</f>
        <v>0</v>
      </c>
      <c r="D75" s="239">
        <f>inputPrYr!D26</f>
        <v>0</v>
      </c>
      <c r="E75" s="284" t="s">
        <v>598</v>
      </c>
      <c r="F75" s="274"/>
      <c r="G75" s="664">
        <f>IF(D79&gt;0,E78,E80)</f>
        <v>0</v>
      </c>
      <c r="H75" s="648" t="str">
        <f>CONCATENATE("",E1," Ad Valorem Tax (est.)")</f>
        <v>2013 Ad Valorem Tax (est.)</v>
      </c>
      <c r="I75" s="663"/>
      <c r="J75" s="667"/>
      <c r="K75" s="639">
        <f>IF(G75=E80,"","Note: Does not include Delinquent Taxes")</f>
      </c>
    </row>
    <row r="76" spans="2:10" ht="15.75">
      <c r="B76" s="136"/>
      <c r="C76" s="795" t="s">
        <v>245</v>
      </c>
      <c r="D76" s="796"/>
      <c r="E76" s="67"/>
      <c r="F76" s="733">
        <f>IF(E73/0.95-E73&lt;E76,"Exceeds 5%","")</f>
      </c>
      <c r="G76" s="666">
        <f>SUM(G73:G75)</f>
        <v>0</v>
      </c>
      <c r="H76" s="648" t="str">
        <f>CONCATENATE("Total ",E1," Resources Available")</f>
        <v>Total 2013 Resources Available</v>
      </c>
      <c r="I76" s="667"/>
      <c r="J76" s="667"/>
    </row>
    <row r="77" spans="2:10" ht="15.75">
      <c r="B77" s="527" t="str">
        <f>CONCATENATE(C96,"     ",D96)</f>
        <v>     </v>
      </c>
      <c r="C77" s="797" t="s">
        <v>246</v>
      </c>
      <c r="D77" s="798"/>
      <c r="E77" s="226">
        <f>E73+E76</f>
        <v>0</v>
      </c>
      <c r="G77" s="668"/>
      <c r="H77" s="669"/>
      <c r="I77" s="76"/>
      <c r="J77" s="667"/>
    </row>
    <row r="78" spans="2:10" ht="15.75">
      <c r="B78" s="527" t="str">
        <f>CONCATENATE(C97,"     ",D97)</f>
        <v>     </v>
      </c>
      <c r="C78" s="275"/>
      <c r="D78" s="169" t="s">
        <v>626</v>
      </c>
      <c r="E78" s="82">
        <f>IF(E77-E61&gt;0,E77-E61,0)</f>
        <v>0</v>
      </c>
      <c r="G78" s="670">
        <f>ROUND(C73*0.05+C73,0)</f>
        <v>0</v>
      </c>
      <c r="H78" s="669" t="str">
        <f>CONCATENATE("Less ",E1-2," Expenditures + 5%")</f>
        <v>Less 2011 Expenditures + 5%</v>
      </c>
      <c r="I78" s="667"/>
      <c r="J78" s="667"/>
    </row>
    <row r="79" spans="2:10" ht="15.75">
      <c r="B79" s="136"/>
      <c r="C79" s="383" t="s">
        <v>244</v>
      </c>
      <c r="D79" s="723">
        <f>inputOth!$E$47</f>
        <v>0.025</v>
      </c>
      <c r="E79" s="226">
        <f>ROUND(IF(D79&gt;0,(E78*D79),0),0)</f>
        <v>0</v>
      </c>
      <c r="G79" s="671">
        <f>G76-G78</f>
        <v>0</v>
      </c>
      <c r="H79" s="672" t="str">
        <f>CONCATENATE("Projected ",E1+1," carryover (est.)")</f>
        <v>Projected 2014 carryover (est.)</v>
      </c>
      <c r="I79" s="673"/>
      <c r="J79" s="674"/>
    </row>
    <row r="80" spans="2:9" ht="16.5" thickBot="1">
      <c r="B80" s="169"/>
      <c r="C80" s="799" t="str">
        <f>CONCATENATE("Amount of  ",$E$1-1," Ad Valorem Tax")</f>
        <v>Amount of  2012 Ad Valorem Tax</v>
      </c>
      <c r="D80" s="800"/>
      <c r="E80" s="646">
        <f>E78+E79</f>
        <v>0</v>
      </c>
      <c r="G80" s="2"/>
      <c r="H80" s="2"/>
      <c r="I80" s="2"/>
    </row>
    <row r="81" spans="2:10" ht="16.5" thickTop="1">
      <c r="B81" s="47"/>
      <c r="C81" s="47"/>
      <c r="D81" s="47"/>
      <c r="E81" s="47"/>
      <c r="G81" s="789" t="s">
        <v>439</v>
      </c>
      <c r="H81" s="790"/>
      <c r="I81" s="790"/>
      <c r="J81" s="791"/>
    </row>
    <row r="82" spans="2:10" ht="15.75">
      <c r="B82" s="401" t="s">
        <v>628</v>
      </c>
      <c r="C82" s="280"/>
      <c r="D82" s="47"/>
      <c r="E82" s="47"/>
      <c r="G82" s="629"/>
      <c r="H82" s="630"/>
      <c r="I82" s="631"/>
      <c r="J82" s="632"/>
    </row>
    <row r="83" spans="2:10" ht="15.75">
      <c r="B83" s="169"/>
      <c r="G83" s="633" t="str">
        <f>summ!H23</f>
        <v>  </v>
      </c>
      <c r="H83" s="630" t="str">
        <f>CONCATENATE("",E1," Fund Mill Rate")</f>
        <v>2013 Fund Mill Rate</v>
      </c>
      <c r="I83" s="631"/>
      <c r="J83" s="632"/>
    </row>
    <row r="84" spans="7:10" ht="15.75">
      <c r="G84" s="634" t="str">
        <f>summ!E23</f>
        <v>  </v>
      </c>
      <c r="H84" s="630" t="str">
        <f>CONCATENATE("",E1-1," Fund Mill Rate")</f>
        <v>2012 Fund Mill Rate</v>
      </c>
      <c r="I84" s="631"/>
      <c r="J84" s="632"/>
    </row>
    <row r="85" spans="7:10" ht="15.75">
      <c r="G85" s="635">
        <f>summ!H52</f>
        <v>48.436</v>
      </c>
      <c r="H85" s="630" t="str">
        <f>CONCATENATE("Total ",E1," Mill Rate")</f>
        <v>Total 2013 Mill Rate</v>
      </c>
      <c r="I85" s="631"/>
      <c r="J85" s="632"/>
    </row>
    <row r="86" spans="7:10" ht="15.75">
      <c r="G86" s="634">
        <f>summ!E52</f>
        <v>48.436</v>
      </c>
      <c r="H86" s="636" t="str">
        <f>CONCATENATE("Total ",E1-1," Mill Rate")</f>
        <v>Total 2012 Mill Rate</v>
      </c>
      <c r="I86" s="637"/>
      <c r="J86" s="638"/>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2">
    <mergeCell ref="G24:J24"/>
    <mergeCell ref="G31:J31"/>
    <mergeCell ref="G41:J41"/>
    <mergeCell ref="C76:D76"/>
    <mergeCell ref="G64:J64"/>
    <mergeCell ref="G71:J71"/>
    <mergeCell ref="C36:D36"/>
    <mergeCell ref="C37:D37"/>
    <mergeCell ref="C40:D40"/>
    <mergeCell ref="C77:D77"/>
    <mergeCell ref="G81:J81"/>
    <mergeCell ref="C80:D80"/>
  </mergeCells>
  <conditionalFormatting sqref="E31">
    <cfRule type="cellIs" priority="4" dxfId="311" operator="greaterThan" stopIfTrue="1">
      <formula>$E$33*0.1</formula>
    </cfRule>
  </conditionalFormatting>
  <conditionalFormatting sqref="E36">
    <cfRule type="cellIs" priority="5" dxfId="311" operator="greaterThan" stopIfTrue="1">
      <formula>$E$33/0.95-$E$33</formula>
    </cfRule>
  </conditionalFormatting>
  <conditionalFormatting sqref="E71">
    <cfRule type="cellIs" priority="6" dxfId="311" operator="greaterThan" stopIfTrue="1">
      <formula>$E$73*0.1</formula>
    </cfRule>
  </conditionalFormatting>
  <conditionalFormatting sqref="E76">
    <cfRule type="cellIs" priority="7" dxfId="311"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11"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676</v>
      </c>
      <c r="C3" s="201"/>
      <c r="D3" s="201"/>
      <c r="E3" s="286"/>
    </row>
    <row r="4" spans="2:5" ht="15.75">
      <c r="B4" s="52" t="s">
        <v>609</v>
      </c>
      <c r="C4" s="709" t="s">
        <v>565</v>
      </c>
      <c r="D4" s="710" t="s">
        <v>566</v>
      </c>
      <c r="E4" s="144" t="s">
        <v>567</v>
      </c>
    </row>
    <row r="5" spans="2:5" ht="15.75">
      <c r="B5" s="531">
        <f>inputPrYr!B27</f>
        <v>0</v>
      </c>
      <c r="C5" s="223" t="str">
        <f>CONCATENATE("Actual for ",E1-2,"")</f>
        <v>Actual for 2011</v>
      </c>
      <c r="D5" s="223" t="str">
        <f>CONCATENATE("Estimate for ",E1-1,"")</f>
        <v>Estimate for 2012</v>
      </c>
      <c r="E5" s="208" t="str">
        <f>CONCATENATE("Year for ",E1,"")</f>
        <v>Year for 2013</v>
      </c>
    </row>
    <row r="6" spans="2:5" ht="15.75">
      <c r="B6" s="250" t="s">
        <v>731</v>
      </c>
      <c r="C6" s="255"/>
      <c r="D6" s="253">
        <f>C34</f>
        <v>0</v>
      </c>
      <c r="E6" s="226">
        <f>D34</f>
        <v>0</v>
      </c>
    </row>
    <row r="7" spans="2:5" ht="15.75">
      <c r="B7" s="254" t="s">
        <v>733</v>
      </c>
      <c r="C7" s="159"/>
      <c r="D7" s="159"/>
      <c r="E7" s="87"/>
    </row>
    <row r="8" spans="2:5" ht="15.75">
      <c r="B8" s="150" t="s">
        <v>610</v>
      </c>
      <c r="C8" s="255"/>
      <c r="D8" s="253">
        <f>IF(inputPrYr!H16&gt;0,inputPrYr!G27,inputPrYr!E27)</f>
        <v>0</v>
      </c>
      <c r="E8" s="284" t="s">
        <v>598</v>
      </c>
    </row>
    <row r="9" spans="2:5" ht="15.75">
      <c r="B9" s="150" t="s">
        <v>611</v>
      </c>
      <c r="C9" s="255"/>
      <c r="D9" s="255"/>
      <c r="E9" s="67"/>
    </row>
    <row r="10" spans="2:5" ht="15.75">
      <c r="B10" s="150" t="s">
        <v>612</v>
      </c>
      <c r="C10" s="255"/>
      <c r="D10" s="255"/>
      <c r="E10" s="226" t="str">
        <f>mvalloc!D16</f>
        <v>  </v>
      </c>
    </row>
    <row r="11" spans="2:5" ht="15.75">
      <c r="B11" s="150" t="s">
        <v>613</v>
      </c>
      <c r="C11" s="255"/>
      <c r="D11" s="255"/>
      <c r="E11" s="226" t="str">
        <f>mvalloc!E16</f>
        <v> </v>
      </c>
    </row>
    <row r="12" spans="2:5" ht="15.75">
      <c r="B12" s="159" t="s">
        <v>708</v>
      </c>
      <c r="C12" s="255"/>
      <c r="D12" s="255"/>
      <c r="E12" s="226" t="str">
        <f>mvalloc!F16</f>
        <v> </v>
      </c>
    </row>
    <row r="13" spans="2:5" ht="15.75">
      <c r="B13" s="271"/>
      <c r="C13" s="255"/>
      <c r="D13" s="255"/>
      <c r="E13" s="67"/>
    </row>
    <row r="14" spans="2:5" ht="15.75">
      <c r="B14" s="271"/>
      <c r="C14" s="255"/>
      <c r="D14" s="255"/>
      <c r="E14" s="67"/>
    </row>
    <row r="15" spans="2:5" ht="15.75">
      <c r="B15" s="271"/>
      <c r="C15" s="255"/>
      <c r="D15" s="255"/>
      <c r="E15" s="67"/>
    </row>
    <row r="16" spans="2:5" ht="15.75">
      <c r="B16" s="271"/>
      <c r="C16" s="255"/>
      <c r="D16" s="255"/>
      <c r="E16" s="67"/>
    </row>
    <row r="17" spans="2:5" ht="15.75">
      <c r="B17" s="259" t="s">
        <v>617</v>
      </c>
      <c r="C17" s="255"/>
      <c r="D17" s="255"/>
      <c r="E17" s="67"/>
    </row>
    <row r="18" spans="2:5" ht="15.75">
      <c r="B18" s="159" t="s">
        <v>472</v>
      </c>
      <c r="C18" s="255"/>
      <c r="D18" s="255"/>
      <c r="E18" s="67"/>
    </row>
    <row r="19" spans="2:5" ht="15.75">
      <c r="B19" s="250" t="s">
        <v>373</v>
      </c>
      <c r="C19" s="260">
        <f>IF(C20*0.1&lt;C18,"Exceed 10% Rule","")</f>
      </c>
      <c r="D19" s="260">
        <f>IF(D20*0.1&lt;D18,"Exceed 10% Rule","")</f>
      </c>
      <c r="E19" s="297">
        <f>IF(E20*0.1+E40&lt;E18,"Exceed 10% Rule","")</f>
      </c>
    </row>
    <row r="20" spans="2:5" ht="15.75">
      <c r="B20" s="262" t="s">
        <v>618</v>
      </c>
      <c r="C20" s="264">
        <f>SUM(C8:C18)</f>
        <v>0</v>
      </c>
      <c r="D20" s="264">
        <f>SUM(D8:D18)</f>
        <v>0</v>
      </c>
      <c r="E20" s="265">
        <f>SUM(E8:E18)</f>
        <v>0</v>
      </c>
    </row>
    <row r="21" spans="2:5" ht="15.75">
      <c r="B21" s="262" t="s">
        <v>619</v>
      </c>
      <c r="C21" s="264">
        <f>C6+C20</f>
        <v>0</v>
      </c>
      <c r="D21" s="264">
        <f>D6+D20</f>
        <v>0</v>
      </c>
      <c r="E21" s="265">
        <f>E6+E20</f>
        <v>0</v>
      </c>
    </row>
    <row r="22" spans="2:5" ht="15.75">
      <c r="B22" s="150" t="s">
        <v>621</v>
      </c>
      <c r="C22" s="272"/>
      <c r="D22" s="272"/>
      <c r="E22" s="65"/>
    </row>
    <row r="23" spans="2:5" ht="15.75">
      <c r="B23" s="271"/>
      <c r="C23" s="255"/>
      <c r="D23" s="255"/>
      <c r="E23" s="67"/>
    </row>
    <row r="24" spans="2:10" ht="15.75">
      <c r="B24" s="271"/>
      <c r="C24" s="255"/>
      <c r="D24" s="255"/>
      <c r="E24" s="67"/>
      <c r="G24" s="803" t="str">
        <f>CONCATENATE("Desired Carryover Into ",E1+1,"")</f>
        <v>Desired Carryover Into 2014</v>
      </c>
      <c r="H24" s="801"/>
      <c r="I24" s="801"/>
      <c r="J24" s="802"/>
    </row>
    <row r="25" spans="2:10" ht="15.75">
      <c r="B25" s="271"/>
      <c r="C25" s="255"/>
      <c r="D25" s="255"/>
      <c r="E25" s="67"/>
      <c r="G25" s="647"/>
      <c r="H25" s="76"/>
      <c r="I25" s="648"/>
      <c r="J25" s="649"/>
    </row>
    <row r="26" spans="2:10" ht="15.75">
      <c r="B26" s="271"/>
      <c r="C26" s="255"/>
      <c r="D26" s="255"/>
      <c r="E26" s="67"/>
      <c r="G26" s="650" t="s">
        <v>361</v>
      </c>
      <c r="H26" s="648"/>
      <c r="I26" s="648"/>
      <c r="J26" s="651">
        <v>0</v>
      </c>
    </row>
    <row r="27" spans="2:10" ht="15.75">
      <c r="B27" s="271"/>
      <c r="C27" s="255"/>
      <c r="D27" s="255"/>
      <c r="E27" s="67"/>
      <c r="G27" s="647" t="s">
        <v>362</v>
      </c>
      <c r="H27" s="76"/>
      <c r="I27" s="76"/>
      <c r="J27" s="652">
        <f>IF(J26=0,"",ROUND((J26+E40-G39)/inputOth!E7*1000,3)-G44)</f>
      </c>
    </row>
    <row r="28" spans="2:10" ht="15.75">
      <c r="B28" s="271"/>
      <c r="C28" s="255"/>
      <c r="D28" s="255"/>
      <c r="E28" s="67"/>
      <c r="G28" s="653" t="str">
        <f>CONCATENATE("",E1," Tot Exp/Non-Appr Must Be:")</f>
        <v>2013 Tot Exp/Non-Appr Must Be:</v>
      </c>
      <c r="H28" s="654"/>
      <c r="I28" s="655"/>
      <c r="J28" s="656">
        <f>IF(J26&gt;0,IF(E37&lt;E21,IF(J26=G39,E37,((J26-G39)*(1-D39))+E21),E37+(J26-G39)),0)</f>
        <v>0</v>
      </c>
    </row>
    <row r="29" spans="2:10" ht="15.75">
      <c r="B29" s="271"/>
      <c r="C29" s="255"/>
      <c r="D29" s="255"/>
      <c r="E29" s="67"/>
      <c r="G29" s="657" t="s">
        <v>440</v>
      </c>
      <c r="H29" s="658"/>
      <c r="I29" s="658"/>
      <c r="J29" s="659">
        <f>IF(J26&gt;0,J28-E37,0)</f>
        <v>0</v>
      </c>
    </row>
    <row r="30" spans="2:10" ht="15.75">
      <c r="B30" s="272" t="s">
        <v>471</v>
      </c>
      <c r="C30" s="255"/>
      <c r="D30" s="255"/>
      <c r="E30" s="82">
        <f>nhood!E15</f>
      </c>
      <c r="J30" s="2"/>
    </row>
    <row r="31" spans="2:10" ht="15.75">
      <c r="B31" s="272" t="s">
        <v>472</v>
      </c>
      <c r="C31" s="255"/>
      <c r="D31" s="255"/>
      <c r="E31" s="67"/>
      <c r="G31" s="803" t="str">
        <f>CONCATENATE("Projected Carryover Into ",E1+1,"")</f>
        <v>Projected Carryover Into 2014</v>
      </c>
      <c r="H31" s="809"/>
      <c r="I31" s="809"/>
      <c r="J31" s="805"/>
    </row>
    <row r="32" spans="2:10" ht="15.75">
      <c r="B32" s="272" t="s">
        <v>374</v>
      </c>
      <c r="C32" s="260">
        <f>IF(C33*0.1&lt;C31,"Exceed 10% Rule","")</f>
      </c>
      <c r="D32" s="260">
        <f>IF(D33*0.1&lt;D31,"Exceed 10% Rule","")</f>
      </c>
      <c r="E32" s="297">
        <f>IF(E33*0.1&lt;E31,"Exceed 10% Rule","")</f>
      </c>
      <c r="G32" s="647"/>
      <c r="H32" s="648"/>
      <c r="I32" s="648"/>
      <c r="J32" s="661"/>
    </row>
    <row r="33" spans="2:10" ht="15.75">
      <c r="B33" s="262" t="s">
        <v>625</v>
      </c>
      <c r="C33" s="264">
        <f>SUM(C23:C31)</f>
        <v>0</v>
      </c>
      <c r="D33" s="264">
        <f>SUM(D23:D31)</f>
        <v>0</v>
      </c>
      <c r="E33" s="265">
        <f>SUM(E23:E31)</f>
        <v>0</v>
      </c>
      <c r="G33" s="662">
        <f>D34</f>
        <v>0</v>
      </c>
      <c r="H33" s="630" t="str">
        <f>CONCATENATE("",E1-1," Ending Cash Balance (est.)")</f>
        <v>2012 Ending Cash Balance (est.)</v>
      </c>
      <c r="I33" s="663"/>
      <c r="J33" s="661"/>
    </row>
    <row r="34" spans="2:10" ht="15.75">
      <c r="B34" s="150" t="s">
        <v>732</v>
      </c>
      <c r="C34" s="268">
        <f>C21-C33</f>
        <v>0</v>
      </c>
      <c r="D34" s="268">
        <f>D21-D33</f>
        <v>0</v>
      </c>
      <c r="E34" s="284" t="s">
        <v>598</v>
      </c>
      <c r="G34" s="662">
        <f>E20</f>
        <v>0</v>
      </c>
      <c r="H34" s="648" t="str">
        <f>CONCATENATE("",E1," Non-AV Receipts (est.)")</f>
        <v>2013 Non-AV Receipts (est.)</v>
      </c>
      <c r="I34" s="663"/>
      <c r="J34" s="661"/>
    </row>
    <row r="35" spans="2:11" ht="15.75">
      <c r="B35" s="136" t="str">
        <f>CONCATENATE("",E1-2,"/",E1-1," Budget Authority Amount:")</f>
        <v>2011/2012 Budget Authority Amount:</v>
      </c>
      <c r="C35" s="239">
        <f>inputOth!B69</f>
        <v>0</v>
      </c>
      <c r="D35" s="239">
        <f>inputPrYr!D27</f>
        <v>0</v>
      </c>
      <c r="E35" s="284" t="s">
        <v>598</v>
      </c>
      <c r="F35" s="274"/>
      <c r="G35" s="664">
        <f>IF(E39&gt;0,E38,E40)</f>
        <v>0</v>
      </c>
      <c r="H35" s="648" t="str">
        <f>CONCATENATE("",E1," Ad Valorem Tax (est.)")</f>
        <v>2013 Ad Valorem Tax (est.)</v>
      </c>
      <c r="I35" s="663"/>
      <c r="J35" s="643"/>
      <c r="K35" s="639">
        <f>IF(G35=E40,"","Note: Does not include Delinquent Taxes")</f>
      </c>
    </row>
    <row r="36" spans="2:10" ht="15.75">
      <c r="B36" s="136"/>
      <c r="C36" s="795" t="s">
        <v>245</v>
      </c>
      <c r="D36" s="796"/>
      <c r="E36" s="67"/>
      <c r="F36" s="733">
        <f>IF(E33/0.95-E33&lt;E36,"Exceeds 5%","")</f>
      </c>
      <c r="G36" s="662">
        <f>SUM(G33:G35)</f>
        <v>0</v>
      </c>
      <c r="H36" s="648" t="str">
        <f>CONCATENATE("Total ",E1," Resources Available")</f>
        <v>Total 2013 Resources Available</v>
      </c>
      <c r="I36" s="663"/>
      <c r="J36" s="661"/>
    </row>
    <row r="37" spans="2:10" ht="15.75">
      <c r="B37" s="527" t="str">
        <f>CONCATENATE(C94,"     ",D94)</f>
        <v>     </v>
      </c>
      <c r="C37" s="797" t="s">
        <v>246</v>
      </c>
      <c r="D37" s="798"/>
      <c r="E37" s="226">
        <f>E33+E36</f>
        <v>0</v>
      </c>
      <c r="G37" s="699"/>
      <c r="H37" s="648"/>
      <c r="I37" s="648"/>
      <c r="J37" s="661"/>
    </row>
    <row r="38" spans="2:10" ht="15.75">
      <c r="B38" s="527" t="str">
        <f>CONCATENATE(C95,"     ",D95)</f>
        <v>     </v>
      </c>
      <c r="C38" s="275"/>
      <c r="D38" s="169" t="s">
        <v>626</v>
      </c>
      <c r="E38" s="82">
        <f>IF(E37-E21&gt;0,E37-E21,0)</f>
        <v>0</v>
      </c>
      <c r="G38" s="664">
        <f>ROUND(C33*0.05+C33,0)</f>
        <v>0</v>
      </c>
      <c r="H38" s="648" t="str">
        <f>CONCATENATE("Less ",E1-2," Expenditures + 5%")</f>
        <v>Less 2011 Expenditures + 5%</v>
      </c>
      <c r="I38" s="663"/>
      <c r="J38" s="661"/>
    </row>
    <row r="39" spans="2:10" ht="15.75">
      <c r="B39" s="169"/>
      <c r="C39" s="383" t="s">
        <v>244</v>
      </c>
      <c r="D39" s="723">
        <f>inputOth!$E$47</f>
        <v>0.025</v>
      </c>
      <c r="E39" s="226">
        <f>ROUND(IF(D39&gt;0,(E38*D39),0),0)</f>
        <v>0</v>
      </c>
      <c r="G39" s="700">
        <f>G36-G38</f>
        <v>0</v>
      </c>
      <c r="H39" s="701" t="str">
        <f>CONCATENATE("Projected ",E1+1," carryover (est.)")</f>
        <v>Projected 2014 carryover (est.)</v>
      </c>
      <c r="I39" s="702"/>
      <c r="J39" s="674"/>
    </row>
    <row r="40" spans="2:10" ht="16.5" thickBot="1">
      <c r="B40" s="47"/>
      <c r="C40" s="799" t="str">
        <f>CONCATENATE("Amount of  ",$E$1-1," Ad Valorem Tax")</f>
        <v>Amount of  2012 Ad Valorem Tax</v>
      </c>
      <c r="D40" s="800"/>
      <c r="E40" s="646">
        <f>E38+E39</f>
        <v>0</v>
      </c>
      <c r="G40" s="2"/>
      <c r="H40" s="2"/>
      <c r="I40" s="2"/>
      <c r="J40" s="2"/>
    </row>
    <row r="41" spans="2:10" ht="16.5" thickTop="1">
      <c r="B41" s="47"/>
      <c r="C41" s="47"/>
      <c r="D41" s="47"/>
      <c r="E41" s="47"/>
      <c r="G41" s="789" t="s">
        <v>439</v>
      </c>
      <c r="H41" s="790"/>
      <c r="I41" s="790"/>
      <c r="J41" s="791"/>
    </row>
    <row r="42" spans="2:10" ht="15.75">
      <c r="B42" s="52"/>
      <c r="C42" s="142"/>
      <c r="D42" s="142"/>
      <c r="E42" s="142"/>
      <c r="G42" s="629"/>
      <c r="H42" s="630"/>
      <c r="I42" s="631"/>
      <c r="J42" s="632"/>
    </row>
    <row r="43" spans="2:10" ht="15.75">
      <c r="B43" s="52" t="s">
        <v>609</v>
      </c>
      <c r="C43" s="709" t="s">
        <v>565</v>
      </c>
      <c r="D43" s="710" t="s">
        <v>566</v>
      </c>
      <c r="E43" s="144" t="s">
        <v>567</v>
      </c>
      <c r="G43" s="633" t="str">
        <f>summ!H24</f>
        <v>  </v>
      </c>
      <c r="H43" s="630" t="str">
        <f>CONCATENATE("",E1," Fund Mill Rate")</f>
        <v>2013 Fund Mill Rate</v>
      </c>
      <c r="I43" s="631"/>
      <c r="J43" s="632"/>
    </row>
    <row r="44" spans="2:10" ht="15.75">
      <c r="B44" s="531">
        <f>inputPrYr!B28</f>
        <v>0</v>
      </c>
      <c r="C44" s="223" t="str">
        <f>CONCATENATE("Actual for ",E1-2,"")</f>
        <v>Actual for 2011</v>
      </c>
      <c r="D44" s="223" t="str">
        <f>CONCATENATE("Estimate for ",E1-1,"")</f>
        <v>Estimate for 2012</v>
      </c>
      <c r="E44" s="208" t="str">
        <f>CONCATENATE("Year for ",E1,"")</f>
        <v>Year for 2013</v>
      </c>
      <c r="G44" s="634" t="str">
        <f>summ!E24</f>
        <v>  </v>
      </c>
      <c r="H44" s="630" t="str">
        <f>CONCATENATE("",E1-1," Fund Mill Rate")</f>
        <v>2012 Fund Mill Rate</v>
      </c>
      <c r="I44" s="631"/>
      <c r="J44" s="632"/>
    </row>
    <row r="45" spans="2:10" ht="15.75">
      <c r="B45" s="250" t="s">
        <v>731</v>
      </c>
      <c r="C45" s="255"/>
      <c r="D45" s="253">
        <f>C74</f>
        <v>0</v>
      </c>
      <c r="E45" s="226">
        <f>D74</f>
        <v>0</v>
      </c>
      <c r="G45" s="635">
        <f>summ!H52</f>
        <v>48.436</v>
      </c>
      <c r="H45" s="630" t="str">
        <f>CONCATENATE("Total ",E1," Mill Rate")</f>
        <v>Total 2013 Mill Rate</v>
      </c>
      <c r="I45" s="631"/>
      <c r="J45" s="632"/>
    </row>
    <row r="46" spans="2:10" ht="15.75">
      <c r="B46" s="254" t="s">
        <v>733</v>
      </c>
      <c r="C46" s="159"/>
      <c r="D46" s="159"/>
      <c r="E46" s="87"/>
      <c r="G46" s="634">
        <f>summ!E52</f>
        <v>48.436</v>
      </c>
      <c r="H46" s="636" t="str">
        <f>CONCATENATE("Total ",E1-1," Mill Rate")</f>
        <v>Total 2012 Mill Rate</v>
      </c>
      <c r="I46" s="637"/>
      <c r="J46" s="638"/>
    </row>
    <row r="47" spans="2:5" ht="15.75">
      <c r="B47" s="150" t="s">
        <v>610</v>
      </c>
      <c r="C47" s="255"/>
      <c r="D47" s="253">
        <f>IF(inputPrYr!H16&gt;0,inputPrYr!G28,inputPrYr!E28)</f>
        <v>0</v>
      </c>
      <c r="E47" s="284" t="s">
        <v>598</v>
      </c>
    </row>
    <row r="48" spans="2:5" ht="15.75">
      <c r="B48" s="150" t="s">
        <v>611</v>
      </c>
      <c r="C48" s="255"/>
      <c r="D48" s="255"/>
      <c r="E48" s="67"/>
    </row>
    <row r="49" spans="2:5" ht="15.75">
      <c r="B49" s="150" t="s">
        <v>612</v>
      </c>
      <c r="C49" s="255"/>
      <c r="D49" s="255"/>
      <c r="E49" s="226" t="str">
        <f>mvalloc!D17</f>
        <v>  </v>
      </c>
    </row>
    <row r="50" spans="2:5" ht="15.75">
      <c r="B50" s="150" t="s">
        <v>613</v>
      </c>
      <c r="C50" s="255"/>
      <c r="D50" s="255"/>
      <c r="E50" s="226" t="str">
        <f>mvalloc!E17</f>
        <v> </v>
      </c>
    </row>
    <row r="51" spans="2:5" ht="15.75">
      <c r="B51" s="159" t="s">
        <v>708</v>
      </c>
      <c r="C51" s="255"/>
      <c r="D51" s="255"/>
      <c r="E51" s="226" t="str">
        <f>mvalloc!F17</f>
        <v> </v>
      </c>
    </row>
    <row r="52" spans="2:5" ht="15.75">
      <c r="B52" s="271"/>
      <c r="C52" s="255"/>
      <c r="D52" s="255"/>
      <c r="E52" s="69"/>
    </row>
    <row r="53" spans="2:5" ht="15.75">
      <c r="B53" s="271"/>
      <c r="C53" s="255"/>
      <c r="D53" s="255"/>
      <c r="E53" s="69"/>
    </row>
    <row r="54" spans="2:5" ht="15.75">
      <c r="B54" s="271"/>
      <c r="C54" s="255"/>
      <c r="D54" s="255"/>
      <c r="E54" s="67"/>
    </row>
    <row r="55" spans="2:5" ht="15.75">
      <c r="B55" s="271"/>
      <c r="C55" s="255"/>
      <c r="D55" s="255"/>
      <c r="E55" s="67"/>
    </row>
    <row r="56" spans="2:5" ht="15.75">
      <c r="B56" s="271"/>
      <c r="C56" s="255"/>
      <c r="D56" s="255"/>
      <c r="E56" s="67"/>
    </row>
    <row r="57" spans="2:5" ht="15.75">
      <c r="B57" s="259" t="s">
        <v>617</v>
      </c>
      <c r="C57" s="255"/>
      <c r="D57" s="255"/>
      <c r="E57" s="67"/>
    </row>
    <row r="58" spans="2:5" ht="15.75">
      <c r="B58" s="159" t="s">
        <v>472</v>
      </c>
      <c r="C58" s="255"/>
      <c r="D58" s="255"/>
      <c r="E58" s="67"/>
    </row>
    <row r="59" spans="2:5" ht="15.75">
      <c r="B59" s="250" t="s">
        <v>373</v>
      </c>
      <c r="C59" s="260">
        <f>IF(C60*0.1&lt;C58,"Exceed 10% Rule","")</f>
      </c>
      <c r="D59" s="260">
        <f>IF(D60*0.1&lt;D58,"Exceed 10% Rule","")</f>
      </c>
      <c r="E59" s="297">
        <f>IF(E60*0.1+E80&lt;E58,"Exceed 10% Rule","")</f>
      </c>
    </row>
    <row r="60" spans="2:5" ht="15.75">
      <c r="B60" s="262" t="s">
        <v>618</v>
      </c>
      <c r="C60" s="264">
        <f>SUM(C47:C58)</f>
        <v>0</v>
      </c>
      <c r="D60" s="264">
        <f>SUM(D47:D58)</f>
        <v>0</v>
      </c>
      <c r="E60" s="265">
        <f>SUM(E47:E58)</f>
        <v>0</v>
      </c>
    </row>
    <row r="61" spans="2:5" ht="15.75">
      <c r="B61" s="262" t="s">
        <v>619</v>
      </c>
      <c r="C61" s="264">
        <f>C45+C60</f>
        <v>0</v>
      </c>
      <c r="D61" s="264">
        <f>D45+D60</f>
        <v>0</v>
      </c>
      <c r="E61" s="265">
        <f>E45+E60</f>
        <v>0</v>
      </c>
    </row>
    <row r="62" spans="2:5" ht="15.75">
      <c r="B62" s="150" t="s">
        <v>621</v>
      </c>
      <c r="C62" s="272"/>
      <c r="D62" s="272"/>
      <c r="E62" s="65"/>
    </row>
    <row r="63" spans="2:5" ht="15.75">
      <c r="B63" s="271"/>
      <c r="C63" s="255"/>
      <c r="D63" s="255"/>
      <c r="E63" s="67"/>
    </row>
    <row r="64" spans="2:10" ht="15.75">
      <c r="B64" s="271"/>
      <c r="C64" s="255"/>
      <c r="D64" s="255"/>
      <c r="E64" s="67"/>
      <c r="G64" s="803" t="str">
        <f>CONCATENATE("Desired Carryover Into ",E1+1,"")</f>
        <v>Desired Carryover Into 2014</v>
      </c>
      <c r="H64" s="801"/>
      <c r="I64" s="801"/>
      <c r="J64" s="802"/>
    </row>
    <row r="65" spans="2:10" ht="15.75">
      <c r="B65" s="271"/>
      <c r="C65" s="255"/>
      <c r="D65" s="255"/>
      <c r="E65" s="67"/>
      <c r="G65" s="647"/>
      <c r="H65" s="76"/>
      <c r="I65" s="648"/>
      <c r="J65" s="649"/>
    </row>
    <row r="66" spans="2:10" ht="15.75">
      <c r="B66" s="271"/>
      <c r="C66" s="255"/>
      <c r="D66" s="255"/>
      <c r="E66" s="67"/>
      <c r="G66" s="650" t="s">
        <v>361</v>
      </c>
      <c r="H66" s="648"/>
      <c r="I66" s="648"/>
      <c r="J66" s="651">
        <v>0</v>
      </c>
    </row>
    <row r="67" spans="2:10" ht="15.75">
      <c r="B67" s="271"/>
      <c r="C67" s="255"/>
      <c r="D67" s="255"/>
      <c r="E67" s="67"/>
      <c r="G67" s="647" t="s">
        <v>362</v>
      </c>
      <c r="H67" s="76"/>
      <c r="I67" s="76"/>
      <c r="J67" s="652">
        <f>IF(J66=0,"",ROUND((J66+E80-G79)/inputOth!E7*1000,3)-G84)</f>
      </c>
    </row>
    <row r="68" spans="2:10" ht="15.75">
      <c r="B68" s="271"/>
      <c r="C68" s="255"/>
      <c r="D68" s="255"/>
      <c r="E68" s="67"/>
      <c r="G68" s="653" t="str">
        <f>CONCATENATE("",E1," Tot Exp/Non-Appr Must Be:")</f>
        <v>2013 Tot Exp/Non-Appr Must Be:</v>
      </c>
      <c r="H68" s="654"/>
      <c r="I68" s="655"/>
      <c r="J68" s="656">
        <f>IF(J66&gt;0,IF(E77&lt;E61,IF(J66=G79,E77,((J66-G79)*(1-D79))+E61),E77+(J66-G79)),0)</f>
        <v>0</v>
      </c>
    </row>
    <row r="69" spans="2:10" ht="15.75">
      <c r="B69" s="271"/>
      <c r="C69" s="255"/>
      <c r="D69" s="255"/>
      <c r="E69" s="67"/>
      <c r="G69" s="657" t="s">
        <v>440</v>
      </c>
      <c r="H69" s="658"/>
      <c r="I69" s="658"/>
      <c r="J69" s="659">
        <f>IF(J66&gt;0,J68-E77,0)</f>
        <v>0</v>
      </c>
    </row>
    <row r="70" spans="2:10" ht="15.75">
      <c r="B70" s="272" t="s">
        <v>471</v>
      </c>
      <c r="C70" s="255"/>
      <c r="D70" s="255"/>
      <c r="E70" s="82">
        <f>nhood!E16</f>
      </c>
      <c r="J70" s="2"/>
    </row>
    <row r="71" spans="2:10" ht="15.75">
      <c r="B71" s="272" t="s">
        <v>472</v>
      </c>
      <c r="C71" s="255"/>
      <c r="D71" s="255"/>
      <c r="E71" s="67"/>
      <c r="G71" s="803" t="str">
        <f>CONCATENATE("Projected Carryover Into ",E1+1,"")</f>
        <v>Projected Carryover Into 2014</v>
      </c>
      <c r="H71" s="804"/>
      <c r="I71" s="804"/>
      <c r="J71" s="805"/>
    </row>
    <row r="72" spans="2:10" ht="15.75">
      <c r="B72" s="272" t="s">
        <v>374</v>
      </c>
      <c r="C72" s="260">
        <f>IF(C73*0.1&lt;C71,"Exceed 10% Rule","")</f>
      </c>
      <c r="D72" s="260">
        <f>IF(D73*0.1&lt;D71,"Exceed 10% Rule","")</f>
      </c>
      <c r="E72" s="297">
        <f>IF(E73*0.1&lt;E71,"Exceed 10% Rule","")</f>
      </c>
      <c r="G72" s="660"/>
      <c r="H72" s="76"/>
      <c r="I72" s="76"/>
      <c r="J72" s="667"/>
    </row>
    <row r="73" spans="2:10" ht="15.75">
      <c r="B73" s="262" t="s">
        <v>625</v>
      </c>
      <c r="C73" s="264">
        <f>SUM(C63:C71)</f>
        <v>0</v>
      </c>
      <c r="D73" s="264">
        <f>SUM(D63:D71)</f>
        <v>0</v>
      </c>
      <c r="E73" s="265">
        <f>SUM(E63:E71)</f>
        <v>0</v>
      </c>
      <c r="G73" s="662">
        <f>D74</f>
        <v>0</v>
      </c>
      <c r="H73" s="630" t="str">
        <f>CONCATENATE("",E1-1," Ending Cash Balance (est.)")</f>
        <v>2012 Ending Cash Balance (est.)</v>
      </c>
      <c r="I73" s="663"/>
      <c r="J73" s="667"/>
    </row>
    <row r="74" spans="2:10" ht="15.75">
      <c r="B74" s="150" t="s">
        <v>732</v>
      </c>
      <c r="C74" s="268">
        <f>C61-C73</f>
        <v>0</v>
      </c>
      <c r="D74" s="268">
        <f>D61-D73</f>
        <v>0</v>
      </c>
      <c r="E74" s="284" t="s">
        <v>598</v>
      </c>
      <c r="G74" s="662">
        <f>E60</f>
        <v>0</v>
      </c>
      <c r="H74" s="648" t="str">
        <f>CONCATENATE("",E1," Non-AV Receipts (est.)")</f>
        <v>2013 Non-AV Receipts (est.)</v>
      </c>
      <c r="I74" s="663"/>
      <c r="J74" s="667"/>
    </row>
    <row r="75" spans="2:11" ht="15.75">
      <c r="B75" s="136" t="str">
        <f>CONCATENATE("",E1-2,"/",E1-1," Budget Authority Amount:")</f>
        <v>2011/2012 Budget Authority Amount:</v>
      </c>
      <c r="C75" s="239">
        <f>inputOth!B70</f>
        <v>0</v>
      </c>
      <c r="D75" s="239">
        <f>inputPrYr!D28</f>
        <v>0</v>
      </c>
      <c r="E75" s="284" t="s">
        <v>598</v>
      </c>
      <c r="F75" s="274"/>
      <c r="G75" s="664">
        <f>IF(D79&gt;0,E78,E80)</f>
        <v>0</v>
      </c>
      <c r="H75" s="648" t="str">
        <f>CONCATENATE("",E1," Ad Valorem Tax (est.)")</f>
        <v>2013 Ad Valorem Tax (est.)</v>
      </c>
      <c r="I75" s="663"/>
      <c r="J75" s="667"/>
      <c r="K75" s="639">
        <f>IF(G75=E80,"","Note: Does not include Delinquent Taxes")</f>
      </c>
    </row>
    <row r="76" spans="2:10" ht="15.75">
      <c r="B76" s="136"/>
      <c r="C76" s="795" t="s">
        <v>245</v>
      </c>
      <c r="D76" s="796"/>
      <c r="E76" s="103"/>
      <c r="F76" s="733">
        <f>IF(E73/0.95-E73&lt;E76,"Exceeds 5%","")</f>
      </c>
      <c r="G76" s="666">
        <f>SUM(G73:G75)</f>
        <v>0</v>
      </c>
      <c r="H76" s="648" t="str">
        <f>CONCATENATE("Total ",E1," Resources Available")</f>
        <v>Total 2013 Resources Available</v>
      </c>
      <c r="I76" s="667"/>
      <c r="J76" s="667"/>
    </row>
    <row r="77" spans="2:10" ht="15.75">
      <c r="B77" s="527" t="str">
        <f>CONCATENATE(C96,"     ",D96)</f>
        <v>     </v>
      </c>
      <c r="C77" s="797" t="s">
        <v>246</v>
      </c>
      <c r="D77" s="798"/>
      <c r="E77" s="226">
        <f>E73+E76</f>
        <v>0</v>
      </c>
      <c r="G77" s="668"/>
      <c r="H77" s="669"/>
      <c r="I77" s="76"/>
      <c r="J77" s="667"/>
    </row>
    <row r="78" spans="2:10" ht="15.75">
      <c r="B78" s="527" t="str">
        <f>CONCATENATE(C97,"     ",D97)</f>
        <v>     </v>
      </c>
      <c r="C78" s="275"/>
      <c r="D78" s="169" t="s">
        <v>626</v>
      </c>
      <c r="E78" s="82">
        <f>IF(E77-E61&gt;0,E77-E61,0)</f>
        <v>0</v>
      </c>
      <c r="G78" s="670">
        <f>ROUND(C73*0.05+C73,0)</f>
        <v>0</v>
      </c>
      <c r="H78" s="669" t="str">
        <f>CONCATENATE("Less ",E1-2," Expenditures + 5%")</f>
        <v>Less 2011 Expenditures + 5%</v>
      </c>
      <c r="I78" s="667"/>
      <c r="J78" s="667"/>
    </row>
    <row r="79" spans="2:10" ht="15.75">
      <c r="B79" s="136"/>
      <c r="C79" s="383" t="s">
        <v>244</v>
      </c>
      <c r="D79" s="723">
        <f>inputOth!$E$47</f>
        <v>0.025</v>
      </c>
      <c r="E79" s="226">
        <f>ROUND(IF(D79&gt;0,(E78*D79),0),0)</f>
        <v>0</v>
      </c>
      <c r="G79" s="671">
        <f>G76-G78</f>
        <v>0</v>
      </c>
      <c r="H79" s="672" t="str">
        <f>CONCATENATE("Projected ",E1+1," carryover (est.)")</f>
        <v>Projected 2014 carryover (est.)</v>
      </c>
      <c r="I79" s="673"/>
      <c r="J79" s="674"/>
    </row>
    <row r="80" spans="2:9" ht="16.5" thickBot="1">
      <c r="B80" s="169"/>
      <c r="C80" s="799" t="str">
        <f>CONCATENATE("Amount of  ",$E$1-1," Ad Valorem Tax")</f>
        <v>Amount of  2012 Ad Valorem Tax</v>
      </c>
      <c r="D80" s="800"/>
      <c r="E80" s="646">
        <f>E78+E79</f>
        <v>0</v>
      </c>
      <c r="G80" s="2"/>
      <c r="H80" s="2"/>
      <c r="I80" s="2"/>
    </row>
    <row r="81" spans="2:10" ht="16.5" thickTop="1">
      <c r="B81" s="47"/>
      <c r="C81" s="47"/>
      <c r="D81" s="47"/>
      <c r="E81" s="47"/>
      <c r="G81" s="789" t="s">
        <v>439</v>
      </c>
      <c r="H81" s="790"/>
      <c r="I81" s="790"/>
      <c r="J81" s="791"/>
    </row>
    <row r="82" spans="2:10" ht="15.75">
      <c r="B82" s="401" t="s">
        <v>628</v>
      </c>
      <c r="C82" s="280"/>
      <c r="D82" s="47"/>
      <c r="E82" s="47"/>
      <c r="G82" s="629"/>
      <c r="H82" s="630"/>
      <c r="I82" s="631"/>
      <c r="J82" s="632"/>
    </row>
    <row r="83" spans="2:10" ht="15.75">
      <c r="B83" s="169"/>
      <c r="G83" s="633" t="str">
        <f>summ!H25</f>
        <v>  </v>
      </c>
      <c r="H83" s="630" t="str">
        <f>CONCATENATE("",E1," Fund Mill Rate")</f>
        <v>2013 Fund Mill Rate</v>
      </c>
      <c r="I83" s="631"/>
      <c r="J83" s="632"/>
    </row>
    <row r="84" spans="7:10" ht="15.75">
      <c r="G84" s="634" t="str">
        <f>summ!E25</f>
        <v>  </v>
      </c>
      <c r="H84" s="630" t="str">
        <f>CONCATENATE("",E1-1," Fund Mill Rate")</f>
        <v>2012 Fund Mill Rate</v>
      </c>
      <c r="I84" s="631"/>
      <c r="J84" s="632"/>
    </row>
    <row r="85" spans="7:10" ht="15.75">
      <c r="G85" s="635">
        <f>summ!H52</f>
        <v>48.436</v>
      </c>
      <c r="H85" s="630" t="str">
        <f>CONCATENATE("Total ",E1," Mill Rate")</f>
        <v>Total 2013 Mill Rate</v>
      </c>
      <c r="I85" s="631"/>
      <c r="J85" s="632"/>
    </row>
    <row r="86" spans="7:10" ht="15.75">
      <c r="G86" s="634">
        <f>summ!E52</f>
        <v>48.436</v>
      </c>
      <c r="H86" s="636" t="str">
        <f>CONCATENATE("Total ",E1-1," Mill Rate")</f>
        <v>Total 2012 Mill Rate</v>
      </c>
      <c r="I86" s="637"/>
      <c r="J86" s="638"/>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2">
    <mergeCell ref="G81:J81"/>
    <mergeCell ref="C80:D80"/>
    <mergeCell ref="C40:D40"/>
    <mergeCell ref="G71:J71"/>
    <mergeCell ref="C76:D76"/>
    <mergeCell ref="C77:D77"/>
    <mergeCell ref="G24:J24"/>
    <mergeCell ref="G31:J31"/>
    <mergeCell ref="G41:J41"/>
    <mergeCell ref="G64:J64"/>
    <mergeCell ref="C36:D36"/>
    <mergeCell ref="C37:D37"/>
  </mergeCells>
  <conditionalFormatting sqref="E31">
    <cfRule type="cellIs" priority="3" dxfId="311" operator="greaterThan" stopIfTrue="1">
      <formula>$E$33*0.1</formula>
    </cfRule>
  </conditionalFormatting>
  <conditionalFormatting sqref="E36">
    <cfRule type="cellIs" priority="4" dxfId="311" operator="greaterThan" stopIfTrue="1">
      <formula>$E$33/0.95-$E$33</formula>
    </cfRule>
  </conditionalFormatting>
  <conditionalFormatting sqref="E71">
    <cfRule type="cellIs" priority="5" dxfId="311" operator="greaterThan" stopIfTrue="1">
      <formula>$E$73*0.1</formula>
    </cfRule>
  </conditionalFormatting>
  <conditionalFormatting sqref="E76">
    <cfRule type="cellIs" priority="6" dxfId="311"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1" operator="greaterThan" stopIfTrue="1">
      <formula>$E$60*0.1+E80</formula>
    </cfRule>
  </conditionalFormatting>
  <conditionalFormatting sqref="E18">
    <cfRule type="cellIs" priority="21" dxfId="31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H16" sqref="H16"/>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49" t="s">
        <v>576</v>
      </c>
      <c r="B1" s="750"/>
      <c r="C1" s="750"/>
      <c r="D1" s="750"/>
      <c r="E1" s="750"/>
    </row>
    <row r="2" spans="1:5" ht="15.75">
      <c r="A2" s="46" t="s">
        <v>477</v>
      </c>
      <c r="B2" s="47"/>
      <c r="C2" s="47"/>
      <c r="D2" s="48" t="s">
        <v>34</v>
      </c>
      <c r="E2" s="49"/>
    </row>
    <row r="3" spans="1:5" ht="15.75">
      <c r="A3" s="46" t="s">
        <v>478</v>
      </c>
      <c r="B3" s="47"/>
      <c r="C3" s="47"/>
      <c r="D3" s="50" t="s">
        <v>35</v>
      </c>
      <c r="E3" s="51"/>
    </row>
    <row r="4" spans="1:5" ht="15.75">
      <c r="A4" s="52"/>
      <c r="B4" s="47"/>
      <c r="C4" s="47"/>
      <c r="D4" s="53"/>
      <c r="E4" s="47"/>
    </row>
    <row r="5" spans="1:5" ht="15.75">
      <c r="A5" s="46" t="s">
        <v>783</v>
      </c>
      <c r="B5" s="47"/>
      <c r="C5" s="54">
        <v>2013</v>
      </c>
      <c r="D5" s="53"/>
      <c r="E5" s="47"/>
    </row>
    <row r="6" spans="1:5" ht="15.75">
      <c r="A6" s="47"/>
      <c r="B6" s="47"/>
      <c r="C6" s="47"/>
      <c r="D6" s="47"/>
      <c r="E6" s="47"/>
    </row>
    <row r="7" spans="1:5" ht="15.75">
      <c r="A7" s="55" t="s">
        <v>923</v>
      </c>
      <c r="B7" s="56"/>
      <c r="C7" s="56"/>
      <c r="D7" s="56"/>
      <c r="E7" s="56"/>
    </row>
    <row r="8" spans="1:8" ht="15.75">
      <c r="A8" s="55" t="s">
        <v>922</v>
      </c>
      <c r="B8" s="56"/>
      <c r="C8" s="56"/>
      <c r="D8" s="56"/>
      <c r="E8" s="56"/>
      <c r="F8" s="47"/>
      <c r="G8" s="751" t="s">
        <v>419</v>
      </c>
      <c r="H8" s="752"/>
    </row>
    <row r="9" spans="1:8" ht="15.75">
      <c r="A9" s="55"/>
      <c r="B9" s="56"/>
      <c r="C9" s="56"/>
      <c r="D9" s="56"/>
      <c r="E9" s="56"/>
      <c r="F9" s="47"/>
      <c r="G9" s="753"/>
      <c r="H9" s="752"/>
    </row>
    <row r="10" spans="1:8" ht="15.75">
      <c r="A10" s="747" t="s">
        <v>847</v>
      </c>
      <c r="B10" s="748"/>
      <c r="C10" s="748"/>
      <c r="D10" s="748"/>
      <c r="E10" s="748"/>
      <c r="F10" s="47"/>
      <c r="G10" s="753"/>
      <c r="H10" s="752"/>
    </row>
    <row r="11" spans="1:8" ht="15.75">
      <c r="A11" s="47"/>
      <c r="B11" s="47"/>
      <c r="C11" s="47"/>
      <c r="D11" s="47"/>
      <c r="E11" s="47"/>
      <c r="F11" s="47"/>
      <c r="G11" s="753"/>
      <c r="H11" s="752"/>
    </row>
    <row r="12" spans="1:8" ht="15.75">
      <c r="A12" s="57" t="s">
        <v>848</v>
      </c>
      <c r="B12" s="58"/>
      <c r="C12" s="47"/>
      <c r="D12" s="47"/>
      <c r="E12" s="47"/>
      <c r="F12" s="47"/>
      <c r="G12" s="753"/>
      <c r="H12" s="752"/>
    </row>
    <row r="13" spans="1:8" ht="15.75">
      <c r="A13" s="59" t="str">
        <f>CONCATENATE("the ",C5-1," Budget, Certificate Page:")</f>
        <v>the 2012 Budget, Certificate Page:</v>
      </c>
      <c r="B13" s="60"/>
      <c r="C13" s="47"/>
      <c r="D13" s="47"/>
      <c r="E13" s="47"/>
      <c r="F13" s="47"/>
      <c r="G13" s="753"/>
      <c r="H13" s="752"/>
    </row>
    <row r="14" spans="1:8" ht="15.75">
      <c r="A14" s="59" t="s">
        <v>925</v>
      </c>
      <c r="B14" s="60"/>
      <c r="C14" s="47"/>
      <c r="D14" s="47"/>
      <c r="E14" s="47"/>
      <c r="F14" s="47"/>
      <c r="G14" s="76"/>
      <c r="H14" s="98"/>
    </row>
    <row r="15" spans="1:8" ht="15.75">
      <c r="A15" s="47"/>
      <c r="B15" s="47"/>
      <c r="C15" s="47"/>
      <c r="D15" s="61">
        <f>C5-1</f>
        <v>2012</v>
      </c>
      <c r="E15" s="61">
        <f>C5-2</f>
        <v>2011</v>
      </c>
      <c r="G15" s="199" t="s">
        <v>420</v>
      </c>
      <c r="H15" s="156" t="s">
        <v>627</v>
      </c>
    </row>
    <row r="16" spans="1:8" ht="15.75">
      <c r="A16" s="52" t="s">
        <v>577</v>
      </c>
      <c r="B16" s="47"/>
      <c r="C16" s="62" t="s">
        <v>578</v>
      </c>
      <c r="D16" s="63" t="s">
        <v>924</v>
      </c>
      <c r="E16" s="63" t="s">
        <v>523</v>
      </c>
      <c r="G16" s="200" t="str">
        <f>CONCATENATE("",E15," Ad Valorem Tax")</f>
        <v>2011 Ad Valorem Tax</v>
      </c>
      <c r="H16" s="607">
        <v>0</v>
      </c>
    </row>
    <row r="17" spans="1:7" ht="15.75">
      <c r="A17" s="47"/>
      <c r="B17" s="64" t="s">
        <v>579</v>
      </c>
      <c r="C17" s="156" t="s">
        <v>735</v>
      </c>
      <c r="D17" s="66">
        <v>5035376</v>
      </c>
      <c r="E17" s="66">
        <v>1697253</v>
      </c>
      <c r="G17" s="226">
        <f>IF(H16&gt;0,ROUND(E17-(E17*H16),0),0)</f>
        <v>0</v>
      </c>
    </row>
    <row r="18" spans="1:7" ht="15.75">
      <c r="A18" s="47"/>
      <c r="B18" s="64" t="s">
        <v>505</v>
      </c>
      <c r="C18" s="156" t="s">
        <v>784</v>
      </c>
      <c r="D18" s="67">
        <v>2131988</v>
      </c>
      <c r="E18" s="67">
        <v>498558</v>
      </c>
      <c r="G18" s="226">
        <f>IF(H16&gt;0,ROUND(E18-(E18*H16),0),0)</f>
        <v>0</v>
      </c>
    </row>
    <row r="19" spans="1:7" ht="15.75">
      <c r="A19" s="47"/>
      <c r="B19" s="64" t="s">
        <v>421</v>
      </c>
      <c r="C19" s="156" t="s">
        <v>422</v>
      </c>
      <c r="D19" s="67">
        <v>332884</v>
      </c>
      <c r="E19" s="67">
        <v>284320</v>
      </c>
      <c r="G19" s="226">
        <f>IF(H16&gt;0,ROUND(E19-(E19*H16),0),0)</f>
        <v>0</v>
      </c>
    </row>
    <row r="20" spans="1:5" ht="15.75">
      <c r="A20" s="52" t="s">
        <v>580</v>
      </c>
      <c r="B20" s="47"/>
      <c r="C20" s="47"/>
      <c r="D20" s="47"/>
      <c r="E20" s="68"/>
    </row>
    <row r="21" spans="1:7" ht="15.75">
      <c r="A21" s="47"/>
      <c r="B21" s="69" t="s">
        <v>36</v>
      </c>
      <c r="C21" s="382" t="s">
        <v>37</v>
      </c>
      <c r="D21" s="67">
        <v>256800</v>
      </c>
      <c r="E21" s="67">
        <v>108312</v>
      </c>
      <c r="G21" s="226">
        <f>IF(H16&gt;0,ROUND(E21-(E21*H16),0),0)</f>
        <v>0</v>
      </c>
    </row>
    <row r="22" spans="1:7" ht="15.75">
      <c r="A22" s="47"/>
      <c r="B22" s="69" t="s">
        <v>38</v>
      </c>
      <c r="C22" s="382" t="s">
        <v>39</v>
      </c>
      <c r="D22" s="67">
        <v>39000</v>
      </c>
      <c r="E22" s="67">
        <v>33844</v>
      </c>
      <c r="G22" s="226">
        <f>IF(H16&gt;0,ROUND(E22-(E22*H16),0),0)</f>
        <v>0</v>
      </c>
    </row>
    <row r="23" spans="1:7" ht="15.75">
      <c r="A23" s="47"/>
      <c r="B23" s="69"/>
      <c r="C23" s="382"/>
      <c r="D23" s="67"/>
      <c r="E23" s="67"/>
      <c r="G23" s="226">
        <f>IF(H16&gt;0,ROUND(E23-(E23*H16),0),0)</f>
        <v>0</v>
      </c>
    </row>
    <row r="24" spans="1:7" ht="15.75">
      <c r="A24" s="47"/>
      <c r="B24" s="69"/>
      <c r="C24" s="382"/>
      <c r="D24" s="67"/>
      <c r="E24" s="67"/>
      <c r="G24" s="226">
        <f>IF(H16&gt;0,ROUND(E24-(E24*H16),0),0)</f>
        <v>0</v>
      </c>
    </row>
    <row r="25" spans="1:7" ht="15.75">
      <c r="A25" s="47"/>
      <c r="B25" s="69"/>
      <c r="C25" s="382"/>
      <c r="D25" s="67"/>
      <c r="E25" s="67"/>
      <c r="G25" s="226">
        <f>IF(H16&gt;0,ROUND(E25-(E25*H16),0),0)</f>
        <v>0</v>
      </c>
    </row>
    <row r="26" spans="1:7" ht="15.75">
      <c r="A26" s="47"/>
      <c r="B26" s="69"/>
      <c r="C26" s="382"/>
      <c r="D26" s="67"/>
      <c r="E26" s="67"/>
      <c r="G26" s="226">
        <f>IF(H16&gt;0,ROUND(E26-(E26*H16),0),0)</f>
        <v>0</v>
      </c>
    </row>
    <row r="27" spans="1:7" ht="15.75">
      <c r="A27" s="47"/>
      <c r="B27" s="69"/>
      <c r="C27" s="382"/>
      <c r="D27" s="67"/>
      <c r="E27" s="67"/>
      <c r="G27" s="226">
        <f>IF(H16&gt;0,ROUND(E27-(E27*H16),0),0)</f>
        <v>0</v>
      </c>
    </row>
    <row r="28" spans="1:7" ht="15.75">
      <c r="A28" s="47"/>
      <c r="B28" s="69"/>
      <c r="C28" s="382"/>
      <c r="D28" s="67"/>
      <c r="E28" s="67"/>
      <c r="G28" s="226">
        <f>IF(H16&gt;0,ROUND(E28-(E28*H16),0),0)</f>
        <v>0</v>
      </c>
    </row>
    <row r="29" spans="1:7" ht="15.75">
      <c r="A29" s="47"/>
      <c r="B29" s="69"/>
      <c r="C29" s="382"/>
      <c r="D29" s="67"/>
      <c r="E29" s="67"/>
      <c r="G29" s="226">
        <f>IF(H16&gt;0,ROUND(E29-(E29*H16),0),0)</f>
        <v>0</v>
      </c>
    </row>
    <row r="30" spans="1:7" ht="15.75">
      <c r="A30" s="47"/>
      <c r="B30" s="69"/>
      <c r="C30" s="382"/>
      <c r="D30" s="67"/>
      <c r="E30" s="67"/>
      <c r="G30" s="226">
        <f>IF(H16&gt;0,ROUND(E30-(E30*H16),0),0)</f>
        <v>0</v>
      </c>
    </row>
    <row r="31" spans="1:5" ht="15.75">
      <c r="A31" s="70" t="str">
        <f>CONCATENATE("Total Tax Levy Funds for ",C5-1," Budgeted Year")</f>
        <v>Total Tax Levy Funds for 2012 Budgeted Year</v>
      </c>
      <c r="B31" s="71"/>
      <c r="C31" s="72"/>
      <c r="D31" s="73"/>
      <c r="E31" s="74">
        <f>SUM(E17:E30)</f>
        <v>2622287</v>
      </c>
    </row>
    <row r="32" spans="1:5" ht="15.75">
      <c r="A32" s="75"/>
      <c r="B32" s="76"/>
      <c r="C32" s="76"/>
      <c r="D32" s="77"/>
      <c r="E32" s="68"/>
    </row>
    <row r="33" spans="1:5" ht="15.75">
      <c r="A33" s="52" t="s">
        <v>789</v>
      </c>
      <c r="B33" s="47"/>
      <c r="C33" s="47"/>
      <c r="D33" s="47"/>
      <c r="E33" s="47"/>
    </row>
    <row r="34" spans="1:5" ht="15.75">
      <c r="A34" s="47"/>
      <c r="B34" s="65" t="s">
        <v>710</v>
      </c>
      <c r="C34" s="47"/>
      <c r="D34" s="67">
        <v>441418</v>
      </c>
      <c r="E34" s="47"/>
    </row>
    <row r="35" spans="1:5" ht="15.75">
      <c r="A35" s="47"/>
      <c r="B35" s="69" t="s">
        <v>40</v>
      </c>
      <c r="C35" s="47"/>
      <c r="D35" s="67">
        <v>109414</v>
      </c>
      <c r="E35" s="47"/>
    </row>
    <row r="36" spans="1:5" ht="15.75">
      <c r="A36" s="47"/>
      <c r="B36" s="69" t="s">
        <v>41</v>
      </c>
      <c r="C36" s="47"/>
      <c r="D36" s="67">
        <v>30754</v>
      </c>
      <c r="E36" s="47"/>
    </row>
    <row r="37" spans="1:5" ht="15.75">
      <c r="A37" s="47"/>
      <c r="B37" s="69" t="s">
        <v>42</v>
      </c>
      <c r="C37" s="47"/>
      <c r="D37" s="67">
        <v>17580</v>
      </c>
      <c r="E37" s="47"/>
    </row>
    <row r="38" spans="1:5" ht="15.75">
      <c r="A38" s="47"/>
      <c r="B38" s="69" t="s">
        <v>43</v>
      </c>
      <c r="C38" s="47"/>
      <c r="D38" s="67">
        <v>57535</v>
      </c>
      <c r="E38" s="47"/>
    </row>
    <row r="39" spans="1:5" ht="15.75">
      <c r="A39" s="47"/>
      <c r="B39" s="69" t="s">
        <v>44</v>
      </c>
      <c r="C39" s="47"/>
      <c r="D39" s="67">
        <v>155085</v>
      </c>
      <c r="E39" s="47"/>
    </row>
    <row r="40" spans="1:5" ht="15.75">
      <c r="A40" s="47"/>
      <c r="B40" s="69" t="s">
        <v>45</v>
      </c>
      <c r="C40" s="47"/>
      <c r="D40" s="67">
        <v>465021</v>
      </c>
      <c r="E40" s="47"/>
    </row>
    <row r="41" spans="1:5" ht="15.75">
      <c r="A41" s="47"/>
      <c r="B41" s="69" t="s">
        <v>46</v>
      </c>
      <c r="C41" s="47"/>
      <c r="D41" s="67">
        <v>105337</v>
      </c>
      <c r="E41" s="47"/>
    </row>
    <row r="42" spans="1:5" ht="15.75">
      <c r="A42" s="47"/>
      <c r="B42" s="69" t="s">
        <v>47</v>
      </c>
      <c r="C42" s="47"/>
      <c r="D42" s="67">
        <v>97563</v>
      </c>
      <c r="E42" s="47"/>
    </row>
    <row r="43" spans="1:5" ht="15.75">
      <c r="A43" s="47"/>
      <c r="B43" s="69" t="s">
        <v>48</v>
      </c>
      <c r="C43" s="47"/>
      <c r="D43" s="67">
        <v>437390</v>
      </c>
      <c r="E43" s="47"/>
    </row>
    <row r="44" spans="1:5" ht="15.75">
      <c r="A44" s="47"/>
      <c r="B44" s="78" t="s">
        <v>49</v>
      </c>
      <c r="C44" s="47"/>
      <c r="D44" s="67">
        <v>717480</v>
      </c>
      <c r="E44" s="47"/>
    </row>
    <row r="45" spans="1:5" ht="15.75">
      <c r="A45" s="47"/>
      <c r="B45" s="78" t="s">
        <v>50</v>
      </c>
      <c r="C45" s="47"/>
      <c r="D45" s="67">
        <v>32000</v>
      </c>
      <c r="E45" s="47"/>
    </row>
    <row r="46" spans="1:5" ht="15.75">
      <c r="A46" s="47"/>
      <c r="B46" s="78" t="s">
        <v>51</v>
      </c>
      <c r="C46" s="47"/>
      <c r="D46" s="67">
        <v>107050</v>
      </c>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819</v>
      </c>
      <c r="B50" s="79"/>
      <c r="C50" s="47"/>
      <c r="D50" s="47"/>
      <c r="E50" s="47"/>
    </row>
    <row r="51" spans="1:5" ht="15.75">
      <c r="A51" s="47">
        <v>1</v>
      </c>
      <c r="B51" s="78" t="s">
        <v>52</v>
      </c>
      <c r="C51" s="47"/>
      <c r="D51" s="67">
        <v>2984592</v>
      </c>
      <c r="E51" s="47"/>
    </row>
    <row r="52" spans="1:5" ht="15.75">
      <c r="A52" s="47">
        <v>2</v>
      </c>
      <c r="B52" s="78" t="s">
        <v>53</v>
      </c>
      <c r="C52" s="47"/>
      <c r="D52" s="67">
        <v>609104</v>
      </c>
      <c r="E52" s="47"/>
    </row>
    <row r="53" spans="1:5" ht="15.75">
      <c r="A53" s="47">
        <v>3</v>
      </c>
      <c r="B53" s="78" t="s">
        <v>54</v>
      </c>
      <c r="C53" s="47"/>
      <c r="D53" s="67">
        <v>1171102</v>
      </c>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15334473</v>
      </c>
      <c r="E55" s="47"/>
    </row>
    <row r="56" spans="1:5" ht="15.75">
      <c r="A56" s="47" t="s">
        <v>820</v>
      </c>
      <c r="B56" s="83"/>
      <c r="C56" s="47"/>
      <c r="D56" s="47"/>
      <c r="E56" s="47"/>
    </row>
    <row r="57" spans="1:5" ht="15.75">
      <c r="A57" s="47">
        <v>1</v>
      </c>
      <c r="B57" s="78"/>
      <c r="C57" s="47"/>
      <c r="D57" s="47"/>
      <c r="E57" s="47"/>
    </row>
    <row r="58" spans="1:5" ht="15.75">
      <c r="A58" s="47">
        <v>2</v>
      </c>
      <c r="B58" s="78"/>
      <c r="C58" s="47"/>
      <c r="D58" s="47"/>
      <c r="E58" s="47"/>
    </row>
    <row r="59" spans="1:5" ht="15.75">
      <c r="A59" s="47">
        <v>3</v>
      </c>
      <c r="B59" s="78"/>
      <c r="C59" s="47"/>
      <c r="D59" s="47"/>
      <c r="E59" s="47"/>
    </row>
    <row r="60" spans="1:5" ht="15.75">
      <c r="A60" s="47">
        <v>4</v>
      </c>
      <c r="B60" s="78"/>
      <c r="C60" s="47"/>
      <c r="D60" s="47"/>
      <c r="E60" s="47"/>
    </row>
    <row r="61" spans="1:5" ht="15.75">
      <c r="A61" s="47">
        <v>5</v>
      </c>
      <c r="B61" s="78"/>
      <c r="C61" s="47"/>
      <c r="D61" s="47"/>
      <c r="E61" s="47"/>
    </row>
    <row r="62" spans="1:5" ht="15.75">
      <c r="A62" s="47" t="s">
        <v>821</v>
      </c>
      <c r="B62" s="79"/>
      <c r="C62" s="47"/>
      <c r="D62" s="47"/>
      <c r="E62" s="47"/>
    </row>
    <row r="63" spans="1:5" ht="15.75">
      <c r="A63" s="47">
        <v>1</v>
      </c>
      <c r="B63" s="78"/>
      <c r="C63" s="47"/>
      <c r="D63" s="47"/>
      <c r="E63" s="47"/>
    </row>
    <row r="64" spans="1:5" ht="15.75">
      <c r="A64" s="47">
        <v>2</v>
      </c>
      <c r="B64" s="78"/>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822</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823</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31.704</v>
      </c>
      <c r="E84" s="47"/>
    </row>
    <row r="85" spans="1:5" ht="15.75">
      <c r="A85" s="47"/>
      <c r="B85" s="87" t="str">
        <f>B18</f>
        <v>Debt Service</v>
      </c>
      <c r="C85" s="47"/>
      <c r="D85" s="78">
        <v>9.107</v>
      </c>
      <c r="E85" s="47"/>
    </row>
    <row r="86" spans="1:5" ht="15.75">
      <c r="A86" s="47"/>
      <c r="B86" s="87" t="str">
        <f>B19</f>
        <v>Library</v>
      </c>
      <c r="C86" s="47"/>
      <c r="D86" s="78">
        <v>5.261</v>
      </c>
      <c r="E86" s="47"/>
    </row>
    <row r="87" spans="1:5" ht="15.75">
      <c r="A87" s="47"/>
      <c r="B87" s="87" t="str">
        <f aca="true" t="shared" si="0" ref="B87:B96">B21</f>
        <v>Law Enforcement</v>
      </c>
      <c r="C87" s="47"/>
      <c r="D87" s="78">
        <v>2.004</v>
      </c>
      <c r="E87" s="47"/>
    </row>
    <row r="88" spans="1:5" ht="15.75">
      <c r="A88" s="47"/>
      <c r="B88" s="87" t="str">
        <f t="shared" si="0"/>
        <v>Special Liability</v>
      </c>
      <c r="C88" s="47"/>
      <c r="D88" s="78">
        <v>0.345</v>
      </c>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581</v>
      </c>
      <c r="B97" s="71"/>
      <c r="C97" s="81"/>
      <c r="D97" s="88">
        <f>SUM(D84:D96)</f>
        <v>48.421</v>
      </c>
      <c r="E97" s="47"/>
    </row>
    <row r="98" spans="1:5" ht="15.75">
      <c r="A98" s="47"/>
      <c r="B98" s="47"/>
      <c r="C98" s="47"/>
      <c r="D98" s="47"/>
      <c r="E98" s="47"/>
    </row>
    <row r="99" spans="1:5" ht="15.75">
      <c r="A99" s="89" t="str">
        <f>CONCATENATE("Total Tax Levied (",C5-2," budget column)")</f>
        <v>Total Tax Levied (2011 budget column)</v>
      </c>
      <c r="B99" s="90"/>
      <c r="C99" s="71"/>
      <c r="D99" s="81"/>
      <c r="E99" s="67">
        <v>2602263</v>
      </c>
    </row>
    <row r="100" spans="1:5" ht="15.75">
      <c r="A100" s="91" t="str">
        <f>CONCATENATE("Assessed Valuation  (",C5-2," budget column)")</f>
        <v>Assessed Valuation  (2011 budget column)</v>
      </c>
      <c r="B100" s="92"/>
      <c r="C100" s="72"/>
      <c r="D100" s="93"/>
      <c r="E100" s="67">
        <v>53742913</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461</v>
      </c>
      <c r="B103" s="58"/>
      <c r="C103" s="98"/>
      <c r="D103" s="99">
        <f>C5-3</f>
        <v>2010</v>
      </c>
      <c r="E103" s="100">
        <f>C5-2</f>
        <v>2011</v>
      </c>
    </row>
    <row r="104" spans="1:5" ht="15.75">
      <c r="A104" s="101" t="s">
        <v>785</v>
      </c>
      <c r="B104" s="101"/>
      <c r="C104" s="102"/>
      <c r="D104" s="103">
        <v>16415000</v>
      </c>
      <c r="E104" s="103">
        <v>19165000</v>
      </c>
    </row>
    <row r="105" spans="1:5" ht="15.75">
      <c r="A105" s="104" t="s">
        <v>786</v>
      </c>
      <c r="B105" s="104"/>
      <c r="C105" s="105"/>
      <c r="D105" s="103">
        <v>2400000</v>
      </c>
      <c r="E105" s="103">
        <v>2095000</v>
      </c>
    </row>
    <row r="106" spans="1:5" ht="15.75">
      <c r="A106" s="104" t="s">
        <v>787</v>
      </c>
      <c r="B106" s="104"/>
      <c r="C106" s="105"/>
      <c r="D106" s="103">
        <v>2420500</v>
      </c>
      <c r="E106" s="103">
        <v>0</v>
      </c>
    </row>
    <row r="107" spans="1:5" ht="15.75">
      <c r="A107" s="104" t="s">
        <v>788</v>
      </c>
      <c r="B107" s="104"/>
      <c r="C107" s="105"/>
      <c r="D107" s="103">
        <v>527049</v>
      </c>
      <c r="E107" s="103">
        <v>464549</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676</v>
      </c>
      <c r="C3" s="201"/>
      <c r="D3" s="201"/>
      <c r="E3" s="286"/>
    </row>
    <row r="4" spans="2:5" ht="15.75">
      <c r="B4" s="52" t="s">
        <v>609</v>
      </c>
      <c r="C4" s="709" t="s">
        <v>565</v>
      </c>
      <c r="D4" s="710" t="s">
        <v>566</v>
      </c>
      <c r="E4" s="144" t="s">
        <v>567</v>
      </c>
    </row>
    <row r="5" spans="2:5" ht="15.75">
      <c r="B5" s="531">
        <f>inputPrYr!B29</f>
        <v>0</v>
      </c>
      <c r="C5" s="223" t="str">
        <f>CONCATENATE("Actual for ",E1-2,"")</f>
        <v>Actual for 2011</v>
      </c>
      <c r="D5" s="223" t="str">
        <f>CONCATENATE("Estimate for ",E1-1,"")</f>
        <v>Estimate for 2012</v>
      </c>
      <c r="E5" s="208" t="str">
        <f>CONCATENATE("Year for ",E1,"")</f>
        <v>Year for 2013</v>
      </c>
    </row>
    <row r="6" spans="2:5" ht="15.75">
      <c r="B6" s="250" t="s">
        <v>731</v>
      </c>
      <c r="C6" s="255"/>
      <c r="D6" s="253">
        <f>C34</f>
        <v>0</v>
      </c>
      <c r="E6" s="226">
        <f>D34</f>
        <v>0</v>
      </c>
    </row>
    <row r="7" spans="2:5" ht="15.75">
      <c r="B7" s="254" t="s">
        <v>733</v>
      </c>
      <c r="C7" s="159"/>
      <c r="D7" s="159"/>
      <c r="E7" s="87"/>
    </row>
    <row r="8" spans="2:5" ht="15.75">
      <c r="B8" s="150" t="s">
        <v>610</v>
      </c>
      <c r="C8" s="255"/>
      <c r="D8" s="253">
        <f>IF(inputPrYr!H16&gt;0,inputPrYr!G29,inputPrYr!E29)</f>
        <v>0</v>
      </c>
      <c r="E8" s="284" t="s">
        <v>598</v>
      </c>
    </row>
    <row r="9" spans="2:5" ht="15.75">
      <c r="B9" s="150" t="s">
        <v>611</v>
      </c>
      <c r="C9" s="255"/>
      <c r="D9" s="255"/>
      <c r="E9" s="67"/>
    </row>
    <row r="10" spans="2:5" ht="15.75">
      <c r="B10" s="150" t="s">
        <v>612</v>
      </c>
      <c r="C10" s="255"/>
      <c r="D10" s="255"/>
      <c r="E10" s="226" t="str">
        <f>mvalloc!D18</f>
        <v>  </v>
      </c>
    </row>
    <row r="11" spans="2:5" ht="15.75">
      <c r="B11" s="150" t="s">
        <v>613</v>
      </c>
      <c r="C11" s="255"/>
      <c r="D11" s="255"/>
      <c r="E11" s="226" t="str">
        <f>mvalloc!E18</f>
        <v> </v>
      </c>
    </row>
    <row r="12" spans="2:5" ht="15.75">
      <c r="B12" s="159" t="s">
        <v>708</v>
      </c>
      <c r="C12" s="255"/>
      <c r="D12" s="255"/>
      <c r="E12" s="226" t="str">
        <f>mvalloc!F18</f>
        <v> </v>
      </c>
    </row>
    <row r="13" spans="2:5" ht="15.75">
      <c r="B13" s="271"/>
      <c r="C13" s="255"/>
      <c r="D13" s="255"/>
      <c r="E13" s="69"/>
    </row>
    <row r="14" spans="2:5" ht="15.75">
      <c r="B14" s="271"/>
      <c r="C14" s="255"/>
      <c r="D14" s="255"/>
      <c r="E14" s="69"/>
    </row>
    <row r="15" spans="2:5" ht="15.75">
      <c r="B15" s="271"/>
      <c r="C15" s="255"/>
      <c r="D15" s="255"/>
      <c r="E15" s="67"/>
    </row>
    <row r="16" spans="2:5" ht="15.75">
      <c r="B16" s="271"/>
      <c r="C16" s="255"/>
      <c r="D16" s="255"/>
      <c r="E16" s="67"/>
    </row>
    <row r="17" spans="2:5" ht="15.75">
      <c r="B17" s="259" t="s">
        <v>617</v>
      </c>
      <c r="C17" s="255"/>
      <c r="D17" s="255"/>
      <c r="E17" s="67"/>
    </row>
    <row r="18" spans="2:5" ht="15.75">
      <c r="B18" s="159" t="s">
        <v>472</v>
      </c>
      <c r="C18" s="255"/>
      <c r="D18" s="255"/>
      <c r="E18" s="67"/>
    </row>
    <row r="19" spans="2:5" ht="15.75">
      <c r="B19" s="250" t="s">
        <v>373</v>
      </c>
      <c r="C19" s="260">
        <f>IF(C20*0.1&lt;C18,"Exceed 10% Rule","")</f>
      </c>
      <c r="D19" s="260">
        <f>IF(D20*0.1&lt;D18,"Exceed 10% Rule","")</f>
      </c>
      <c r="E19" s="297">
        <f>IF(E20*0.1+E40&lt;E18,"Exceed 10% Rule","")</f>
      </c>
    </row>
    <row r="20" spans="2:5" ht="15.75">
      <c r="B20" s="262" t="s">
        <v>618</v>
      </c>
      <c r="C20" s="264">
        <f>SUM(C8:C18)</f>
        <v>0</v>
      </c>
      <c r="D20" s="264">
        <f>SUM(D8:D18)</f>
        <v>0</v>
      </c>
      <c r="E20" s="265">
        <f>SUM(E8:E18)</f>
        <v>0</v>
      </c>
    </row>
    <row r="21" spans="2:5" ht="15.75">
      <c r="B21" s="262" t="s">
        <v>619</v>
      </c>
      <c r="C21" s="264">
        <f>C6+C20</f>
        <v>0</v>
      </c>
      <c r="D21" s="264">
        <f>D6+D20</f>
        <v>0</v>
      </c>
      <c r="E21" s="265">
        <f>E6+E20</f>
        <v>0</v>
      </c>
    </row>
    <row r="22" spans="2:5" ht="15.75">
      <c r="B22" s="150" t="s">
        <v>621</v>
      </c>
      <c r="C22" s="272"/>
      <c r="D22" s="272"/>
      <c r="E22" s="65"/>
    </row>
    <row r="23" spans="2:5" ht="15.75">
      <c r="B23" s="271"/>
      <c r="C23" s="255"/>
      <c r="D23" s="255"/>
      <c r="E23" s="67"/>
    </row>
    <row r="24" spans="2:10" ht="15.75">
      <c r="B24" s="271"/>
      <c r="C24" s="255"/>
      <c r="D24" s="255"/>
      <c r="E24" s="67"/>
      <c r="G24" s="803" t="str">
        <f>CONCATENATE("Desired Carryover Into ",E1+1,"")</f>
        <v>Desired Carryover Into 2014</v>
      </c>
      <c r="H24" s="801"/>
      <c r="I24" s="801"/>
      <c r="J24" s="802"/>
    </row>
    <row r="25" spans="2:10" ht="15.75">
      <c r="B25" s="271"/>
      <c r="C25" s="255"/>
      <c r="D25" s="255"/>
      <c r="E25" s="67"/>
      <c r="G25" s="647"/>
      <c r="H25" s="76"/>
      <c r="I25" s="648"/>
      <c r="J25" s="649"/>
    </row>
    <row r="26" spans="2:10" ht="15.75">
      <c r="B26" s="271"/>
      <c r="C26" s="255"/>
      <c r="D26" s="255"/>
      <c r="E26" s="67"/>
      <c r="G26" s="650" t="s">
        <v>361</v>
      </c>
      <c r="H26" s="648"/>
      <c r="I26" s="648"/>
      <c r="J26" s="651">
        <v>0</v>
      </c>
    </row>
    <row r="27" spans="2:10" ht="15.75">
      <c r="B27" s="271"/>
      <c r="C27" s="255"/>
      <c r="D27" s="255"/>
      <c r="E27" s="67"/>
      <c r="G27" s="647" t="s">
        <v>362</v>
      </c>
      <c r="H27" s="76"/>
      <c r="I27" s="76"/>
      <c r="J27" s="652">
        <f>IF(J26=0,"",ROUND((J26+E40-G39)/inputOth!E7*1000,3)-G44)</f>
      </c>
    </row>
    <row r="28" spans="2:10" ht="15.75">
      <c r="B28" s="271"/>
      <c r="C28" s="255"/>
      <c r="D28" s="255"/>
      <c r="E28" s="67"/>
      <c r="G28" s="653" t="str">
        <f>CONCATENATE("",E1," Tot Exp/Non-Appr Must Be:")</f>
        <v>2013 Tot Exp/Non-Appr Must Be:</v>
      </c>
      <c r="H28" s="654"/>
      <c r="I28" s="655"/>
      <c r="J28" s="656">
        <f>IF(J26&gt;0,IF(E37&lt;E20,IF(J26=G39,E37,((J26-G39)*(1-D39))+E20),E37+(J26-G39)),0)</f>
        <v>0</v>
      </c>
    </row>
    <row r="29" spans="2:10" ht="15.75">
      <c r="B29" s="271"/>
      <c r="C29" s="255"/>
      <c r="D29" s="255"/>
      <c r="E29" s="67"/>
      <c r="G29" s="657" t="s">
        <v>440</v>
      </c>
      <c r="H29" s="658"/>
      <c r="I29" s="658"/>
      <c r="J29" s="659">
        <f>IF(J26&gt;0,J28-E37,0)</f>
        <v>0</v>
      </c>
    </row>
    <row r="30" spans="2:10" ht="15.75">
      <c r="B30" s="272" t="s">
        <v>471</v>
      </c>
      <c r="C30" s="255"/>
      <c r="D30" s="255"/>
      <c r="E30" s="82">
        <f>nhood!E17</f>
      </c>
      <c r="J30" s="2"/>
    </row>
    <row r="31" spans="2:10" ht="15.75">
      <c r="B31" s="272" t="s">
        <v>472</v>
      </c>
      <c r="C31" s="255"/>
      <c r="D31" s="255"/>
      <c r="E31" s="67"/>
      <c r="G31" s="803" t="str">
        <f>CONCATENATE("Projected Carryover Into ",E1+1,"")</f>
        <v>Projected Carryover Into 2014</v>
      </c>
      <c r="H31" s="809"/>
      <c r="I31" s="809"/>
      <c r="J31" s="805"/>
    </row>
    <row r="32" spans="2:10" ht="15.75">
      <c r="B32" s="272" t="s">
        <v>374</v>
      </c>
      <c r="C32" s="260">
        <f>IF(C33*0.1&lt;C31,"Exceed 10% Rule","")</f>
      </c>
      <c r="D32" s="260">
        <f>IF(D33*0.1&lt;D31,"Exceed 10% Rule","")</f>
      </c>
      <c r="E32" s="297">
        <f>IF(E33*0.1&lt;E31,"Exceed 10% Rule","")</f>
      </c>
      <c r="G32" s="647"/>
      <c r="H32" s="648"/>
      <c r="I32" s="648"/>
      <c r="J32" s="661"/>
    </row>
    <row r="33" spans="2:10" ht="15.75">
      <c r="B33" s="262" t="s">
        <v>625</v>
      </c>
      <c r="C33" s="264">
        <f>SUM(C24:C31)</f>
        <v>0</v>
      </c>
      <c r="D33" s="264">
        <f>SUM(D24:D31)</f>
        <v>0</v>
      </c>
      <c r="E33" s="265">
        <f>SUM(E24:E31)</f>
        <v>0</v>
      </c>
      <c r="G33" s="662">
        <f>D34</f>
        <v>0</v>
      </c>
      <c r="H33" s="630" t="str">
        <f>CONCATENATE("",E1-1," Ending Cash Balance (est.)")</f>
        <v>2012 Ending Cash Balance (est.)</v>
      </c>
      <c r="I33" s="663"/>
      <c r="J33" s="661"/>
    </row>
    <row r="34" spans="2:10" ht="15.75">
      <c r="B34" s="150" t="s">
        <v>732</v>
      </c>
      <c r="C34" s="268">
        <f>C21-C33</f>
        <v>0</v>
      </c>
      <c r="D34" s="268">
        <f>D21-D33</f>
        <v>0</v>
      </c>
      <c r="E34" s="284" t="s">
        <v>598</v>
      </c>
      <c r="G34" s="662">
        <f>E19</f>
      </c>
      <c r="H34" s="648" t="str">
        <f>CONCATENATE("",E1," Non-AV Receipts (est.)")</f>
        <v>2013 Non-AV Receipts (est.)</v>
      </c>
      <c r="I34" s="663"/>
      <c r="J34" s="661"/>
    </row>
    <row r="35" spans="2:11" ht="15.75">
      <c r="B35" s="136" t="str">
        <f>CONCATENATE("",E1-2,"/",E1-1," Budget Authority Amount:")</f>
        <v>2011/2012 Budget Authority Amount:</v>
      </c>
      <c r="C35" s="239">
        <f>inputOth!B71</f>
        <v>0</v>
      </c>
      <c r="D35" s="239">
        <f>inputPrYr!D29</f>
        <v>0</v>
      </c>
      <c r="E35" s="284" t="s">
        <v>598</v>
      </c>
      <c r="F35" s="274"/>
      <c r="G35" s="664">
        <f>IF(E39&gt;0,E38,E40)</f>
        <v>0</v>
      </c>
      <c r="H35" s="648" t="str">
        <f>CONCATENATE("",E1," Ad Valorem Tax (est.)")</f>
        <v>2013 Ad Valorem Tax (est.)</v>
      </c>
      <c r="I35" s="663"/>
      <c r="J35" s="643"/>
      <c r="K35" s="639">
        <f>IF(G35=E40,"","Note: Does not include Delinquent Taxes")</f>
      </c>
    </row>
    <row r="36" spans="2:10" ht="15.75">
      <c r="B36" s="136"/>
      <c r="C36" s="795" t="s">
        <v>245</v>
      </c>
      <c r="D36" s="796"/>
      <c r="E36" s="67"/>
      <c r="F36" s="733">
        <f>IF(E33/0.95-E33&lt;E36,"Exceeds 5%","")</f>
      </c>
      <c r="G36" s="662">
        <f>SUM(G33:G35)</f>
        <v>0</v>
      </c>
      <c r="H36" s="648" t="str">
        <f>CONCATENATE("Total ",E1," Resources Available")</f>
        <v>Total 2013 Resources Available</v>
      </c>
      <c r="I36" s="663"/>
      <c r="J36" s="661"/>
    </row>
    <row r="37" spans="2:10" ht="15.75">
      <c r="B37" s="527" t="str">
        <f>CONCATENATE(C94,"     ",D94)</f>
        <v>     </v>
      </c>
      <c r="C37" s="797" t="s">
        <v>246</v>
      </c>
      <c r="D37" s="798"/>
      <c r="E37" s="226">
        <f>E33+E36</f>
        <v>0</v>
      </c>
      <c r="G37" s="699"/>
      <c r="H37" s="648"/>
      <c r="I37" s="648"/>
      <c r="J37" s="661"/>
    </row>
    <row r="38" spans="2:10" ht="15.75">
      <c r="B38" s="527" t="str">
        <f>CONCATENATE(C95,"     ",D95)</f>
        <v>     </v>
      </c>
      <c r="C38" s="275"/>
      <c r="D38" s="169" t="s">
        <v>626</v>
      </c>
      <c r="E38" s="82">
        <f>IF(E37-E21&gt;0,E37-E21,0)</f>
        <v>0</v>
      </c>
      <c r="G38" s="664">
        <f>ROUND(C33*0.05+C33,0)</f>
        <v>0</v>
      </c>
      <c r="H38" s="648" t="str">
        <f>CONCATENATE("Less ",E1-2," Expenditures + 5%")</f>
        <v>Less 2011 Expenditures + 5%</v>
      </c>
      <c r="I38" s="663"/>
      <c r="J38" s="661"/>
    </row>
    <row r="39" spans="2:10" ht="15.75">
      <c r="B39" s="169"/>
      <c r="C39" s="383" t="s">
        <v>244</v>
      </c>
      <c r="D39" s="723">
        <f>inputOth!$E$47</f>
        <v>0.025</v>
      </c>
      <c r="E39" s="226">
        <f>ROUND(IF(D39&gt;0,(E38*D39),0),0)</f>
        <v>0</v>
      </c>
      <c r="G39" s="700">
        <f>G36-G38</f>
        <v>0</v>
      </c>
      <c r="H39" s="701" t="str">
        <f>CONCATENATE("Projected ",E1+1," carryover (est.)")</f>
        <v>Projected 2014 carryover (est.)</v>
      </c>
      <c r="I39" s="702"/>
      <c r="J39" s="674"/>
    </row>
    <row r="40" spans="2:10" ht="16.5" thickBot="1">
      <c r="B40" s="47"/>
      <c r="C40" s="799" t="str">
        <f>CONCATENATE("Amount of  ",$E$1-1," Ad Valorem Tax")</f>
        <v>Amount of  2012 Ad Valorem Tax</v>
      </c>
      <c r="D40" s="800"/>
      <c r="E40" s="646">
        <f>E38+E39</f>
        <v>0</v>
      </c>
      <c r="G40" s="2"/>
      <c r="H40" s="2"/>
      <c r="I40" s="2"/>
      <c r="J40" s="2"/>
    </row>
    <row r="41" spans="2:10" ht="16.5" thickTop="1">
      <c r="B41" s="47"/>
      <c r="C41" s="47"/>
      <c r="D41" s="47"/>
      <c r="E41" s="47"/>
      <c r="G41" s="789" t="s">
        <v>439</v>
      </c>
      <c r="H41" s="790"/>
      <c r="I41" s="790"/>
      <c r="J41" s="791"/>
    </row>
    <row r="42" spans="2:10" ht="15.75">
      <c r="B42" s="52"/>
      <c r="C42" s="142"/>
      <c r="D42" s="142"/>
      <c r="E42" s="142"/>
      <c r="G42" s="629"/>
      <c r="H42" s="630"/>
      <c r="I42" s="631"/>
      <c r="J42" s="632"/>
    </row>
    <row r="43" spans="2:10" ht="15.75">
      <c r="B43" s="52" t="s">
        <v>609</v>
      </c>
      <c r="C43" s="709" t="s">
        <v>565</v>
      </c>
      <c r="D43" s="710" t="s">
        <v>566</v>
      </c>
      <c r="E43" s="144" t="s">
        <v>567</v>
      </c>
      <c r="G43" s="633" t="str">
        <f>summ!H26</f>
        <v>  </v>
      </c>
      <c r="H43" s="630" t="str">
        <f>CONCATENATE("",E1," Fund Mill Rate")</f>
        <v>2013 Fund Mill Rate</v>
      </c>
      <c r="I43" s="631"/>
      <c r="J43" s="632"/>
    </row>
    <row r="44" spans="2:10" ht="15.75">
      <c r="B44" s="531">
        <f>inputPrYr!B30</f>
        <v>0</v>
      </c>
      <c r="C44" s="223" t="str">
        <f>CONCATENATE("Actual for ",E1-2,"")</f>
        <v>Actual for 2011</v>
      </c>
      <c r="D44" s="223" t="str">
        <f>CONCATENATE("Estimate for ",E1-1,"")</f>
        <v>Estimate for 2012</v>
      </c>
      <c r="E44" s="208" t="str">
        <f>CONCATENATE("Year for ",E1,"")</f>
        <v>Year for 2013</v>
      </c>
      <c r="G44" s="634" t="str">
        <f>summ!E26</f>
        <v>  </v>
      </c>
      <c r="H44" s="630" t="str">
        <f>CONCATENATE("",E1-1," Fund Mill Rate")</f>
        <v>2012 Fund Mill Rate</v>
      </c>
      <c r="I44" s="631"/>
      <c r="J44" s="632"/>
    </row>
    <row r="45" spans="2:10" ht="15.75">
      <c r="B45" s="250" t="s">
        <v>731</v>
      </c>
      <c r="C45" s="255"/>
      <c r="D45" s="253">
        <f>C74</f>
        <v>0</v>
      </c>
      <c r="E45" s="226">
        <f>D74</f>
        <v>0</v>
      </c>
      <c r="G45" s="635">
        <f>summ!H52</f>
        <v>48.436</v>
      </c>
      <c r="H45" s="630" t="str">
        <f>CONCATENATE("Total ",E1," Mill Rate")</f>
        <v>Total 2013 Mill Rate</v>
      </c>
      <c r="I45" s="631"/>
      <c r="J45" s="632"/>
    </row>
    <row r="46" spans="2:10" ht="15.75">
      <c r="B46" s="254" t="s">
        <v>733</v>
      </c>
      <c r="C46" s="159"/>
      <c r="D46" s="159"/>
      <c r="E46" s="87"/>
      <c r="G46" s="634">
        <f>summ!E52</f>
        <v>48.436</v>
      </c>
      <c r="H46" s="636" t="str">
        <f>CONCATENATE("Total ",E1-1," Mill Rate")</f>
        <v>Total 2012 Mill Rate</v>
      </c>
      <c r="I46" s="637"/>
      <c r="J46" s="638"/>
    </row>
    <row r="47" spans="2:5" ht="15.75">
      <c r="B47" s="150" t="s">
        <v>610</v>
      </c>
      <c r="C47" s="255"/>
      <c r="D47" s="253">
        <f>IF(inputPrYr!H16&gt;0,inputPrYr!G30,inputPrYr!E30)</f>
        <v>0</v>
      </c>
      <c r="E47" s="284" t="s">
        <v>598</v>
      </c>
    </row>
    <row r="48" spans="2:5" ht="15.75">
      <c r="B48" s="150" t="s">
        <v>611</v>
      </c>
      <c r="C48" s="255"/>
      <c r="D48" s="255"/>
      <c r="E48" s="67"/>
    </row>
    <row r="49" spans="2:5" ht="15.75">
      <c r="B49" s="150" t="s">
        <v>612</v>
      </c>
      <c r="C49" s="255"/>
      <c r="D49" s="255"/>
      <c r="E49" s="226" t="str">
        <f>mvalloc!D19</f>
        <v>  </v>
      </c>
    </row>
    <row r="50" spans="2:5" ht="15.75">
      <c r="B50" s="150" t="s">
        <v>613</v>
      </c>
      <c r="C50" s="255"/>
      <c r="D50" s="255"/>
      <c r="E50" s="226" t="str">
        <f>mvalloc!E19</f>
        <v> </v>
      </c>
    </row>
    <row r="51" spans="2:5" ht="15.75">
      <c r="B51" s="159" t="s">
        <v>708</v>
      </c>
      <c r="C51" s="255"/>
      <c r="D51" s="255"/>
      <c r="E51" s="226" t="str">
        <f>mvalloc!F19</f>
        <v> </v>
      </c>
    </row>
    <row r="52" spans="2:5" ht="15.75">
      <c r="B52" s="271"/>
      <c r="C52" s="255"/>
      <c r="D52" s="255"/>
      <c r="E52" s="69"/>
    </row>
    <row r="53" spans="2:5" ht="15.75">
      <c r="B53" s="271"/>
      <c r="C53" s="255"/>
      <c r="D53" s="255"/>
      <c r="E53" s="69"/>
    </row>
    <row r="54" spans="2:5" ht="15.75">
      <c r="B54" s="271"/>
      <c r="C54" s="255"/>
      <c r="D54" s="255"/>
      <c r="E54" s="67"/>
    </row>
    <row r="55" spans="2:5" ht="15.75">
      <c r="B55" s="271"/>
      <c r="C55" s="255"/>
      <c r="D55" s="255"/>
      <c r="E55" s="67"/>
    </row>
    <row r="56" spans="2:5" ht="15.75">
      <c r="B56" s="271"/>
      <c r="C56" s="255"/>
      <c r="D56" s="255"/>
      <c r="E56" s="67"/>
    </row>
    <row r="57" spans="2:5" ht="15.75">
      <c r="B57" s="259" t="s">
        <v>617</v>
      </c>
      <c r="C57" s="255"/>
      <c r="D57" s="255"/>
      <c r="E57" s="67"/>
    </row>
    <row r="58" spans="2:5" ht="15.75">
      <c r="B58" s="159" t="s">
        <v>472</v>
      </c>
      <c r="C58" s="255"/>
      <c r="D58" s="255"/>
      <c r="E58" s="67"/>
    </row>
    <row r="59" spans="2:5" ht="15.75">
      <c r="B59" s="250" t="s">
        <v>373</v>
      </c>
      <c r="C59" s="260">
        <f>IF(C60*0.1&lt;C58,"Exceed 10% Rule","")</f>
      </c>
      <c r="D59" s="260">
        <f>IF(D60*0.1&lt;D58,"Exceed 10% Rule","")</f>
      </c>
      <c r="E59" s="297">
        <f>IF(E60*0.1+E80&lt;E58,"Exceed 10% Rule","")</f>
      </c>
    </row>
    <row r="60" spans="2:5" ht="15.75">
      <c r="B60" s="262" t="s">
        <v>618</v>
      </c>
      <c r="C60" s="264">
        <f>SUM(C47:C58)</f>
        <v>0</v>
      </c>
      <c r="D60" s="264">
        <f>SUM(D47:D58)</f>
        <v>0</v>
      </c>
      <c r="E60" s="265">
        <f>SUM(E47:E58)</f>
        <v>0</v>
      </c>
    </row>
    <row r="61" spans="2:5" ht="15.75">
      <c r="B61" s="262" t="s">
        <v>619</v>
      </c>
      <c r="C61" s="264">
        <f>C45+C60</f>
        <v>0</v>
      </c>
      <c r="D61" s="264">
        <f>D45+D60</f>
        <v>0</v>
      </c>
      <c r="E61" s="265">
        <f>E45+E60</f>
        <v>0</v>
      </c>
    </row>
    <row r="62" spans="2:5" ht="15.75">
      <c r="B62" s="150" t="s">
        <v>621</v>
      </c>
      <c r="C62" s="272"/>
      <c r="D62" s="272"/>
      <c r="E62" s="65"/>
    </row>
    <row r="63" spans="2:5" ht="15.75">
      <c r="B63" s="271"/>
      <c r="C63" s="255"/>
      <c r="D63" s="255"/>
      <c r="E63" s="67"/>
    </row>
    <row r="64" spans="2:10" ht="15.75">
      <c r="B64" s="271"/>
      <c r="C64" s="255"/>
      <c r="D64" s="255"/>
      <c r="E64" s="67"/>
      <c r="G64" s="803" t="str">
        <f>CONCATENATE("Desired Carryover Into ",E1+1,"")</f>
        <v>Desired Carryover Into 2014</v>
      </c>
      <c r="H64" s="801"/>
      <c r="I64" s="801"/>
      <c r="J64" s="802"/>
    </row>
    <row r="65" spans="2:10" ht="15.75">
      <c r="B65" s="271"/>
      <c r="C65" s="255"/>
      <c r="D65" s="255"/>
      <c r="E65" s="67"/>
      <c r="G65" s="647"/>
      <c r="H65" s="76"/>
      <c r="I65" s="648"/>
      <c r="J65" s="649"/>
    </row>
    <row r="66" spans="2:10" ht="15.75">
      <c r="B66" s="271"/>
      <c r="C66" s="255"/>
      <c r="D66" s="255"/>
      <c r="E66" s="67"/>
      <c r="G66" s="650" t="s">
        <v>361</v>
      </c>
      <c r="H66" s="648"/>
      <c r="I66" s="648"/>
      <c r="J66" s="651">
        <v>0</v>
      </c>
    </row>
    <row r="67" spans="2:10" ht="15.75">
      <c r="B67" s="271"/>
      <c r="C67" s="255"/>
      <c r="D67" s="255"/>
      <c r="E67" s="67"/>
      <c r="G67" s="647" t="s">
        <v>362</v>
      </c>
      <c r="H67" s="76"/>
      <c r="I67" s="76"/>
      <c r="J67" s="652">
        <f>IF(J66=0,"",ROUND((J66+E80-G79)/inputOth!E7*1000,3)-G84)</f>
      </c>
    </row>
    <row r="68" spans="2:10" ht="15.75">
      <c r="B68" s="271"/>
      <c r="C68" s="255"/>
      <c r="D68" s="255"/>
      <c r="E68" s="67"/>
      <c r="G68" s="653" t="str">
        <f>CONCATENATE("",E1," Tot Exp/Non-Appr Must Be:")</f>
        <v>2013 Tot Exp/Non-Appr Must Be:</v>
      </c>
      <c r="H68" s="654"/>
      <c r="I68" s="655"/>
      <c r="J68" s="656">
        <f>IF(J66&gt;0,IF(E77&lt;E61,IF(J66=G79,E77,((J66-G79)*(1-D79))+E61),E77+(J66-G79)),0)</f>
        <v>0</v>
      </c>
    </row>
    <row r="69" spans="2:10" ht="15.75">
      <c r="B69" s="271"/>
      <c r="C69" s="255"/>
      <c r="D69" s="255"/>
      <c r="E69" s="67"/>
      <c r="G69" s="657" t="s">
        <v>440</v>
      </c>
      <c r="H69" s="658"/>
      <c r="I69" s="658"/>
      <c r="J69" s="659">
        <f>IF(J66&gt;0,J68-E77,0)</f>
        <v>0</v>
      </c>
    </row>
    <row r="70" spans="2:10" ht="15.75">
      <c r="B70" s="272" t="s">
        <v>471</v>
      </c>
      <c r="C70" s="255"/>
      <c r="D70" s="255"/>
      <c r="E70" s="82">
        <f>nhood!E18</f>
      </c>
      <c r="J70" s="2"/>
    </row>
    <row r="71" spans="2:10" ht="15.75">
      <c r="B71" s="272" t="s">
        <v>472</v>
      </c>
      <c r="C71" s="255"/>
      <c r="D71" s="255"/>
      <c r="E71" s="67"/>
      <c r="G71" s="803" t="str">
        <f>CONCATENATE("Projected Carryover Into ",E1+1,"")</f>
        <v>Projected Carryover Into 2014</v>
      </c>
      <c r="H71" s="804"/>
      <c r="I71" s="804"/>
      <c r="J71" s="805"/>
    </row>
    <row r="72" spans="2:10" ht="15.75">
      <c r="B72" s="272" t="s">
        <v>374</v>
      </c>
      <c r="C72" s="260">
        <f>IF(C73*0.1&lt;C71,"Exceed 10% Rule","")</f>
      </c>
      <c r="D72" s="260">
        <f>IF(D73*0.1&lt;D71,"Exceed 10% Rule","")</f>
      </c>
      <c r="E72" s="297">
        <f>IF(E73*0.1&lt;E71,"Exceed 10% Rule","")</f>
      </c>
      <c r="G72" s="660"/>
      <c r="H72" s="76"/>
      <c r="I72" s="76"/>
      <c r="J72" s="667"/>
    </row>
    <row r="73" spans="2:10" ht="15.75">
      <c r="B73" s="262" t="s">
        <v>625</v>
      </c>
      <c r="C73" s="264">
        <f>SUM(C63:C71)</f>
        <v>0</v>
      </c>
      <c r="D73" s="264">
        <f>SUM(D63:D71)</f>
        <v>0</v>
      </c>
      <c r="E73" s="265">
        <f>SUM(E63:E71)</f>
        <v>0</v>
      </c>
      <c r="G73" s="662">
        <f>D74</f>
        <v>0</v>
      </c>
      <c r="H73" s="630" t="str">
        <f>CONCATENATE("",E1-1," Ending Cash Balance (est.)")</f>
        <v>2012 Ending Cash Balance (est.)</v>
      </c>
      <c r="I73" s="663"/>
      <c r="J73" s="667"/>
    </row>
    <row r="74" spans="2:10" ht="15.75">
      <c r="B74" s="150" t="s">
        <v>732</v>
      </c>
      <c r="C74" s="268">
        <f>C61-C73</f>
        <v>0</v>
      </c>
      <c r="D74" s="268">
        <f>D61-D73</f>
        <v>0</v>
      </c>
      <c r="E74" s="284" t="s">
        <v>598</v>
      </c>
      <c r="G74" s="662">
        <f>E60</f>
        <v>0</v>
      </c>
      <c r="H74" s="648" t="str">
        <f>CONCATENATE("",E1," Non-AV Receipts (est.)")</f>
        <v>2013 Non-AV Receipts (est.)</v>
      </c>
      <c r="I74" s="663"/>
      <c r="J74" s="667"/>
    </row>
    <row r="75" spans="2:11" ht="15.75">
      <c r="B75" s="136" t="str">
        <f>CONCATENATE("",E1-2,"/",E1-1," Budget Authority Amount:")</f>
        <v>2011/2012 Budget Authority Amount:</v>
      </c>
      <c r="C75" s="239">
        <f>inputOth!B72</f>
        <v>0</v>
      </c>
      <c r="D75" s="239">
        <f>inputPrYr!D30</f>
        <v>0</v>
      </c>
      <c r="E75" s="284" t="s">
        <v>598</v>
      </c>
      <c r="F75" s="274"/>
      <c r="G75" s="664">
        <f>IF(D79&gt;0,E78,E80)</f>
        <v>0</v>
      </c>
      <c r="H75" s="648" t="str">
        <f>CONCATENATE("",E1," Ad Valorem Tax (est.)")</f>
        <v>2013 Ad Valorem Tax (est.)</v>
      </c>
      <c r="I75" s="663"/>
      <c r="J75" s="667"/>
      <c r="K75" s="639">
        <f>IF(G75=E80,"","Note: Does not include Delinquent Taxes")</f>
      </c>
    </row>
    <row r="76" spans="2:10" ht="15.75">
      <c r="B76" s="136"/>
      <c r="C76" s="795" t="s">
        <v>245</v>
      </c>
      <c r="D76" s="796"/>
      <c r="E76" s="67"/>
      <c r="F76" s="733">
        <f>IF(E73/0.95-E73&lt;E76,"Exceeds 5%","")</f>
      </c>
      <c r="G76" s="666">
        <f>SUM(G73:G75)</f>
        <v>0</v>
      </c>
      <c r="H76" s="648" t="str">
        <f>CONCATENATE("Total ",E1," Resources Available")</f>
        <v>Total 2013 Resources Available</v>
      </c>
      <c r="I76" s="667"/>
      <c r="J76" s="667"/>
    </row>
    <row r="77" spans="2:10" ht="15.75">
      <c r="B77" s="527" t="str">
        <f>CONCATENATE(C96,"     ",D96)</f>
        <v>     </v>
      </c>
      <c r="C77" s="797" t="s">
        <v>246</v>
      </c>
      <c r="D77" s="798"/>
      <c r="E77" s="226">
        <f>E73+E76</f>
        <v>0</v>
      </c>
      <c r="G77" s="668"/>
      <c r="H77" s="669"/>
      <c r="I77" s="76"/>
      <c r="J77" s="667"/>
    </row>
    <row r="78" spans="2:10" ht="15.75">
      <c r="B78" s="527" t="str">
        <f>CONCATENATE(C97,"     ",D97)</f>
        <v>     </v>
      </c>
      <c r="C78" s="275"/>
      <c r="D78" s="169" t="s">
        <v>626</v>
      </c>
      <c r="E78" s="82">
        <f>IF(E77-E61&gt;0,E77-E61,0)</f>
        <v>0</v>
      </c>
      <c r="G78" s="670">
        <f>ROUND(C73*0.05+C73,0)</f>
        <v>0</v>
      </c>
      <c r="H78" s="669" t="str">
        <f>CONCATENATE("Less ",E1-2," Expenditures + 5%")</f>
        <v>Less 2011 Expenditures + 5%</v>
      </c>
      <c r="I78" s="667"/>
      <c r="J78" s="667"/>
    </row>
    <row r="79" spans="2:10" ht="15.75">
      <c r="B79" s="136"/>
      <c r="C79" s="383" t="s">
        <v>244</v>
      </c>
      <c r="D79" s="723">
        <f>inputOth!$E$47</f>
        <v>0.025</v>
      </c>
      <c r="E79" s="226">
        <f>ROUND(IF(D79&gt;0,(E78*D79),0),0)</f>
        <v>0</v>
      </c>
      <c r="G79" s="671">
        <f>G76-G78</f>
        <v>0</v>
      </c>
      <c r="H79" s="672" t="str">
        <f>CONCATENATE("Projected ",E1+1," carryover (est.)")</f>
        <v>Projected 2014 carryover (est.)</v>
      </c>
      <c r="I79" s="673"/>
      <c r="J79" s="674"/>
    </row>
    <row r="80" spans="2:9" ht="16.5" thickBot="1">
      <c r="B80" s="169"/>
      <c r="C80" s="799" t="str">
        <f>CONCATENATE("Amount of  ",$E$1-1," Ad Valorem Tax")</f>
        <v>Amount of  2012 Ad Valorem Tax</v>
      </c>
      <c r="D80" s="800"/>
      <c r="E80" s="646">
        <f>E78+E79</f>
        <v>0</v>
      </c>
      <c r="G80" s="2"/>
      <c r="H80" s="2"/>
      <c r="I80" s="2"/>
    </row>
    <row r="81" spans="2:10" ht="16.5" thickTop="1">
      <c r="B81" s="47"/>
      <c r="C81" s="47"/>
      <c r="D81" s="47"/>
      <c r="E81" s="47"/>
      <c r="G81" s="789" t="s">
        <v>439</v>
      </c>
      <c r="H81" s="790"/>
      <c r="I81" s="790"/>
      <c r="J81" s="791"/>
    </row>
    <row r="82" spans="2:10" ht="15.75">
      <c r="B82" s="401" t="s">
        <v>628</v>
      </c>
      <c r="C82" s="280"/>
      <c r="D82" s="47"/>
      <c r="E82" s="47"/>
      <c r="G82" s="629"/>
      <c r="H82" s="630"/>
      <c r="I82" s="631"/>
      <c r="J82" s="632"/>
    </row>
    <row r="83" spans="2:10" ht="15.75">
      <c r="B83" s="98"/>
      <c r="G83" s="633" t="str">
        <f>summ!H27</f>
        <v>  </v>
      </c>
      <c r="H83" s="630" t="str">
        <f>CONCATENATE("",E1," Fund Mill Rate")</f>
        <v>2013 Fund Mill Rate</v>
      </c>
      <c r="I83" s="631"/>
      <c r="J83" s="632"/>
    </row>
    <row r="84" spans="7:10" ht="15.75">
      <c r="G84" s="634" t="str">
        <f>summ!E27</f>
        <v>  </v>
      </c>
      <c r="H84" s="630" t="str">
        <f>CONCATENATE("",E1-1," Fund Mill Rate")</f>
        <v>2012 Fund Mill Rate</v>
      </c>
      <c r="I84" s="631"/>
      <c r="J84" s="632"/>
    </row>
    <row r="85" spans="7:10" ht="15.75">
      <c r="G85" s="635">
        <f>summ!H52</f>
        <v>48.436</v>
      </c>
      <c r="H85" s="630" t="str">
        <f>CONCATENATE("Total ",E1," Mill Rate")</f>
        <v>Total 2013 Mill Rate</v>
      </c>
      <c r="I85" s="631"/>
      <c r="J85" s="632"/>
    </row>
    <row r="86" spans="7:10" ht="15.75">
      <c r="G86" s="634">
        <f>summ!E52</f>
        <v>48.436</v>
      </c>
      <c r="H86" s="636" t="str">
        <f>CONCATENATE("Total ",E1-1," Mill Rate")</f>
        <v>Total 2012 Mill Rate</v>
      </c>
      <c r="I86" s="637"/>
      <c r="J86" s="638"/>
    </row>
    <row r="94" spans="3:4" ht="15.75" hidden="1">
      <c r="C94" s="526">
        <f>IF(C33&gt;C35,"See Tab A","")</f>
      </c>
      <c r="D94" s="526">
        <f>IF(D31&gt;D35,"See Tab C","")</f>
      </c>
    </row>
    <row r="95" spans="3:4" ht="15.75" hidden="1">
      <c r="C95" s="526">
        <f>IF(C34&lt;0,"See Tab B","")</f>
      </c>
      <c r="D95" s="526">
        <f>IF(D34&lt;0,"See Tab D","")</f>
      </c>
    </row>
    <row r="96" spans="3:4" ht="15.75" hidden="1">
      <c r="C96" s="526">
        <f>IF(C71&gt;C75,"See Tab A","")</f>
      </c>
      <c r="D96" s="526">
        <f>IF(D71&gt;D75,"See Tab C","")</f>
      </c>
    </row>
    <row r="97" spans="3:4" ht="15.75" hidden="1">
      <c r="C97" s="526">
        <f>IF(C74&lt;0,"See Tab B","")</f>
      </c>
      <c r="D97" s="526">
        <f>IF(D74&lt;0,"See Tab D","")</f>
      </c>
    </row>
  </sheetData>
  <sheetProtection sheet="1"/>
  <mergeCells count="12">
    <mergeCell ref="C36:D36"/>
    <mergeCell ref="C37:D37"/>
    <mergeCell ref="C80:D80"/>
    <mergeCell ref="C40:D40"/>
    <mergeCell ref="C76:D76"/>
    <mergeCell ref="C77:D77"/>
    <mergeCell ref="G71:J71"/>
    <mergeCell ref="G81:J81"/>
    <mergeCell ref="G24:J24"/>
    <mergeCell ref="G31:J31"/>
    <mergeCell ref="G41:J41"/>
    <mergeCell ref="G64:J64"/>
  </mergeCells>
  <conditionalFormatting sqref="E31">
    <cfRule type="cellIs" priority="3" dxfId="311" operator="greaterThan" stopIfTrue="1">
      <formula>$E$33*0.1</formula>
    </cfRule>
  </conditionalFormatting>
  <conditionalFormatting sqref="E36">
    <cfRule type="cellIs" priority="4" dxfId="311" operator="greaterThan" stopIfTrue="1">
      <formula>$E$33/0.95-$E$33</formula>
    </cfRule>
  </conditionalFormatting>
  <conditionalFormatting sqref="E71">
    <cfRule type="cellIs" priority="5" dxfId="311" operator="greaterThan" stopIfTrue="1">
      <formula>$E$73*0.1</formula>
    </cfRule>
  </conditionalFormatting>
  <conditionalFormatting sqref="E76">
    <cfRule type="cellIs" priority="6" dxfId="311"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1" operator="greaterThan" stopIfTrue="1">
      <formula>$E$60*0.1+E80</formula>
    </cfRule>
  </conditionalFormatting>
  <conditionalFormatting sqref="E18">
    <cfRule type="cellIs" priority="21" dxfId="311"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tabColor indexed="62"/>
    <pageSetUpPr fitToPage="1"/>
  </sheetPr>
  <dimension ref="B1:E67"/>
  <sheetViews>
    <sheetView zoomScalePageLayoutView="0" workbookViewId="0" topLeftCell="A10">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(inputPrYr!B34)</f>
        <v>Special Highway</v>
      </c>
      <c r="C5" s="223" t="str">
        <f>CONCATENATE("Actual for ",E1-2,"")</f>
        <v>Actual for 2011</v>
      </c>
      <c r="D5" s="223" t="str">
        <f>CONCATENATE("Estimate for ",E1-1,"")</f>
        <v>Estimate for 2012</v>
      </c>
      <c r="E5" s="208" t="str">
        <f>CONCATENATE("Year for ",E1,"")</f>
        <v>Year for 2013</v>
      </c>
    </row>
    <row r="6" spans="2:5" ht="15.75">
      <c r="B6" s="250" t="s">
        <v>731</v>
      </c>
      <c r="C6" s="67">
        <v>69190</v>
      </c>
      <c r="D6" s="226">
        <f>C31</f>
        <v>28209</v>
      </c>
      <c r="E6" s="226">
        <f>D31</f>
        <v>36669</v>
      </c>
    </row>
    <row r="7" spans="2:5" ht="15.75">
      <c r="B7" s="254" t="s">
        <v>733</v>
      </c>
      <c r="C7" s="87"/>
      <c r="D7" s="87"/>
      <c r="E7" s="87"/>
    </row>
    <row r="8" spans="2:5" ht="15.75">
      <c r="B8" s="272" t="s">
        <v>711</v>
      </c>
      <c r="C8" s="67">
        <v>278219</v>
      </c>
      <c r="D8" s="290">
        <f>inputOth!E52</f>
        <v>279630</v>
      </c>
      <c r="E8" s="226">
        <f>inputOth!E50</f>
        <v>281760</v>
      </c>
    </row>
    <row r="9" spans="2:5" ht="15.75">
      <c r="B9" s="291" t="s">
        <v>792</v>
      </c>
      <c r="C9" s="67">
        <v>126591</v>
      </c>
      <c r="D9" s="290">
        <f>inputOth!E53</f>
        <v>126540</v>
      </c>
      <c r="E9" s="290">
        <f>inputOth!E51</f>
        <v>127030</v>
      </c>
    </row>
    <row r="10" spans="2:5" ht="15.75">
      <c r="B10" s="271" t="s">
        <v>288</v>
      </c>
      <c r="C10" s="67">
        <v>0</v>
      </c>
      <c r="D10" s="67">
        <v>0</v>
      </c>
      <c r="E10" s="67">
        <v>0</v>
      </c>
    </row>
    <row r="11" spans="2:5" ht="15.75">
      <c r="B11" s="271" t="s">
        <v>289</v>
      </c>
      <c r="C11" s="67">
        <v>7691</v>
      </c>
      <c r="D11" s="67">
        <v>0</v>
      </c>
      <c r="E11" s="67">
        <v>0</v>
      </c>
    </row>
    <row r="12" spans="2:5" ht="15.75">
      <c r="B12" s="271" t="s">
        <v>290</v>
      </c>
      <c r="C12" s="67">
        <v>0</v>
      </c>
      <c r="D12" s="67">
        <v>2000</v>
      </c>
      <c r="E12" s="67">
        <v>2000</v>
      </c>
    </row>
    <row r="13" spans="2:5" ht="15.75">
      <c r="B13" s="271" t="s">
        <v>291</v>
      </c>
      <c r="C13" s="67">
        <v>6681</v>
      </c>
      <c r="D13" s="67">
        <v>0</v>
      </c>
      <c r="E13" s="67">
        <v>0</v>
      </c>
    </row>
    <row r="14" spans="2:5" ht="15.75">
      <c r="B14" s="259" t="s">
        <v>617</v>
      </c>
      <c r="C14" s="67">
        <v>722</v>
      </c>
      <c r="D14" s="67">
        <v>750</v>
      </c>
      <c r="E14" s="67">
        <v>780</v>
      </c>
    </row>
    <row r="15" spans="2:5" ht="15.75">
      <c r="B15" s="159" t="s">
        <v>472</v>
      </c>
      <c r="C15" s="67">
        <v>6514</v>
      </c>
      <c r="D15" s="256">
        <v>1000</v>
      </c>
      <c r="E15" s="256">
        <v>1000</v>
      </c>
    </row>
    <row r="16" spans="2:5" ht="15.75">
      <c r="B16" s="250" t="s">
        <v>373</v>
      </c>
      <c r="C16" s="297">
        <f>IF(C17*0.1&lt;C15,"Exceed 10% Rule","")</f>
      </c>
      <c r="D16" s="261">
        <f>IF(D17*0.1&lt;D15,"Exceed 10% Rule","")</f>
      </c>
      <c r="E16" s="261">
        <f>IF(E17*0.1&lt;E15,"Exceed 10% Rule","")</f>
      </c>
    </row>
    <row r="17" spans="2:5" ht="15.75">
      <c r="B17" s="262" t="s">
        <v>618</v>
      </c>
      <c r="C17" s="265">
        <f>SUM(C8:C15)</f>
        <v>426418</v>
      </c>
      <c r="D17" s="265">
        <f>SUM(D8:D15)</f>
        <v>409920</v>
      </c>
      <c r="E17" s="265">
        <f>SUM(E8:E15)</f>
        <v>412570</v>
      </c>
    </row>
    <row r="18" spans="2:5" ht="15.75">
      <c r="B18" s="262" t="s">
        <v>619</v>
      </c>
      <c r="C18" s="265">
        <f>C6+C17</f>
        <v>495608</v>
      </c>
      <c r="D18" s="265">
        <f>D6+D17</f>
        <v>438129</v>
      </c>
      <c r="E18" s="265">
        <f>E6+E17</f>
        <v>449239</v>
      </c>
    </row>
    <row r="19" spans="2:5" ht="15.75">
      <c r="B19" s="150" t="s">
        <v>621</v>
      </c>
      <c r="C19" s="226"/>
      <c r="D19" s="226"/>
      <c r="E19" s="226"/>
    </row>
    <row r="20" spans="2:5" ht="15.75">
      <c r="B20" s="271" t="s">
        <v>791</v>
      </c>
      <c r="C20" s="67">
        <v>112110</v>
      </c>
      <c r="D20" s="67">
        <v>115346</v>
      </c>
      <c r="E20" s="67">
        <v>123722</v>
      </c>
    </row>
    <row r="21" spans="2:5" ht="15.75">
      <c r="B21" s="271" t="s">
        <v>292</v>
      </c>
      <c r="C21" s="67">
        <v>140581</v>
      </c>
      <c r="D21" s="67">
        <v>100000</v>
      </c>
      <c r="E21" s="67">
        <v>113663</v>
      </c>
    </row>
    <row r="22" spans="2:5" ht="15.75">
      <c r="B22" s="271" t="s">
        <v>293</v>
      </c>
      <c r="C22" s="67">
        <v>129790</v>
      </c>
      <c r="D22" s="67">
        <v>112999</v>
      </c>
      <c r="E22" s="67">
        <v>122250</v>
      </c>
    </row>
    <row r="23" spans="2:5" ht="15.75">
      <c r="B23" s="271" t="s">
        <v>294</v>
      </c>
      <c r="C23" s="67">
        <v>0</v>
      </c>
      <c r="D23" s="67">
        <v>20000</v>
      </c>
      <c r="E23" s="67">
        <v>20000</v>
      </c>
    </row>
    <row r="24" spans="2:5" ht="15.75">
      <c r="B24" s="271" t="s">
        <v>295</v>
      </c>
      <c r="C24" s="67">
        <f>55214+2750</f>
        <v>57964</v>
      </c>
      <c r="D24" s="67">
        <f>49665+2750</f>
        <v>52415</v>
      </c>
      <c r="E24" s="67">
        <f>58154+2750</f>
        <v>60904</v>
      </c>
    </row>
    <row r="25" spans="2:5" ht="15.75">
      <c r="B25" s="271" t="s">
        <v>296</v>
      </c>
      <c r="C25" s="67">
        <v>20000</v>
      </c>
      <c r="D25" s="67">
        <v>0</v>
      </c>
      <c r="E25" s="67">
        <v>0</v>
      </c>
    </row>
    <row r="26" spans="2:5" ht="15.75">
      <c r="B26" s="271" t="s">
        <v>286</v>
      </c>
      <c r="C26" s="67">
        <v>1106</v>
      </c>
      <c r="D26" s="67">
        <v>0</v>
      </c>
      <c r="E26" s="67">
        <v>8000</v>
      </c>
    </row>
    <row r="27" spans="2:5" ht="15.75">
      <c r="B27" s="271"/>
      <c r="C27" s="67"/>
      <c r="D27" s="67"/>
      <c r="E27" s="67"/>
    </row>
    <row r="28" spans="2:5" ht="15.75">
      <c r="B28" s="272" t="s">
        <v>472</v>
      </c>
      <c r="C28" s="67">
        <v>5848</v>
      </c>
      <c r="D28" s="256">
        <v>700</v>
      </c>
      <c r="E28" s="256">
        <v>700</v>
      </c>
    </row>
    <row r="29" spans="2:5" ht="15.75">
      <c r="B29" s="272" t="s">
        <v>374</v>
      </c>
      <c r="C29" s="297">
        <f>IF(C30*0.1&lt;C28,"Exceed 10% Rule","")</f>
      </c>
      <c r="D29" s="261">
        <f>IF(D30*0.1&lt;D28,"Exceed 10% Rule","")</f>
      </c>
      <c r="E29" s="261">
        <f>IF(E30*0.1&lt;E28,"Exceed 10% Rule","")</f>
      </c>
    </row>
    <row r="30" spans="2:5" ht="15.75">
      <c r="B30" s="262" t="s">
        <v>625</v>
      </c>
      <c r="C30" s="265">
        <f>SUM(C20:C28)</f>
        <v>467399</v>
      </c>
      <c r="D30" s="265">
        <f>SUM(D20:D28)</f>
        <v>401460</v>
      </c>
      <c r="E30" s="265">
        <f>SUM(E20:E28)</f>
        <v>449239</v>
      </c>
    </row>
    <row r="31" spans="2:5" ht="15.75">
      <c r="B31" s="150" t="s">
        <v>732</v>
      </c>
      <c r="C31" s="82">
        <f>C18-C30</f>
        <v>28209</v>
      </c>
      <c r="D31" s="82">
        <f>D18-D30</f>
        <v>36669</v>
      </c>
      <c r="E31" s="82">
        <f>E18-E30</f>
        <v>0</v>
      </c>
    </row>
    <row r="32" spans="2:5" ht="15.75">
      <c r="B32" s="136" t="str">
        <f>CONCATENATE("",E1-2,"/",E1-1," Budget Authority Amount:")</f>
        <v>2011/2012 Budget Authority Amount:</v>
      </c>
      <c r="C32" s="239">
        <f>inputOth!B73</f>
        <v>471168</v>
      </c>
      <c r="D32" s="239">
        <f>inputPrYr!D34</f>
        <v>441418</v>
      </c>
      <c r="E32" s="377">
        <f>IF(E31&lt;0,"See Tab E","")</f>
      </c>
    </row>
    <row r="33" spans="2:5" ht="15.75">
      <c r="B33" s="136"/>
      <c r="C33" s="275">
        <f>IF(C30&gt;C32,"See Tab A","")</f>
      </c>
      <c r="D33" s="275">
        <f>IF(D30&gt;D32,"See Tab C","")</f>
      </c>
      <c r="E33" s="97"/>
    </row>
    <row r="34" spans="2:5" ht="15.75">
      <c r="B34" s="136"/>
      <c r="C34" s="275">
        <f>IF(C31&lt;0,"See Tab B","")</f>
      </c>
      <c r="D34" s="275">
        <f>IF(D31&lt;0,"See Tab D","")</f>
      </c>
      <c r="E34" s="97"/>
    </row>
    <row r="35" spans="2:5" ht="15.75">
      <c r="B35" s="47"/>
      <c r="C35" s="97"/>
      <c r="D35" s="97"/>
      <c r="E35" s="97"/>
    </row>
    <row r="36" spans="2:5" ht="15.75">
      <c r="B36" s="52" t="s">
        <v>609</v>
      </c>
      <c r="C36" s="292"/>
      <c r="D36" s="292"/>
      <c r="E36" s="292"/>
    </row>
    <row r="37" spans="2:5" ht="15.75">
      <c r="B37" s="47"/>
      <c r="C37" s="709" t="s">
        <v>565</v>
      </c>
      <c r="D37" s="710" t="s">
        <v>566</v>
      </c>
      <c r="E37" s="144" t="s">
        <v>567</v>
      </c>
    </row>
    <row r="38" spans="2:5" ht="15.75">
      <c r="B38" s="531" t="str">
        <f>(inputPrYr!B35)</f>
        <v>Highway Improvement Reserve</v>
      </c>
      <c r="C38" s="223" t="str">
        <f>CONCATENATE("Actual for ",$E$1-2,"")</f>
        <v>Actual for 2011</v>
      </c>
      <c r="D38" s="223" t="str">
        <f>CONCATENATE("Estimate for ",$E$1-1,"")</f>
        <v>Estimate for 2012</v>
      </c>
      <c r="E38" s="208" t="str">
        <f>CONCATENATE("Year for ",$E$1,"")</f>
        <v>Year for 2013</v>
      </c>
    </row>
    <row r="39" spans="2:5" ht="15.75">
      <c r="B39" s="250" t="s">
        <v>731</v>
      </c>
      <c r="C39" s="67">
        <v>68614</v>
      </c>
      <c r="D39" s="226">
        <f>C62</f>
        <v>72551</v>
      </c>
      <c r="E39" s="226">
        <f>D62</f>
        <v>92951</v>
      </c>
    </row>
    <row r="40" spans="2:5" ht="15.75">
      <c r="B40" s="254" t="s">
        <v>733</v>
      </c>
      <c r="C40" s="87"/>
      <c r="D40" s="87"/>
      <c r="E40" s="87"/>
    </row>
    <row r="41" spans="2:5" ht="15.75">
      <c r="B41" s="271" t="s">
        <v>297</v>
      </c>
      <c r="C41" s="67">
        <v>0</v>
      </c>
      <c r="D41" s="67">
        <v>20000</v>
      </c>
      <c r="E41" s="67">
        <v>20000</v>
      </c>
    </row>
    <row r="42" spans="2:5" ht="15.75">
      <c r="B42" s="271" t="s">
        <v>283</v>
      </c>
      <c r="C42" s="67">
        <v>0</v>
      </c>
      <c r="D42" s="67">
        <v>0</v>
      </c>
      <c r="E42" s="67">
        <v>0</v>
      </c>
    </row>
    <row r="43" spans="2:5" ht="15.75">
      <c r="B43" s="271" t="s">
        <v>299</v>
      </c>
      <c r="C43" s="67">
        <v>3609</v>
      </c>
      <c r="D43" s="67">
        <v>0</v>
      </c>
      <c r="E43" s="67">
        <v>0</v>
      </c>
    </row>
    <row r="44" spans="2:5" ht="15.75">
      <c r="B44" s="271"/>
      <c r="C44" s="67"/>
      <c r="D44" s="67"/>
      <c r="E44" s="67"/>
    </row>
    <row r="45" spans="2:5" ht="15.75">
      <c r="B45" s="259" t="s">
        <v>617</v>
      </c>
      <c r="C45" s="67">
        <v>328</v>
      </c>
      <c r="D45" s="67">
        <v>400</v>
      </c>
      <c r="E45" s="67">
        <v>400</v>
      </c>
    </row>
    <row r="46" spans="2:5" ht="15.75">
      <c r="B46" s="159" t="s">
        <v>472</v>
      </c>
      <c r="C46" s="67"/>
      <c r="D46" s="256"/>
      <c r="E46" s="256"/>
    </row>
    <row r="47" spans="2:5" ht="15.75">
      <c r="B47" s="250" t="s">
        <v>373</v>
      </c>
      <c r="C47" s="297">
        <f>IF(C48*0.1&lt;C46,"Exceed 10% Rule","")</f>
      </c>
      <c r="D47" s="261">
        <f>IF(D48*0.1&lt;D46,"Exceed 10% Rule","")</f>
      </c>
      <c r="E47" s="261">
        <f>IF(E48*0.1&lt;E46,"Exceed 10% Rule","")</f>
      </c>
    </row>
    <row r="48" spans="2:5" ht="15.75">
      <c r="B48" s="262" t="s">
        <v>618</v>
      </c>
      <c r="C48" s="265">
        <f>SUM(C41:C46)</f>
        <v>3937</v>
      </c>
      <c r="D48" s="265">
        <f>SUM(D41:D46)</f>
        <v>20400</v>
      </c>
      <c r="E48" s="265">
        <f>SUM(E41:E46)</f>
        <v>20400</v>
      </c>
    </row>
    <row r="49" spans="2:5" ht="15.75">
      <c r="B49" s="262" t="s">
        <v>619</v>
      </c>
      <c r="C49" s="265">
        <f>C39+C48</f>
        <v>72551</v>
      </c>
      <c r="D49" s="265">
        <f>D39+D48</f>
        <v>92951</v>
      </c>
      <c r="E49" s="265">
        <f>E39+E48</f>
        <v>113351</v>
      </c>
    </row>
    <row r="50" spans="2:5" ht="15.75">
      <c r="B50" s="150" t="s">
        <v>621</v>
      </c>
      <c r="C50" s="226"/>
      <c r="D50" s="226"/>
      <c r="E50" s="226"/>
    </row>
    <row r="51" spans="2:5" ht="15.75">
      <c r="B51" s="271" t="s">
        <v>298</v>
      </c>
      <c r="C51" s="67">
        <v>0</v>
      </c>
      <c r="D51" s="67">
        <v>0</v>
      </c>
      <c r="E51" s="67">
        <v>113351</v>
      </c>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1"/>
      <c r="C57" s="67"/>
      <c r="D57" s="67"/>
      <c r="E57" s="67"/>
    </row>
    <row r="58" spans="2:5" ht="15.75">
      <c r="B58" s="271"/>
      <c r="C58" s="67"/>
      <c r="D58" s="67"/>
      <c r="E58" s="67"/>
    </row>
    <row r="59" spans="2:5" ht="15.75">
      <c r="B59" s="272" t="s">
        <v>472</v>
      </c>
      <c r="C59" s="67"/>
      <c r="D59" s="256"/>
      <c r="E59" s="256"/>
    </row>
    <row r="60" spans="2:5" ht="15.75">
      <c r="B60" s="272" t="s">
        <v>374</v>
      </c>
      <c r="C60" s="297">
        <f>IF(C61*0.1&lt;C59,"Exceed 10% Rule","")</f>
      </c>
      <c r="D60" s="261">
        <f>IF(D61*0.1&lt;D59,"Exceed 10% Rule","")</f>
      </c>
      <c r="E60" s="261">
        <f>IF(E61*0.1&lt;E59,"Exceed 10% Rule","")</f>
      </c>
    </row>
    <row r="61" spans="2:5" ht="15.75">
      <c r="B61" s="262" t="s">
        <v>625</v>
      </c>
      <c r="C61" s="265">
        <f>SUM(C51:C59)</f>
        <v>0</v>
      </c>
      <c r="D61" s="265">
        <f>SUM(D51:D59)</f>
        <v>0</v>
      </c>
      <c r="E61" s="265">
        <f>SUM(E51:E59)</f>
        <v>113351</v>
      </c>
    </row>
    <row r="62" spans="2:5" ht="15.75">
      <c r="B62" s="150" t="s">
        <v>732</v>
      </c>
      <c r="C62" s="82">
        <f>C49-C61</f>
        <v>72551</v>
      </c>
      <c r="D62" s="82">
        <f>D49-D61</f>
        <v>92951</v>
      </c>
      <c r="E62" s="82">
        <f>E49-E61</f>
        <v>0</v>
      </c>
    </row>
    <row r="63" spans="2:5" ht="15.75">
      <c r="B63" s="136" t="str">
        <f>CONCATENATE("",E1-2,"/",E1-1," Budget Authority Amount:")</f>
        <v>2011/2012 Budget Authority Amount:</v>
      </c>
      <c r="C63" s="239">
        <f>inputOth!B74</f>
        <v>59117</v>
      </c>
      <c r="D63" s="239">
        <f>inputPrYr!D35</f>
        <v>109414</v>
      </c>
      <c r="E63" s="377">
        <f>IF(E62&lt;0,"See Tab E","")</f>
      </c>
    </row>
    <row r="64" spans="2:5" ht="15.75">
      <c r="B64" s="136"/>
      <c r="C64" s="275">
        <f>IF(C61&gt;C63,"See Tab A","")</f>
      </c>
      <c r="D64" s="275">
        <f>IF(D61&gt;D63,"See Tab C","")</f>
      </c>
      <c r="E64" s="47"/>
    </row>
    <row r="65" spans="2:5" ht="15.75">
      <c r="B65" s="136"/>
      <c r="C65" s="275">
        <f>IF(C62&lt;0,"See Tab B","")</f>
      </c>
      <c r="D65" s="275">
        <f>IF(D62&lt;0,"See Tab D","")</f>
      </c>
      <c r="E65" s="47"/>
    </row>
    <row r="66" spans="2:5" ht="15.75">
      <c r="B66" s="47"/>
      <c r="C66" s="47"/>
      <c r="D66" s="47"/>
      <c r="E66" s="47"/>
    </row>
    <row r="67" spans="2:5" ht="15.75">
      <c r="B67" s="401" t="s">
        <v>628</v>
      </c>
      <c r="C67" s="280">
        <v>11</v>
      </c>
      <c r="D67" s="47"/>
      <c r="E67" s="47"/>
    </row>
  </sheetData>
  <sheetProtection sheet="1"/>
  <conditionalFormatting sqref="C15">
    <cfRule type="cellIs" priority="3" dxfId="311" operator="greaterThan" stopIfTrue="1">
      <formula>$C$17*0.1</formula>
    </cfRule>
  </conditionalFormatting>
  <conditionalFormatting sqref="D15">
    <cfRule type="cellIs" priority="4" dxfId="311" operator="greaterThan" stopIfTrue="1">
      <formula>$D$17*0.1</formula>
    </cfRule>
  </conditionalFormatting>
  <conditionalFormatting sqref="E15">
    <cfRule type="cellIs" priority="5" dxfId="311" operator="greaterThan" stopIfTrue="1">
      <formula>$E$17*0.1</formula>
    </cfRule>
  </conditionalFormatting>
  <conditionalFormatting sqref="C28">
    <cfRule type="cellIs" priority="6" dxfId="311" operator="greaterThan" stopIfTrue="1">
      <formula>$C$30*0.1</formula>
    </cfRule>
  </conditionalFormatting>
  <conditionalFormatting sqref="D28">
    <cfRule type="cellIs" priority="7" dxfId="311" operator="greaterThan" stopIfTrue="1">
      <formula>$D$30*0.1</formula>
    </cfRule>
  </conditionalFormatting>
  <conditionalFormatting sqref="E28">
    <cfRule type="cellIs" priority="8" dxfId="311" operator="greaterThan" stopIfTrue="1">
      <formula>$E$30*0.1</formula>
    </cfRule>
  </conditionalFormatting>
  <conditionalFormatting sqref="C46">
    <cfRule type="cellIs" priority="9" dxfId="311" operator="greaterThan" stopIfTrue="1">
      <formula>$C$48*0.1</formula>
    </cfRule>
  </conditionalFormatting>
  <conditionalFormatting sqref="D46">
    <cfRule type="cellIs" priority="10" dxfId="311" operator="greaterThan" stopIfTrue="1">
      <formula>$D$48*0.1</formula>
    </cfRule>
  </conditionalFormatting>
  <conditionalFormatting sqref="E46">
    <cfRule type="cellIs" priority="11" dxfId="311" operator="greaterThan" stopIfTrue="1">
      <formula>$E$48*0.1</formula>
    </cfRule>
  </conditionalFormatting>
  <conditionalFormatting sqref="C59">
    <cfRule type="cellIs" priority="12" dxfId="311" operator="greaterThan" stopIfTrue="1">
      <formula>$C$61*0.1</formula>
    </cfRule>
  </conditionalFormatting>
  <conditionalFormatting sqref="D59">
    <cfRule type="cellIs" priority="13" dxfId="311" operator="greaterThan" stopIfTrue="1">
      <formula>$D$61*0.1</formula>
    </cfRule>
  </conditionalFormatting>
  <conditionalFormatting sqref="E59">
    <cfRule type="cellIs" priority="14" dxfId="31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tabColor indexed="62"/>
    <pageSetUpPr fitToPage="1"/>
  </sheetPr>
  <dimension ref="B1:E65"/>
  <sheetViews>
    <sheetView zoomScalePageLayoutView="0" workbookViewId="0" topLeftCell="A31">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(inputPrYr!B36)</f>
        <v>Office Equipment Repair/Acq</v>
      </c>
      <c r="C5" s="223" t="str">
        <f>CONCATENATE("Actual for ",E1-2,"")</f>
        <v>Actual for 2011</v>
      </c>
      <c r="D5" s="223" t="str">
        <f>CONCATENATE("Estimate for ",E1-1,"")</f>
        <v>Estimate for 2012</v>
      </c>
      <c r="E5" s="208" t="str">
        <f>CONCATENATE("Year for ",E1,"")</f>
        <v>Year for 2013</v>
      </c>
    </row>
    <row r="6" spans="2:5" ht="15.75">
      <c r="B6" s="250" t="s">
        <v>731</v>
      </c>
      <c r="C6" s="67">
        <v>32312</v>
      </c>
      <c r="D6" s="226">
        <f>C29</f>
        <v>32536</v>
      </c>
      <c r="E6" s="226">
        <f>D29</f>
        <v>30186</v>
      </c>
    </row>
    <row r="7" spans="2:5" ht="15.75">
      <c r="B7" s="254" t="s">
        <v>733</v>
      </c>
      <c r="C7" s="87"/>
      <c r="D7" s="87"/>
      <c r="E7" s="87"/>
    </row>
    <row r="8" spans="2:5" ht="15.75">
      <c r="B8" s="271"/>
      <c r="C8" s="67"/>
      <c r="D8" s="67"/>
      <c r="E8" s="67"/>
    </row>
    <row r="9" spans="2:5" ht="15.75">
      <c r="B9" s="271"/>
      <c r="C9" s="67"/>
      <c r="D9" s="67"/>
      <c r="E9" s="67"/>
    </row>
    <row r="10" spans="2:5" ht="15.75">
      <c r="B10" s="271"/>
      <c r="C10" s="67"/>
      <c r="D10" s="67"/>
      <c r="E10" s="67"/>
    </row>
    <row r="11" spans="2:5" ht="15.75">
      <c r="B11" s="271"/>
      <c r="C11" s="67"/>
      <c r="D11" s="67"/>
      <c r="E11" s="67"/>
    </row>
    <row r="12" spans="2:5" ht="15.75">
      <c r="B12" s="259" t="s">
        <v>617</v>
      </c>
      <c r="C12" s="67">
        <v>224</v>
      </c>
      <c r="D12" s="67">
        <v>150</v>
      </c>
      <c r="E12" s="67">
        <v>155</v>
      </c>
    </row>
    <row r="13" spans="2:5" ht="15.75">
      <c r="B13" s="159" t="s">
        <v>472</v>
      </c>
      <c r="C13" s="67"/>
      <c r="D13" s="256"/>
      <c r="E13" s="256"/>
    </row>
    <row r="14" spans="2:5" ht="15.75">
      <c r="B14" s="250" t="s">
        <v>373</v>
      </c>
      <c r="C14" s="297">
        <f>IF(C15*0.1&lt;C13,"Exceed 10% Rule","")</f>
      </c>
      <c r="D14" s="261">
        <f>IF(D15*0.1&lt;D13,"Exceed 10% Rule","")</f>
      </c>
      <c r="E14" s="261">
        <f>IF(E15*0.1&lt;E13,"Exceed 10% Rule","")</f>
      </c>
    </row>
    <row r="15" spans="2:5" ht="15.75">
      <c r="B15" s="262" t="s">
        <v>618</v>
      </c>
      <c r="C15" s="265">
        <f>SUM(C8:C13)</f>
        <v>224</v>
      </c>
      <c r="D15" s="265">
        <f>SUM(D8:D13)</f>
        <v>150</v>
      </c>
      <c r="E15" s="265">
        <f>SUM(E8:E13)</f>
        <v>155</v>
      </c>
    </row>
    <row r="16" spans="2:5" ht="15.75">
      <c r="B16" s="262" t="s">
        <v>619</v>
      </c>
      <c r="C16" s="265">
        <f>C6+C15</f>
        <v>32536</v>
      </c>
      <c r="D16" s="265">
        <f>D6+D15</f>
        <v>32686</v>
      </c>
      <c r="E16" s="265">
        <f>E6+E15</f>
        <v>30341</v>
      </c>
    </row>
    <row r="17" spans="2:5" ht="15.75">
      <c r="B17" s="150" t="s">
        <v>621</v>
      </c>
      <c r="C17" s="226"/>
      <c r="D17" s="226"/>
      <c r="E17" s="226"/>
    </row>
    <row r="18" spans="2:5" ht="15.75">
      <c r="B18" s="271" t="s">
        <v>300</v>
      </c>
      <c r="C18" s="67">
        <v>0</v>
      </c>
      <c r="D18" s="67">
        <v>2500</v>
      </c>
      <c r="E18" s="67">
        <v>30341</v>
      </c>
    </row>
    <row r="19" spans="2:5" ht="15.75">
      <c r="B19" s="271"/>
      <c r="C19" s="67"/>
      <c r="D19" s="67"/>
      <c r="E19" s="67"/>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374</v>
      </c>
      <c r="C27" s="297">
        <f>IF(C28*0.1&lt;C26,"Exceed 10% Rule","")</f>
      </c>
      <c r="D27" s="261">
        <f>IF(D28*0.1&lt;D26,"Exceed 10% Rule","")</f>
      </c>
      <c r="E27" s="261">
        <f>IF(E28*0.1&lt;E26,"Exceed 10% Rule","")</f>
      </c>
    </row>
    <row r="28" spans="2:5" ht="15.75">
      <c r="B28" s="262" t="s">
        <v>625</v>
      </c>
      <c r="C28" s="265">
        <f>SUM(C18:C26)</f>
        <v>0</v>
      </c>
      <c r="D28" s="265">
        <f>SUM(D18:D26)</f>
        <v>2500</v>
      </c>
      <c r="E28" s="265">
        <f>SUM(E18:E26)</f>
        <v>30341</v>
      </c>
    </row>
    <row r="29" spans="2:5" ht="15.75">
      <c r="B29" s="150" t="s">
        <v>732</v>
      </c>
      <c r="C29" s="82">
        <f>C16-C28</f>
        <v>32536</v>
      </c>
      <c r="D29" s="82">
        <f>D16-D28</f>
        <v>30186</v>
      </c>
      <c r="E29" s="82">
        <f>E16-E28</f>
        <v>0</v>
      </c>
    </row>
    <row r="30" spans="2:5" ht="15.75">
      <c r="B30" s="136" t="str">
        <f>CONCATENATE("",E1-2,"/",E1-1," Budget Authority Amount:")</f>
        <v>2011/2012 Budget Authority Amount:</v>
      </c>
      <c r="C30" s="239">
        <f>inputOth!B75</f>
        <v>30546</v>
      </c>
      <c r="D30" s="239">
        <f>inputPrYr!D36</f>
        <v>30754</v>
      </c>
      <c r="E30" s="377">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609</v>
      </c>
      <c r="C34" s="292"/>
      <c r="D34" s="292"/>
      <c r="E34" s="292"/>
    </row>
    <row r="35" spans="2:5" ht="15.75">
      <c r="B35" s="47"/>
      <c r="C35" s="709" t="s">
        <v>565</v>
      </c>
      <c r="D35" s="710" t="s">
        <v>566</v>
      </c>
      <c r="E35" s="144" t="s">
        <v>567</v>
      </c>
    </row>
    <row r="36" spans="2:5" ht="15.75">
      <c r="B36" s="531" t="str">
        <f>(inputPrYr!B37)</f>
        <v>Special Parks &amp; Recreation</v>
      </c>
      <c r="C36" s="223" t="str">
        <f>CONCATENATE("Actual for ",$E$1-2,"")</f>
        <v>Actual for 2011</v>
      </c>
      <c r="D36" s="223" t="str">
        <f>CONCATENATE("Estimate for ",$E$1-1,"")</f>
        <v>Estimate for 2012</v>
      </c>
      <c r="E36" s="208" t="str">
        <f>CONCATENATE("Year for ",$E$1,"")</f>
        <v>Year for 2013</v>
      </c>
    </row>
    <row r="37" spans="2:5" ht="15.75">
      <c r="B37" s="250" t="s">
        <v>731</v>
      </c>
      <c r="C37" s="67">
        <v>16997</v>
      </c>
      <c r="D37" s="226">
        <f>C60</f>
        <v>12157</v>
      </c>
      <c r="E37" s="226">
        <f>D60</f>
        <v>14167</v>
      </c>
    </row>
    <row r="38" spans="2:5" ht="15.75">
      <c r="B38" s="254" t="s">
        <v>733</v>
      </c>
      <c r="C38" s="87"/>
      <c r="D38" s="87"/>
      <c r="E38" s="87"/>
    </row>
    <row r="39" spans="2:5" ht="15.75">
      <c r="B39" s="271" t="s">
        <v>301</v>
      </c>
      <c r="C39" s="67">
        <v>4953</v>
      </c>
      <c r="D39" s="67">
        <v>4600</v>
      </c>
      <c r="E39" s="67">
        <v>5439</v>
      </c>
    </row>
    <row r="40" spans="2:5" ht="15.75">
      <c r="B40" s="271" t="s">
        <v>302</v>
      </c>
      <c r="C40" s="67">
        <v>0</v>
      </c>
      <c r="D40" s="67">
        <v>100</v>
      </c>
      <c r="E40" s="67">
        <v>100</v>
      </c>
    </row>
    <row r="41" spans="2:5" ht="15.75">
      <c r="B41" s="271"/>
      <c r="C41" s="67"/>
      <c r="D41" s="67"/>
      <c r="E41" s="67"/>
    </row>
    <row r="42" spans="2:5" ht="15.75">
      <c r="B42" s="271"/>
      <c r="C42" s="67"/>
      <c r="D42" s="67"/>
      <c r="E42" s="67"/>
    </row>
    <row r="43" spans="2:5" ht="15.75">
      <c r="B43" s="259" t="s">
        <v>617</v>
      </c>
      <c r="C43" s="67">
        <v>65</v>
      </c>
      <c r="D43" s="67">
        <v>70</v>
      </c>
      <c r="E43" s="67">
        <v>75</v>
      </c>
    </row>
    <row r="44" spans="2:5" ht="15.75">
      <c r="B44" s="159" t="s">
        <v>472</v>
      </c>
      <c r="C44" s="67"/>
      <c r="D44" s="256"/>
      <c r="E44" s="256"/>
    </row>
    <row r="45" spans="2:5" ht="15.75">
      <c r="B45" s="250" t="s">
        <v>373</v>
      </c>
      <c r="C45" s="297">
        <f>IF(C46*0.1&lt;C44,"Exceed 10% Rule","")</f>
      </c>
      <c r="D45" s="261">
        <f>IF(D46*0.1&lt;D44,"Exceed 10% Rule","")</f>
      </c>
      <c r="E45" s="261">
        <f>IF(E46*0.1&lt;E44,"Exceed 10% Rule","")</f>
      </c>
    </row>
    <row r="46" spans="2:5" ht="15.75">
      <c r="B46" s="262" t="s">
        <v>618</v>
      </c>
      <c r="C46" s="265">
        <f>SUM(C39:C44)</f>
        <v>5018</v>
      </c>
      <c r="D46" s="265">
        <f>SUM(D39:D44)</f>
        <v>4770</v>
      </c>
      <c r="E46" s="265">
        <f>SUM(E39:E44)</f>
        <v>5614</v>
      </c>
    </row>
    <row r="47" spans="2:5" ht="15.75">
      <c r="B47" s="262" t="s">
        <v>619</v>
      </c>
      <c r="C47" s="265">
        <f>C37+C46</f>
        <v>22015</v>
      </c>
      <c r="D47" s="265">
        <f>D37+D46</f>
        <v>16927</v>
      </c>
      <c r="E47" s="265">
        <f>E37+E46</f>
        <v>19781</v>
      </c>
    </row>
    <row r="48" spans="2:5" ht="15.75">
      <c r="B48" s="150" t="s">
        <v>621</v>
      </c>
      <c r="C48" s="226"/>
      <c r="D48" s="226"/>
      <c r="E48" s="226"/>
    </row>
    <row r="49" spans="2:5" ht="15.75">
      <c r="B49" s="271" t="s">
        <v>303</v>
      </c>
      <c r="C49" s="67">
        <v>9374</v>
      </c>
      <c r="D49" s="67">
        <v>2300</v>
      </c>
      <c r="E49" s="67">
        <v>4350</v>
      </c>
    </row>
    <row r="50" spans="2:5" ht="15.75">
      <c r="B50" s="271" t="s">
        <v>304</v>
      </c>
      <c r="C50" s="67">
        <v>484</v>
      </c>
      <c r="D50" s="67">
        <v>460</v>
      </c>
      <c r="E50" s="67">
        <v>544</v>
      </c>
    </row>
    <row r="51" spans="2:5" ht="15.75">
      <c r="B51" s="271" t="s">
        <v>286</v>
      </c>
      <c r="C51" s="67">
        <v>0</v>
      </c>
      <c r="D51" s="67">
        <v>0</v>
      </c>
      <c r="E51" s="67">
        <v>14887</v>
      </c>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472</v>
      </c>
      <c r="C57" s="67"/>
      <c r="D57" s="256"/>
      <c r="E57" s="256"/>
    </row>
    <row r="58" spans="2:5" ht="15.75">
      <c r="B58" s="272" t="s">
        <v>374</v>
      </c>
      <c r="C58" s="297">
        <f>IF(C59*0.1&lt;C57,"Exceed 10% Rule","")</f>
      </c>
      <c r="D58" s="261">
        <f>IF(D59*0.1&lt;D57,"Exceed 10% Rule","")</f>
      </c>
      <c r="E58" s="261">
        <f>IF(E59*0.1&lt;E57,"Exceed 10% Rule","")</f>
      </c>
    </row>
    <row r="59" spans="2:5" ht="15.75">
      <c r="B59" s="262" t="s">
        <v>625</v>
      </c>
      <c r="C59" s="265">
        <f>SUM(C49:C57)</f>
        <v>9858</v>
      </c>
      <c r="D59" s="265">
        <f>SUM(D49:D57)</f>
        <v>2760</v>
      </c>
      <c r="E59" s="265">
        <f>SUM(E49:E57)</f>
        <v>19781</v>
      </c>
    </row>
    <row r="60" spans="2:5" ht="15.75">
      <c r="B60" s="150" t="s">
        <v>732</v>
      </c>
      <c r="C60" s="82">
        <f>C47-C59</f>
        <v>12157</v>
      </c>
      <c r="D60" s="82">
        <f>D47-D59</f>
        <v>14167</v>
      </c>
      <c r="E60" s="82">
        <f>E47-E59</f>
        <v>0</v>
      </c>
    </row>
    <row r="61" spans="2:5" ht="15.75">
      <c r="B61" s="136" t="str">
        <f>CONCATENATE("",E1-2,"/",E1-1," Budget Authority Amount:")</f>
        <v>2011/2012 Budget Authority Amount:</v>
      </c>
      <c r="C61" s="239">
        <f>inputOth!B76</f>
        <v>21131</v>
      </c>
      <c r="D61" s="239">
        <f>inputPrYr!D37</f>
        <v>17580</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v>12</v>
      </c>
      <c r="D65" s="47"/>
      <c r="E65" s="47"/>
    </row>
  </sheetData>
  <sheetProtection sheet="1"/>
  <conditionalFormatting sqref="C13">
    <cfRule type="cellIs" priority="3" dxfId="311" operator="greaterThan" stopIfTrue="1">
      <formula>$C$15*0.1</formula>
    </cfRule>
  </conditionalFormatting>
  <conditionalFormatting sqref="D13">
    <cfRule type="cellIs" priority="4" dxfId="311" operator="greaterThan" stopIfTrue="1">
      <formula>$D$15*0.1</formula>
    </cfRule>
  </conditionalFormatting>
  <conditionalFormatting sqref="E13">
    <cfRule type="cellIs" priority="5" dxfId="311" operator="greaterThan" stopIfTrue="1">
      <formula>$E$15*0.1</formula>
    </cfRule>
  </conditionalFormatting>
  <conditionalFormatting sqref="C26">
    <cfRule type="cellIs" priority="6" dxfId="311" operator="greaterThan" stopIfTrue="1">
      <formula>$C$28*0.1</formula>
    </cfRule>
  </conditionalFormatting>
  <conditionalFormatting sqref="D26">
    <cfRule type="cellIs" priority="7" dxfId="311" operator="greaterThan" stopIfTrue="1">
      <formula>$D$28*0.1</formula>
    </cfRule>
  </conditionalFormatting>
  <conditionalFormatting sqref="E26">
    <cfRule type="cellIs" priority="8" dxfId="311" operator="greaterThan" stopIfTrue="1">
      <formula>$E$28*0.1</formula>
    </cfRule>
  </conditionalFormatting>
  <conditionalFormatting sqref="C44">
    <cfRule type="cellIs" priority="9" dxfId="311" operator="greaterThan" stopIfTrue="1">
      <formula>$C$46*0.1</formula>
    </cfRule>
  </conditionalFormatting>
  <conditionalFormatting sqref="D44">
    <cfRule type="cellIs" priority="10" dxfId="311" operator="greaterThan" stopIfTrue="1">
      <formula>$D$46*0.1</formula>
    </cfRule>
  </conditionalFormatting>
  <conditionalFormatting sqref="E44">
    <cfRule type="cellIs" priority="11" dxfId="311" operator="greaterThan" stopIfTrue="1">
      <formula>$E$46*0.1</formula>
    </cfRule>
  </conditionalFormatting>
  <conditionalFormatting sqref="C57">
    <cfRule type="cellIs" priority="12" dxfId="311" operator="greaterThan" stopIfTrue="1">
      <formula>$C$59*0.1</formula>
    </cfRule>
  </conditionalFormatting>
  <conditionalFormatting sqref="D57">
    <cfRule type="cellIs" priority="13" dxfId="311" operator="greaterThan" stopIfTrue="1">
      <formula>$D$59*0.1</formula>
    </cfRule>
  </conditionalFormatting>
  <conditionalFormatting sqref="E57">
    <cfRule type="cellIs" priority="14" dxfId="31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tabColor indexed="62"/>
    <pageSetUpPr fitToPage="1"/>
  </sheetPr>
  <dimension ref="B1:E65"/>
  <sheetViews>
    <sheetView zoomScalePageLayoutView="0" workbookViewId="0" topLeftCell="A31">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(inputPrYr!B38)</f>
        <v>Special Alcohol</v>
      </c>
      <c r="C5" s="223" t="str">
        <f>CONCATENATE("Actual for ",E1-2,"")</f>
        <v>Actual for 2011</v>
      </c>
      <c r="D5" s="223" t="str">
        <f>CONCATENATE("Estimate for ",E1-1,"")</f>
        <v>Estimate for 2012</v>
      </c>
      <c r="E5" s="208" t="str">
        <f>CONCATENATE("Year for ",E1,"")</f>
        <v>Year for 2013</v>
      </c>
    </row>
    <row r="6" spans="2:5" ht="15.75">
      <c r="B6" s="250" t="s">
        <v>731</v>
      </c>
      <c r="C6" s="67">
        <v>51722</v>
      </c>
      <c r="D6" s="226">
        <f>C29</f>
        <v>48067</v>
      </c>
      <c r="E6" s="226">
        <f>D29</f>
        <v>47917</v>
      </c>
    </row>
    <row r="7" spans="2:5" ht="15.75">
      <c r="B7" s="254" t="s">
        <v>733</v>
      </c>
      <c r="C7" s="87"/>
      <c r="D7" s="87"/>
      <c r="E7" s="87"/>
    </row>
    <row r="8" spans="2:5" ht="15.75">
      <c r="B8" s="271" t="s">
        <v>301</v>
      </c>
      <c r="C8" s="67">
        <v>4953</v>
      </c>
      <c r="D8" s="67">
        <v>4600</v>
      </c>
      <c r="E8" s="67">
        <v>5439</v>
      </c>
    </row>
    <row r="9" spans="2:5" ht="15.75">
      <c r="B9" s="271"/>
      <c r="C9" s="67"/>
      <c r="D9" s="67"/>
      <c r="E9" s="67"/>
    </row>
    <row r="10" spans="2:5" ht="15.75">
      <c r="B10" s="271"/>
      <c r="C10" s="67"/>
      <c r="D10" s="67"/>
      <c r="E10" s="67"/>
    </row>
    <row r="11" spans="2:5" ht="15.75">
      <c r="B11" s="271"/>
      <c r="C11" s="67"/>
      <c r="D11" s="67"/>
      <c r="E11" s="67"/>
    </row>
    <row r="12" spans="2:5" ht="15.75">
      <c r="B12" s="259" t="s">
        <v>617</v>
      </c>
      <c r="C12" s="67">
        <v>233</v>
      </c>
      <c r="D12" s="67">
        <v>250</v>
      </c>
      <c r="E12" s="67">
        <v>260</v>
      </c>
    </row>
    <row r="13" spans="2:5" ht="15.75">
      <c r="B13" s="159" t="s">
        <v>472</v>
      </c>
      <c r="C13" s="67"/>
      <c r="D13" s="256"/>
      <c r="E13" s="256"/>
    </row>
    <row r="14" spans="2:5" ht="15.75">
      <c r="B14" s="250" t="s">
        <v>373</v>
      </c>
      <c r="C14" s="297">
        <f>IF(C15*0.1&lt;C13,"Exceed 10% Rule","")</f>
      </c>
      <c r="D14" s="261">
        <f>IF(D15*0.1&lt;D13,"Exceed 10% Rule","")</f>
      </c>
      <c r="E14" s="261">
        <f>IF(E15*0.1&lt;E13,"Exceed 10% Rule","")</f>
      </c>
    </row>
    <row r="15" spans="2:5" ht="15.75">
      <c r="B15" s="262" t="s">
        <v>618</v>
      </c>
      <c r="C15" s="265">
        <f>SUM(C8:C13)</f>
        <v>5186</v>
      </c>
      <c r="D15" s="265">
        <f>SUM(D8:D13)</f>
        <v>4850</v>
      </c>
      <c r="E15" s="265">
        <f>SUM(E8:E13)</f>
        <v>5699</v>
      </c>
    </row>
    <row r="16" spans="2:5" ht="15.75">
      <c r="B16" s="262" t="s">
        <v>619</v>
      </c>
      <c r="C16" s="265">
        <f>C6+C15</f>
        <v>56908</v>
      </c>
      <c r="D16" s="265">
        <f>D6+D15</f>
        <v>52917</v>
      </c>
      <c r="E16" s="265">
        <f>E6+E15</f>
        <v>53616</v>
      </c>
    </row>
    <row r="17" spans="2:5" ht="15.75">
      <c r="B17" s="150" t="s">
        <v>621</v>
      </c>
      <c r="C17" s="226"/>
      <c r="D17" s="226"/>
      <c r="E17" s="226"/>
    </row>
    <row r="18" spans="2:5" ht="15.75">
      <c r="B18" s="271" t="s">
        <v>305</v>
      </c>
      <c r="C18" s="67">
        <v>8841</v>
      </c>
      <c r="D18" s="67">
        <v>5000</v>
      </c>
      <c r="E18" s="67">
        <v>53616</v>
      </c>
    </row>
    <row r="19" spans="2:5" ht="15.75">
      <c r="B19" s="271"/>
      <c r="C19" s="67"/>
      <c r="D19" s="67"/>
      <c r="E19" s="67"/>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374</v>
      </c>
      <c r="C27" s="297">
        <f>IF(C28*0.1&lt;C26,"Exceed 10% Rule","")</f>
      </c>
      <c r="D27" s="261">
        <f>IF(D28*0.1&lt;D26,"Exceed 10% Rule","")</f>
      </c>
      <c r="E27" s="261">
        <f>IF(E28*0.1&lt;E26,"Exceed 10% Rule","")</f>
      </c>
    </row>
    <row r="28" spans="2:5" ht="15.75">
      <c r="B28" s="262" t="s">
        <v>625</v>
      </c>
      <c r="C28" s="265">
        <f>SUM(C18:C26)</f>
        <v>8841</v>
      </c>
      <c r="D28" s="265">
        <f>SUM(D18:D26)</f>
        <v>5000</v>
      </c>
      <c r="E28" s="265">
        <f>SUM(E18:E26)</f>
        <v>53616</v>
      </c>
    </row>
    <row r="29" spans="2:5" ht="15.75">
      <c r="B29" s="150" t="s">
        <v>732</v>
      </c>
      <c r="C29" s="82">
        <f>C16-C28</f>
        <v>48067</v>
      </c>
      <c r="D29" s="82">
        <f>D16-D28</f>
        <v>47917</v>
      </c>
      <c r="E29" s="82">
        <f>E16-E28</f>
        <v>0</v>
      </c>
    </row>
    <row r="30" spans="2:5" ht="15.75">
      <c r="B30" s="136" t="str">
        <f>CONCATENATE("",E1-2,"/",E1-1," Budget Authority Amount:")</f>
        <v>2011/2012 Budget Authority Amount:</v>
      </c>
      <c r="C30" s="239">
        <f>inputOth!B77</f>
        <v>56642</v>
      </c>
      <c r="D30" s="239">
        <f>inputPrYr!D38</f>
        <v>57535</v>
      </c>
      <c r="E30" s="377">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609</v>
      </c>
      <c r="C34" s="292"/>
      <c r="D34" s="292"/>
      <c r="E34" s="292"/>
    </row>
    <row r="35" spans="2:5" ht="15.75">
      <c r="B35" s="47"/>
      <c r="C35" s="709" t="s">
        <v>565</v>
      </c>
      <c r="D35" s="710" t="s">
        <v>566</v>
      </c>
      <c r="E35" s="144" t="s">
        <v>567</v>
      </c>
    </row>
    <row r="36" spans="2:5" ht="15.75">
      <c r="B36" s="531" t="str">
        <f>(inputPrYr!B39)</f>
        <v>Stormwater</v>
      </c>
      <c r="C36" s="223" t="str">
        <f>CONCATENATE("Actual for ",$E$1-2,"")</f>
        <v>Actual for 2011</v>
      </c>
      <c r="D36" s="223" t="str">
        <f>CONCATENATE("Estimate for ",$E$1-1,"")</f>
        <v>Estimate for 2012</v>
      </c>
      <c r="E36" s="208" t="str">
        <f>CONCATENATE("Year for ",$E$1,"")</f>
        <v>Year for 2013</v>
      </c>
    </row>
    <row r="37" spans="2:5" ht="15.75">
      <c r="B37" s="250" t="s">
        <v>731</v>
      </c>
      <c r="C37" s="67">
        <v>21290</v>
      </c>
      <c r="D37" s="226">
        <f>C60</f>
        <v>31109</v>
      </c>
      <c r="E37" s="226">
        <f>D60</f>
        <v>45725</v>
      </c>
    </row>
    <row r="38" spans="2:5" ht="15.75">
      <c r="B38" s="254" t="s">
        <v>733</v>
      </c>
      <c r="C38" s="87"/>
      <c r="D38" s="87"/>
      <c r="E38" s="87"/>
    </row>
    <row r="39" spans="2:5" ht="15.75">
      <c r="B39" s="271" t="s">
        <v>306</v>
      </c>
      <c r="C39" s="67">
        <v>142007</v>
      </c>
      <c r="D39" s="67">
        <v>142000</v>
      </c>
      <c r="E39" s="67">
        <v>143000</v>
      </c>
    </row>
    <row r="40" spans="2:5" ht="15.75">
      <c r="B40" s="271" t="s">
        <v>283</v>
      </c>
      <c r="C40" s="67">
        <v>921</v>
      </c>
      <c r="D40" s="67">
        <v>0</v>
      </c>
      <c r="E40" s="67">
        <v>0</v>
      </c>
    </row>
    <row r="41" spans="2:5" ht="15.75">
      <c r="B41" s="271"/>
      <c r="C41" s="67"/>
      <c r="D41" s="67"/>
      <c r="E41" s="67"/>
    </row>
    <row r="42" spans="2:5" ht="15.75">
      <c r="B42" s="271"/>
      <c r="C42" s="67"/>
      <c r="D42" s="67"/>
      <c r="E42" s="67"/>
    </row>
    <row r="43" spans="2:5" ht="15.75">
      <c r="B43" s="259" t="s">
        <v>617</v>
      </c>
      <c r="C43" s="67">
        <v>201</v>
      </c>
      <c r="D43" s="67">
        <v>0</v>
      </c>
      <c r="E43" s="67">
        <v>0</v>
      </c>
    </row>
    <row r="44" spans="2:5" ht="15.75">
      <c r="B44" s="159" t="s">
        <v>472</v>
      </c>
      <c r="C44" s="67"/>
      <c r="D44" s="256"/>
      <c r="E44" s="256"/>
    </row>
    <row r="45" spans="2:5" ht="15.75">
      <c r="B45" s="250" t="s">
        <v>373</v>
      </c>
      <c r="C45" s="297">
        <f>IF(C46*0.1&lt;C44,"Exceed 10% Rule","")</f>
      </c>
      <c r="D45" s="261">
        <f>IF(D46*0.1&lt;D44,"Exceed 10% Rule","")</f>
      </c>
      <c r="E45" s="261">
        <f>IF(E46*0.1&lt;E44,"Exceed 10% Rule","")</f>
      </c>
    </row>
    <row r="46" spans="2:5" ht="15.75">
      <c r="B46" s="262" t="s">
        <v>618</v>
      </c>
      <c r="C46" s="265">
        <f>SUM(C39:C44)</f>
        <v>143129</v>
      </c>
      <c r="D46" s="265">
        <f>SUM(D39:D44)</f>
        <v>142000</v>
      </c>
      <c r="E46" s="265">
        <f>SUM(E39:E44)</f>
        <v>143000</v>
      </c>
    </row>
    <row r="47" spans="2:5" ht="15.75">
      <c r="B47" s="262" t="s">
        <v>619</v>
      </c>
      <c r="C47" s="265">
        <f>C37+C46</f>
        <v>164419</v>
      </c>
      <c r="D47" s="265">
        <f>D37+D46</f>
        <v>173109</v>
      </c>
      <c r="E47" s="265">
        <f>E37+E46</f>
        <v>188725</v>
      </c>
    </row>
    <row r="48" spans="2:5" ht="15.75">
      <c r="B48" s="150" t="s">
        <v>621</v>
      </c>
      <c r="C48" s="226"/>
      <c r="D48" s="226"/>
      <c r="E48" s="226"/>
    </row>
    <row r="49" spans="2:5" ht="15.75">
      <c r="B49" s="271" t="s">
        <v>791</v>
      </c>
      <c r="C49" s="67">
        <v>34012</v>
      </c>
      <c r="D49" s="67">
        <v>32249</v>
      </c>
      <c r="E49" s="67">
        <v>30005</v>
      </c>
    </row>
    <row r="50" spans="2:5" ht="15.75">
      <c r="B50" s="271" t="s">
        <v>307</v>
      </c>
      <c r="C50" s="67">
        <v>7861</v>
      </c>
      <c r="D50" s="67">
        <v>7640</v>
      </c>
      <c r="E50" s="67">
        <v>7880</v>
      </c>
    </row>
    <row r="51" spans="2:5" ht="15.75">
      <c r="B51" s="271" t="s">
        <v>286</v>
      </c>
      <c r="C51" s="67">
        <v>4334</v>
      </c>
      <c r="D51" s="67">
        <v>12000</v>
      </c>
      <c r="E51" s="67">
        <v>77604</v>
      </c>
    </row>
    <row r="52" spans="2:5" ht="15.75">
      <c r="B52" s="271" t="s">
        <v>308</v>
      </c>
      <c r="C52" s="67">
        <v>66466</v>
      </c>
      <c r="D52" s="67">
        <v>66466</v>
      </c>
      <c r="E52" s="67">
        <v>65235</v>
      </c>
    </row>
    <row r="53" spans="2:5" ht="15.75">
      <c r="B53" s="271" t="s">
        <v>296</v>
      </c>
      <c r="C53" s="67">
        <v>8000</v>
      </c>
      <c r="D53" s="67">
        <v>5000</v>
      </c>
      <c r="E53" s="67">
        <v>5000</v>
      </c>
    </row>
    <row r="54" spans="2:5" ht="15.75">
      <c r="B54" s="271"/>
      <c r="C54" s="67"/>
      <c r="D54" s="67"/>
      <c r="E54" s="67"/>
    </row>
    <row r="55" spans="2:5" ht="15.75">
      <c r="B55" s="271"/>
      <c r="C55" s="67"/>
      <c r="D55" s="67"/>
      <c r="E55" s="67"/>
    </row>
    <row r="56" spans="2:5" ht="15.75">
      <c r="B56" s="271"/>
      <c r="C56" s="67"/>
      <c r="D56" s="67"/>
      <c r="E56" s="67"/>
    </row>
    <row r="57" spans="2:5" ht="15.75">
      <c r="B57" s="272" t="s">
        <v>472</v>
      </c>
      <c r="C57" s="67">
        <f>16971-C51</f>
        <v>12637</v>
      </c>
      <c r="D57" s="256">
        <v>4029</v>
      </c>
      <c r="E57" s="256">
        <v>3001</v>
      </c>
    </row>
    <row r="58" spans="2:5" ht="15.75">
      <c r="B58" s="293" t="s">
        <v>374</v>
      </c>
      <c r="C58" s="297">
        <f>IF(C59*0.1&lt;C57,"Exceed 10% Rule","")</f>
      </c>
      <c r="D58" s="261">
        <f>IF(D59*0.1&lt;D57,"Exceed 10% Rule","")</f>
      </c>
      <c r="E58" s="261">
        <f>IF(E59*0.1&lt;E57,"Exceed 10% Rule","")</f>
      </c>
    </row>
    <row r="59" spans="2:5" ht="15.75">
      <c r="B59" s="262" t="s">
        <v>625</v>
      </c>
      <c r="C59" s="265">
        <f>SUM(C49:C57)</f>
        <v>133310</v>
      </c>
      <c r="D59" s="265">
        <f>SUM(D49:D57)</f>
        <v>127384</v>
      </c>
      <c r="E59" s="265">
        <f>SUM(E49:E57)</f>
        <v>188725</v>
      </c>
    </row>
    <row r="60" spans="2:5" ht="15.75">
      <c r="B60" s="150" t="s">
        <v>732</v>
      </c>
      <c r="C60" s="82">
        <f>C47-C59</f>
        <v>31109</v>
      </c>
      <c r="D60" s="82">
        <f>D47-D59</f>
        <v>45725</v>
      </c>
      <c r="E60" s="82">
        <f>E47-E59</f>
        <v>0</v>
      </c>
    </row>
    <row r="61" spans="2:5" ht="15.75">
      <c r="B61" s="136" t="str">
        <f>CONCATENATE("",E1-2,"/",E1-1," Budget Authority Amount:")</f>
        <v>2011/2012 Budget Authority Amount:</v>
      </c>
      <c r="C61" s="239">
        <f>inputOth!B78</f>
        <v>148256</v>
      </c>
      <c r="D61" s="239">
        <f>inputPrYr!D39</f>
        <v>155085</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v>13</v>
      </c>
      <c r="D65" s="47"/>
      <c r="E65" s="47"/>
    </row>
  </sheetData>
  <sheetProtection sheet="1"/>
  <conditionalFormatting sqref="C13">
    <cfRule type="cellIs" priority="3" dxfId="311" operator="greaterThan" stopIfTrue="1">
      <formula>$C$15*0.1</formula>
    </cfRule>
  </conditionalFormatting>
  <conditionalFormatting sqref="D13">
    <cfRule type="cellIs" priority="4" dxfId="311" operator="greaterThan" stopIfTrue="1">
      <formula>$D$15*0.1</formula>
    </cfRule>
  </conditionalFormatting>
  <conditionalFormatting sqref="E13">
    <cfRule type="cellIs" priority="5" dxfId="311" operator="greaterThan" stopIfTrue="1">
      <formula>$E$15*0.1</formula>
    </cfRule>
  </conditionalFormatting>
  <conditionalFormatting sqref="C26">
    <cfRule type="cellIs" priority="6" dxfId="311" operator="greaterThan" stopIfTrue="1">
      <formula>$C$28*0.1</formula>
    </cfRule>
  </conditionalFormatting>
  <conditionalFormatting sqref="D26">
    <cfRule type="cellIs" priority="7" dxfId="311" operator="greaterThan" stopIfTrue="1">
      <formula>$D$28*0.1</formula>
    </cfRule>
  </conditionalFormatting>
  <conditionalFormatting sqref="E26">
    <cfRule type="cellIs" priority="8" dxfId="311" operator="greaterThan" stopIfTrue="1">
      <formula>$E$28*0.1</formula>
    </cfRule>
  </conditionalFormatting>
  <conditionalFormatting sqref="C44">
    <cfRule type="cellIs" priority="9" dxfId="311" operator="greaterThan" stopIfTrue="1">
      <formula>$C$46*0.1</formula>
    </cfRule>
  </conditionalFormatting>
  <conditionalFormatting sqref="D44">
    <cfRule type="cellIs" priority="10" dxfId="311" operator="greaterThan" stopIfTrue="1">
      <formula>$D$46*0.1</formula>
    </cfRule>
  </conditionalFormatting>
  <conditionalFormatting sqref="E44">
    <cfRule type="cellIs" priority="11" dxfId="311" operator="greaterThan" stopIfTrue="1">
      <formula>$E$46*0.1</formula>
    </cfRule>
  </conditionalFormatting>
  <conditionalFormatting sqref="C57">
    <cfRule type="cellIs" priority="12" dxfId="311" operator="greaterThan" stopIfTrue="1">
      <formula>$C$59*0.1</formula>
    </cfRule>
  </conditionalFormatting>
  <conditionalFormatting sqref="D57">
    <cfRule type="cellIs" priority="13" dxfId="311" operator="greaterThan" stopIfTrue="1">
      <formula>$D$59*0.1</formula>
    </cfRule>
  </conditionalFormatting>
  <conditionalFormatting sqref="E57">
    <cfRule type="cellIs" priority="14" dxfId="31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tabColor indexed="62"/>
    <pageSetUpPr fitToPage="1"/>
  </sheetPr>
  <dimension ref="B1:E65"/>
  <sheetViews>
    <sheetView zoomScalePageLayoutView="0" workbookViewId="0" topLeftCell="A27">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inputPrYr!B40</f>
        <v>Wastewater Debt Service Res.</v>
      </c>
      <c r="C5" s="223" t="str">
        <f>CONCATENATE("Actual for ",E1-2,"")</f>
        <v>Actual for 2011</v>
      </c>
      <c r="D5" s="223" t="str">
        <f>CONCATENATE("Estimate for ",E1-1,"")</f>
        <v>Estimate for 2012</v>
      </c>
      <c r="E5" s="208" t="str">
        <f>CONCATENATE("Year for ",E1,"")</f>
        <v>Year for 2013</v>
      </c>
    </row>
    <row r="6" spans="2:5" ht="15.75">
      <c r="B6" s="250" t="s">
        <v>731</v>
      </c>
      <c r="C6" s="67">
        <v>110013</v>
      </c>
      <c r="D6" s="226">
        <f>C29</f>
        <v>110613</v>
      </c>
      <c r="E6" s="226">
        <f>D29</f>
        <v>105342</v>
      </c>
    </row>
    <row r="7" spans="2:5" ht="15.75">
      <c r="B7" s="254" t="s">
        <v>733</v>
      </c>
      <c r="C7" s="87"/>
      <c r="D7" s="87"/>
      <c r="E7" s="87"/>
    </row>
    <row r="8" spans="2:5" ht="15.75">
      <c r="B8" s="271" t="s">
        <v>309</v>
      </c>
      <c r="C8" s="67">
        <v>0</v>
      </c>
      <c r="D8" s="67">
        <v>0</v>
      </c>
      <c r="E8" s="67">
        <v>0</v>
      </c>
    </row>
    <row r="9" spans="2:5" ht="15.75">
      <c r="B9" s="271" t="s">
        <v>310</v>
      </c>
      <c r="C9" s="67">
        <v>464165</v>
      </c>
      <c r="D9" s="67">
        <v>459750</v>
      </c>
      <c r="E9" s="67">
        <v>458905</v>
      </c>
    </row>
    <row r="10" spans="2:5" ht="15.75">
      <c r="B10" s="271"/>
      <c r="C10" s="67"/>
      <c r="D10" s="67"/>
      <c r="E10" s="67"/>
    </row>
    <row r="11" spans="2:5" ht="15.75">
      <c r="B11" s="271"/>
      <c r="C11" s="67"/>
      <c r="D11" s="67"/>
      <c r="E11" s="67"/>
    </row>
    <row r="12" spans="2:5" ht="15.75">
      <c r="B12" s="259" t="s">
        <v>617</v>
      </c>
      <c r="C12" s="67"/>
      <c r="D12" s="67"/>
      <c r="E12" s="67"/>
    </row>
    <row r="13" spans="2:5" ht="15.75">
      <c r="B13" s="159" t="s">
        <v>472</v>
      </c>
      <c r="C13" s="67"/>
      <c r="D13" s="256"/>
      <c r="E13" s="256"/>
    </row>
    <row r="14" spans="2:5" ht="15.75">
      <c r="B14" s="250" t="s">
        <v>373</v>
      </c>
      <c r="C14" s="297">
        <f>IF(C15*0.1&lt;C13,"Exceed 10% Rule","")</f>
      </c>
      <c r="D14" s="261">
        <f>IF(D15*0.1&lt;D13,"Exceed 10% Rule","")</f>
      </c>
      <c r="E14" s="261">
        <f>IF(E15*0.1&lt;E13,"Exceed 10% Rule","")</f>
      </c>
    </row>
    <row r="15" spans="2:5" ht="15.75">
      <c r="B15" s="262" t="s">
        <v>618</v>
      </c>
      <c r="C15" s="265">
        <f>SUM(C8:C13)</f>
        <v>464165</v>
      </c>
      <c r="D15" s="265">
        <f>SUM(D8:D13)</f>
        <v>459750</v>
      </c>
      <c r="E15" s="265">
        <f>SUM(E8:E13)</f>
        <v>458905</v>
      </c>
    </row>
    <row r="16" spans="2:5" ht="15.75">
      <c r="B16" s="262" t="s">
        <v>619</v>
      </c>
      <c r="C16" s="265">
        <f>C6+C15</f>
        <v>574178</v>
      </c>
      <c r="D16" s="265">
        <f>D6+D15</f>
        <v>570363</v>
      </c>
      <c r="E16" s="265">
        <f>E6+E15</f>
        <v>564247</v>
      </c>
    </row>
    <row r="17" spans="2:5" ht="15.75">
      <c r="B17" s="150" t="s">
        <v>621</v>
      </c>
      <c r="C17" s="226"/>
      <c r="D17" s="226"/>
      <c r="E17" s="226"/>
    </row>
    <row r="18" spans="2:5" ht="15.75">
      <c r="B18" s="271" t="s">
        <v>311</v>
      </c>
      <c r="C18" s="67">
        <v>377972</v>
      </c>
      <c r="D18" s="67">
        <v>391397</v>
      </c>
      <c r="E18" s="67">
        <v>399036</v>
      </c>
    </row>
    <row r="19" spans="2:5" ht="15.75">
      <c r="B19" s="271" t="s">
        <v>312</v>
      </c>
      <c r="C19" s="67">
        <v>85593</v>
      </c>
      <c r="D19" s="67">
        <v>73624</v>
      </c>
      <c r="E19" s="67">
        <v>60846</v>
      </c>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374</v>
      </c>
      <c r="C27" s="297">
        <f>IF(C28*0.1&lt;C26,"Exceed 10% Rule","")</f>
      </c>
      <c r="D27" s="261">
        <f>IF(D28*0.1&lt;D26,"Exceed 10% Rule","")</f>
      </c>
      <c r="E27" s="261">
        <f>IF(E28*0.1&lt;E26,"Exceed 10% Rule","")</f>
      </c>
    </row>
    <row r="28" spans="2:5" ht="15.75">
      <c r="B28" s="262" t="s">
        <v>625</v>
      </c>
      <c r="C28" s="265">
        <f>SUM(C18:C26)</f>
        <v>463565</v>
      </c>
      <c r="D28" s="265">
        <f>SUM(D18:D26)</f>
        <v>465021</v>
      </c>
      <c r="E28" s="265">
        <f>SUM(E18:E26)</f>
        <v>459882</v>
      </c>
    </row>
    <row r="29" spans="2:5" ht="15.75">
      <c r="B29" s="150" t="s">
        <v>732</v>
      </c>
      <c r="C29" s="82">
        <f>C16-C28</f>
        <v>110613</v>
      </c>
      <c r="D29" s="82">
        <f>D16-D28</f>
        <v>105342</v>
      </c>
      <c r="E29" s="82">
        <f>E16-E28</f>
        <v>104365</v>
      </c>
    </row>
    <row r="30" spans="2:5" ht="15.75">
      <c r="B30" s="136" t="str">
        <f>CONCATENATE("",E1-2,"/",E1-1," Budget Authority Amount:")</f>
        <v>2011/2012 Budget Authority Amount:</v>
      </c>
      <c r="C30" s="239">
        <f>inputOth!B79</f>
        <v>463565</v>
      </c>
      <c r="D30" s="239">
        <f>inputPrYr!D40</f>
        <v>465021</v>
      </c>
      <c r="E30" s="377">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609</v>
      </c>
      <c r="C34" s="292"/>
      <c r="D34" s="292"/>
      <c r="E34" s="292"/>
    </row>
    <row r="35" spans="2:5" ht="15.75">
      <c r="B35" s="47"/>
      <c r="C35" s="709" t="s">
        <v>565</v>
      </c>
      <c r="D35" s="710" t="s">
        <v>566</v>
      </c>
      <c r="E35" s="144" t="s">
        <v>567</v>
      </c>
    </row>
    <row r="36" spans="2:5" ht="15.75">
      <c r="B36" s="531" t="str">
        <f>inputPrYr!B41</f>
        <v>Sp. Park Improvement Res.</v>
      </c>
      <c r="C36" s="223" t="str">
        <f>CONCATENATE("Actual for ",$E$1-2,"")</f>
        <v>Actual for 2011</v>
      </c>
      <c r="D36" s="223" t="str">
        <f>CONCATENATE("Estimate for ",$E$1-1,"")</f>
        <v>Estimate for 2012</v>
      </c>
      <c r="E36" s="208" t="str">
        <f>CONCATENATE("Year for ",$E$1,"")</f>
        <v>Year for 2013</v>
      </c>
    </row>
    <row r="37" spans="2:5" ht="15.75">
      <c r="B37" s="250" t="s">
        <v>731</v>
      </c>
      <c r="C37" s="67">
        <v>16683</v>
      </c>
      <c r="D37" s="226">
        <f>C60</f>
        <v>33378</v>
      </c>
      <c r="E37" s="226">
        <f>D60</f>
        <v>43318</v>
      </c>
    </row>
    <row r="38" spans="2:5" ht="15.75">
      <c r="B38" s="254" t="s">
        <v>733</v>
      </c>
      <c r="C38" s="87"/>
      <c r="D38" s="87"/>
      <c r="E38" s="87"/>
    </row>
    <row r="39" spans="2:5" ht="15.75">
      <c r="B39" s="271" t="s">
        <v>313</v>
      </c>
      <c r="C39" s="67">
        <v>45133</v>
      </c>
      <c r="D39" s="67">
        <v>46000</v>
      </c>
      <c r="E39" s="67">
        <v>61500</v>
      </c>
    </row>
    <row r="40" spans="2:5" ht="15.75">
      <c r="B40" s="271"/>
      <c r="C40" s="67"/>
      <c r="D40" s="67"/>
      <c r="E40" s="67"/>
    </row>
    <row r="41" spans="2:5" ht="15.75">
      <c r="B41" s="271"/>
      <c r="C41" s="67"/>
      <c r="D41" s="67"/>
      <c r="E41" s="67"/>
    </row>
    <row r="42" spans="2:5" ht="15.75">
      <c r="B42" s="271"/>
      <c r="C42" s="67"/>
      <c r="D42" s="67"/>
      <c r="E42" s="67"/>
    </row>
    <row r="43" spans="2:5" ht="15.75">
      <c r="B43" s="259" t="s">
        <v>617</v>
      </c>
      <c r="C43" s="67">
        <v>152</v>
      </c>
      <c r="D43" s="67">
        <v>150</v>
      </c>
      <c r="E43" s="67">
        <v>155</v>
      </c>
    </row>
    <row r="44" spans="2:5" ht="15.75">
      <c r="B44" s="159" t="s">
        <v>472</v>
      </c>
      <c r="C44" s="67">
        <v>2387</v>
      </c>
      <c r="D44" s="256">
        <v>0</v>
      </c>
      <c r="E44" s="256">
        <v>0</v>
      </c>
    </row>
    <row r="45" spans="2:5" ht="15.75">
      <c r="B45" s="250" t="s">
        <v>373</v>
      </c>
      <c r="C45" s="297">
        <f>IF(C46*0.1&lt;C44,"Exceed 10% Rule","")</f>
      </c>
      <c r="D45" s="261">
        <f>IF(D46*0.1&lt;D44,"Exceed 10% Rule","")</f>
      </c>
      <c r="E45" s="261">
        <f>IF(E46*0.1&lt;E44,"Exceed 10% Rule","")</f>
      </c>
    </row>
    <row r="46" spans="2:5" ht="15.75">
      <c r="B46" s="262" t="s">
        <v>618</v>
      </c>
      <c r="C46" s="265">
        <f>SUM(C39:C44)</f>
        <v>47672</v>
      </c>
      <c r="D46" s="265">
        <f>SUM(D39:D44)</f>
        <v>46150</v>
      </c>
      <c r="E46" s="265">
        <f>SUM(E39:E44)</f>
        <v>61655</v>
      </c>
    </row>
    <row r="47" spans="2:5" ht="15.75">
      <c r="B47" s="262" t="s">
        <v>619</v>
      </c>
      <c r="C47" s="265">
        <f>C37+C46</f>
        <v>64355</v>
      </c>
      <c r="D47" s="265">
        <f>D37+D46</f>
        <v>79528</v>
      </c>
      <c r="E47" s="265">
        <f>E37+E46</f>
        <v>104973</v>
      </c>
    </row>
    <row r="48" spans="2:5" ht="15.75">
      <c r="B48" s="150" t="s">
        <v>621</v>
      </c>
      <c r="C48" s="226"/>
      <c r="D48" s="226"/>
      <c r="E48" s="226"/>
    </row>
    <row r="49" spans="2:5" ht="15.75">
      <c r="B49" s="271" t="s">
        <v>314</v>
      </c>
      <c r="C49" s="67">
        <v>30977</v>
      </c>
      <c r="D49" s="67">
        <v>36210</v>
      </c>
      <c r="E49" s="67">
        <v>104973</v>
      </c>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472</v>
      </c>
      <c r="C57" s="67"/>
      <c r="D57" s="256"/>
      <c r="E57" s="256"/>
    </row>
    <row r="58" spans="2:5" ht="15.75">
      <c r="B58" s="272" t="s">
        <v>374</v>
      </c>
      <c r="C58" s="297">
        <f>IF(C59*0.1&lt;C57,"Exceed 10% Rule","")</f>
      </c>
      <c r="D58" s="261">
        <f>IF(D59*0.1&lt;D57,"Exceed 10% Rule","")</f>
      </c>
      <c r="E58" s="261">
        <f>IF(E59*0.1&lt;E57,"Exceed 10% Rule","")</f>
      </c>
    </row>
    <row r="59" spans="2:5" ht="15.75">
      <c r="B59" s="262" t="s">
        <v>625</v>
      </c>
      <c r="C59" s="265">
        <f>SUM(C49:C57)</f>
        <v>30977</v>
      </c>
      <c r="D59" s="265">
        <f>SUM(D49:D57)</f>
        <v>36210</v>
      </c>
      <c r="E59" s="265">
        <f>SUM(E49:E57)</f>
        <v>104973</v>
      </c>
    </row>
    <row r="60" spans="2:5" ht="15.75">
      <c r="B60" s="150" t="s">
        <v>732</v>
      </c>
      <c r="C60" s="82">
        <f>C47-C59</f>
        <v>33378</v>
      </c>
      <c r="D60" s="82">
        <f>D47-D59</f>
        <v>43318</v>
      </c>
      <c r="E60" s="82">
        <f>E47-E59</f>
        <v>0</v>
      </c>
    </row>
    <row r="61" spans="2:5" ht="15.75">
      <c r="B61" s="136" t="str">
        <f>CONCATENATE("",E1-2,"/",E1-1," Budget Authority Amount:")</f>
        <v>2011/2012 Budget Authority Amount:</v>
      </c>
      <c r="C61" s="239">
        <f>inputOth!B80</f>
        <v>61827</v>
      </c>
      <c r="D61" s="239">
        <f>inputPrYr!D41</f>
        <v>105337</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v>14</v>
      </c>
      <c r="D65" s="47"/>
      <c r="E65" s="47"/>
    </row>
  </sheetData>
  <sheetProtection sheet="1"/>
  <conditionalFormatting sqref="C13">
    <cfRule type="cellIs" priority="3" dxfId="311" operator="greaterThan" stopIfTrue="1">
      <formula>$C$15*0.1</formula>
    </cfRule>
  </conditionalFormatting>
  <conditionalFormatting sqref="D13">
    <cfRule type="cellIs" priority="4" dxfId="311" operator="greaterThan" stopIfTrue="1">
      <formula>$D$15*0.1</formula>
    </cfRule>
  </conditionalFormatting>
  <conditionalFormatting sqref="E13">
    <cfRule type="cellIs" priority="5" dxfId="311" operator="greaterThan" stopIfTrue="1">
      <formula>$E$15*0.1</formula>
    </cfRule>
  </conditionalFormatting>
  <conditionalFormatting sqref="C26">
    <cfRule type="cellIs" priority="6" dxfId="311" operator="greaterThan" stopIfTrue="1">
      <formula>$C$28*0.1</formula>
    </cfRule>
  </conditionalFormatting>
  <conditionalFormatting sqref="D26">
    <cfRule type="cellIs" priority="7" dxfId="311" operator="greaterThan" stopIfTrue="1">
      <formula>$D$28*0.1</formula>
    </cfRule>
  </conditionalFormatting>
  <conditionalFormatting sqref="E26">
    <cfRule type="cellIs" priority="8" dxfId="311" operator="greaterThan" stopIfTrue="1">
      <formula>$E$28*0.1</formula>
    </cfRule>
  </conditionalFormatting>
  <conditionalFormatting sqref="C44">
    <cfRule type="cellIs" priority="9" dxfId="311" operator="greaterThan" stopIfTrue="1">
      <formula>$C$46*0.1</formula>
    </cfRule>
  </conditionalFormatting>
  <conditionalFormatting sqref="D44">
    <cfRule type="cellIs" priority="10" dxfId="311" operator="greaterThan" stopIfTrue="1">
      <formula>$D$46*0.1</formula>
    </cfRule>
  </conditionalFormatting>
  <conditionalFormatting sqref="E44">
    <cfRule type="cellIs" priority="11" dxfId="311" operator="greaterThan" stopIfTrue="1">
      <formula>$E$46*0.1</formula>
    </cfRule>
  </conditionalFormatting>
  <conditionalFormatting sqref="C57">
    <cfRule type="cellIs" priority="12" dxfId="311" operator="greaterThan" stopIfTrue="1">
      <formula>$C$59*0.1</formula>
    </cfRule>
  </conditionalFormatting>
  <conditionalFormatting sqref="D57">
    <cfRule type="cellIs" priority="13" dxfId="311" operator="greaterThan" stopIfTrue="1">
      <formula>$D$59*0.1</formula>
    </cfRule>
  </conditionalFormatting>
  <conditionalFormatting sqref="E57">
    <cfRule type="cellIs" priority="14" dxfId="31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tabColor indexed="62"/>
    <pageSetUpPr fitToPage="1"/>
  </sheetPr>
  <dimension ref="B1:E65"/>
  <sheetViews>
    <sheetView zoomScalePageLayoutView="0" workbookViewId="0" topLeftCell="A46">
      <selection activeCell="D18" sqref="D18"/>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inputPrYr!B42</f>
        <v>Water/Wastewater Surplus</v>
      </c>
      <c r="C5" s="223" t="str">
        <f>CONCATENATE("Actual for ",E1-2,"")</f>
        <v>Actual for 2011</v>
      </c>
      <c r="D5" s="223" t="str">
        <f>CONCATENATE("Estimate for ",E1-1,"")</f>
        <v>Estimate for 2012</v>
      </c>
      <c r="E5" s="208" t="str">
        <f>CONCATENATE("Year for ",E1,"")</f>
        <v>Year for 2013</v>
      </c>
    </row>
    <row r="6" spans="2:5" ht="15.75">
      <c r="B6" s="250" t="s">
        <v>731</v>
      </c>
      <c r="C6" s="67">
        <v>66052</v>
      </c>
      <c r="D6" s="226">
        <f>C29</f>
        <v>66052</v>
      </c>
      <c r="E6" s="226">
        <f>D29</f>
        <v>66052</v>
      </c>
    </row>
    <row r="7" spans="2:5" ht="15.75">
      <c r="B7" s="254" t="s">
        <v>733</v>
      </c>
      <c r="C7" s="87"/>
      <c r="D7" s="87"/>
      <c r="E7" s="87"/>
    </row>
    <row r="8" spans="2:5" ht="15.75">
      <c r="B8" s="271" t="s">
        <v>310</v>
      </c>
      <c r="C8" s="67">
        <v>0</v>
      </c>
      <c r="D8" s="67">
        <v>0</v>
      </c>
      <c r="E8" s="67">
        <v>154089</v>
      </c>
    </row>
    <row r="9" spans="2:5" ht="15.75">
      <c r="B9" s="271"/>
      <c r="C9" s="67"/>
      <c r="D9" s="67"/>
      <c r="E9" s="67"/>
    </row>
    <row r="10" spans="2:5" ht="15.75">
      <c r="B10" s="271"/>
      <c r="C10" s="67"/>
      <c r="D10" s="67"/>
      <c r="E10" s="67"/>
    </row>
    <row r="11" spans="2:5" ht="15.75">
      <c r="B11" s="271"/>
      <c r="C11" s="67"/>
      <c r="D11" s="67"/>
      <c r="E11" s="67"/>
    </row>
    <row r="12" spans="2:5" ht="15.75">
      <c r="B12" s="259" t="s">
        <v>617</v>
      </c>
      <c r="C12" s="67"/>
      <c r="D12" s="67"/>
      <c r="E12" s="67"/>
    </row>
    <row r="13" spans="2:5" ht="15.75">
      <c r="B13" s="159" t="s">
        <v>472</v>
      </c>
      <c r="C13" s="210"/>
      <c r="D13" s="210"/>
      <c r="E13" s="210"/>
    </row>
    <row r="14" spans="2:5" ht="15.75">
      <c r="B14" s="250" t="s">
        <v>373</v>
      </c>
      <c r="C14" s="297">
        <f>IF(C15*0.1&lt;C13,"Exceed 10% Rule","")</f>
      </c>
      <c r="D14" s="261">
        <f>IF(D15*0.1&lt;D13,"Exceed 10% Rule","")</f>
      </c>
      <c r="E14" s="261">
        <f>IF(E15*0.1&lt;E13,"Exceed 10% Rule","")</f>
      </c>
    </row>
    <row r="15" spans="2:5" ht="15.75">
      <c r="B15" s="262" t="s">
        <v>618</v>
      </c>
      <c r="C15" s="265">
        <f>SUM(C8:C13)</f>
        <v>0</v>
      </c>
      <c r="D15" s="265">
        <f>SUM(D8:D13)</f>
        <v>0</v>
      </c>
      <c r="E15" s="265">
        <f>SUM(E8:E13)</f>
        <v>154089</v>
      </c>
    </row>
    <row r="16" spans="2:5" ht="15.75">
      <c r="B16" s="262" t="s">
        <v>619</v>
      </c>
      <c r="C16" s="265">
        <f>C6+C15</f>
        <v>66052</v>
      </c>
      <c r="D16" s="265">
        <f>D6+D15</f>
        <v>66052</v>
      </c>
      <c r="E16" s="265">
        <f>E6+E15</f>
        <v>220141</v>
      </c>
    </row>
    <row r="17" spans="2:5" ht="15.75">
      <c r="B17" s="150" t="s">
        <v>621</v>
      </c>
      <c r="C17" s="226"/>
      <c r="D17" s="226"/>
      <c r="E17" s="226"/>
    </row>
    <row r="18" spans="2:5" ht="15.75">
      <c r="B18" s="271" t="s">
        <v>315</v>
      </c>
      <c r="C18" s="67">
        <v>0</v>
      </c>
      <c r="D18" s="67">
        <v>0</v>
      </c>
      <c r="E18" s="67">
        <v>0</v>
      </c>
    </row>
    <row r="19" spans="2:5" ht="15.75">
      <c r="B19" s="271" t="s">
        <v>316</v>
      </c>
      <c r="C19" s="67">
        <v>0</v>
      </c>
      <c r="D19" s="67">
        <v>0</v>
      </c>
      <c r="E19" s="67">
        <v>220141</v>
      </c>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374</v>
      </c>
      <c r="C27" s="297">
        <f>IF(C28*0.1&lt;C26,"Exceed 10% Rule","")</f>
      </c>
      <c r="D27" s="261">
        <f>IF(D28*0.1&lt;D26,"Exceed 10% Rule","")</f>
      </c>
      <c r="E27" s="261">
        <f>IF(E28*0.1&lt;E26,"Exceed 10% Rule","")</f>
      </c>
    </row>
    <row r="28" spans="2:5" ht="15.75">
      <c r="B28" s="262" t="s">
        <v>625</v>
      </c>
      <c r="C28" s="265">
        <f>SUM(C18:C26)</f>
        <v>0</v>
      </c>
      <c r="D28" s="265">
        <f>SUM(D18:D26)</f>
        <v>0</v>
      </c>
      <c r="E28" s="265">
        <f>SUM(E18:E26)</f>
        <v>220141</v>
      </c>
    </row>
    <row r="29" spans="2:5" ht="15.75">
      <c r="B29" s="150" t="s">
        <v>732</v>
      </c>
      <c r="C29" s="82">
        <f>C16-C28</f>
        <v>66052</v>
      </c>
      <c r="D29" s="82">
        <f>D16-D28</f>
        <v>66052</v>
      </c>
      <c r="E29" s="82">
        <f>E16-E28</f>
        <v>0</v>
      </c>
    </row>
    <row r="30" spans="2:5" ht="15.75">
      <c r="B30" s="136" t="str">
        <f>CONCATENATE("",E1-2,"/",E1-1," Budget Authority Amount:")</f>
        <v>2011/2012 Budget Authority Amount:</v>
      </c>
      <c r="C30" s="239">
        <f>inputOth!B81</f>
        <v>145045</v>
      </c>
      <c r="D30" s="239">
        <f>inputPrYr!D42</f>
        <v>97563</v>
      </c>
      <c r="E30" s="377">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609</v>
      </c>
      <c r="C34" s="292"/>
      <c r="D34" s="292"/>
      <c r="E34" s="292"/>
    </row>
    <row r="35" spans="2:5" ht="15.75">
      <c r="B35" s="47"/>
      <c r="C35" s="709" t="s">
        <v>565</v>
      </c>
      <c r="D35" s="710" t="s">
        <v>566</v>
      </c>
      <c r="E35" s="144" t="s">
        <v>567</v>
      </c>
    </row>
    <row r="36" spans="2:5" ht="15.75">
      <c r="B36" s="531" t="str">
        <f>inputPrYr!B43</f>
        <v>Equipment Reserve</v>
      </c>
      <c r="C36" s="223" t="str">
        <f>CONCATENATE("Actual for ",$E$1-2,"")</f>
        <v>Actual for 2011</v>
      </c>
      <c r="D36" s="223" t="str">
        <f>CONCATENATE("Estimate for ",$E$1-1,"")</f>
        <v>Estimate for 2012</v>
      </c>
      <c r="E36" s="208" t="str">
        <f>CONCATENATE("Year for ",$E$1,"")</f>
        <v>Year for 2013</v>
      </c>
    </row>
    <row r="37" spans="2:5" ht="15.75">
      <c r="B37" s="250" t="s">
        <v>731</v>
      </c>
      <c r="C37" s="67">
        <v>272955</v>
      </c>
      <c r="D37" s="226">
        <f>C60</f>
        <v>385067</v>
      </c>
      <c r="E37" s="226">
        <f>D60</f>
        <v>348352</v>
      </c>
    </row>
    <row r="38" spans="2:5" ht="15.75">
      <c r="B38" s="254" t="s">
        <v>733</v>
      </c>
      <c r="C38" s="87"/>
      <c r="D38" s="87"/>
      <c r="E38" s="87"/>
    </row>
    <row r="39" spans="2:5" ht="15.75">
      <c r="B39" s="271" t="s">
        <v>317</v>
      </c>
      <c r="C39" s="67">
        <v>15000</v>
      </c>
      <c r="D39" s="67">
        <v>15000</v>
      </c>
      <c r="E39" s="67">
        <v>15000</v>
      </c>
    </row>
    <row r="40" spans="2:5" ht="15.75">
      <c r="B40" s="271" t="s">
        <v>318</v>
      </c>
      <c r="C40" s="67">
        <v>60000</v>
      </c>
      <c r="D40" s="67">
        <v>45000</v>
      </c>
      <c r="E40" s="67">
        <v>45000</v>
      </c>
    </row>
    <row r="41" spans="2:5" ht="15.75">
      <c r="B41" s="271" t="s">
        <v>319</v>
      </c>
      <c r="C41" s="67">
        <v>8000</v>
      </c>
      <c r="D41" s="67">
        <v>5000</v>
      </c>
      <c r="E41" s="67">
        <v>5000</v>
      </c>
    </row>
    <row r="42" spans="2:5" ht="15.75">
      <c r="B42" s="271" t="s">
        <v>297</v>
      </c>
      <c r="C42" s="67">
        <v>20000</v>
      </c>
      <c r="D42" s="67">
        <v>0</v>
      </c>
      <c r="E42" s="67">
        <v>0</v>
      </c>
    </row>
    <row r="43" spans="2:5" ht="15.75">
      <c r="B43" s="271" t="s">
        <v>320</v>
      </c>
      <c r="C43" s="67">
        <v>7000</v>
      </c>
      <c r="D43" s="67">
        <v>7000</v>
      </c>
      <c r="E43" s="67">
        <v>7000</v>
      </c>
    </row>
    <row r="44" spans="2:5" ht="15.75">
      <c r="B44" s="259" t="s">
        <v>617</v>
      </c>
      <c r="C44" s="67">
        <v>1266</v>
      </c>
      <c r="D44" s="67">
        <v>1285</v>
      </c>
      <c r="E44" s="67">
        <v>1150</v>
      </c>
    </row>
    <row r="45" spans="2:5" ht="15.75">
      <c r="B45" s="159" t="s">
        <v>472</v>
      </c>
      <c r="C45" s="67">
        <v>8805</v>
      </c>
      <c r="D45" s="256">
        <v>0</v>
      </c>
      <c r="E45" s="256">
        <v>0</v>
      </c>
    </row>
    <row r="46" spans="2:5" ht="15.75">
      <c r="B46" s="250" t="s">
        <v>373</v>
      </c>
      <c r="C46" s="297">
        <f>IF(C47*0.1&lt;C45,"Exceed 10% Rule","")</f>
      </c>
      <c r="D46" s="261">
        <f>IF(D47*0.1&lt;D45,"Exceed 10% Rule","")</f>
      </c>
      <c r="E46" s="261">
        <f>IF(E47*0.1&lt;E45,"Exceed 10% Rule","")</f>
      </c>
    </row>
    <row r="47" spans="2:5" ht="15.75">
      <c r="B47" s="262" t="s">
        <v>618</v>
      </c>
      <c r="C47" s="265">
        <f>SUM(C39:C45)</f>
        <v>120071</v>
      </c>
      <c r="D47" s="265">
        <f>SUM(D39:D45)</f>
        <v>73285</v>
      </c>
      <c r="E47" s="265">
        <f>SUM(E39:E45)</f>
        <v>73150</v>
      </c>
    </row>
    <row r="48" spans="2:5" ht="15.75">
      <c r="B48" s="262" t="s">
        <v>619</v>
      </c>
      <c r="C48" s="265">
        <f>C37+C47</f>
        <v>393026</v>
      </c>
      <c r="D48" s="265">
        <f>D37+D47</f>
        <v>458352</v>
      </c>
      <c r="E48" s="265">
        <f>E37+E47</f>
        <v>421502</v>
      </c>
    </row>
    <row r="49" spans="2:5" ht="15.75">
      <c r="B49" s="150" t="s">
        <v>621</v>
      </c>
      <c r="C49" s="226"/>
      <c r="D49" s="226"/>
      <c r="E49" s="226"/>
    </row>
    <row r="50" spans="2:5" ht="15.75">
      <c r="B50" s="271" t="s">
        <v>286</v>
      </c>
      <c r="C50" s="67">
        <v>7959</v>
      </c>
      <c r="D50" s="67">
        <v>110000</v>
      </c>
      <c r="E50" s="67">
        <v>421502</v>
      </c>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472</v>
      </c>
      <c r="C57" s="67"/>
      <c r="D57" s="256"/>
      <c r="E57" s="256"/>
    </row>
    <row r="58" spans="2:5" ht="15.75">
      <c r="B58" s="272" t="s">
        <v>374</v>
      </c>
      <c r="C58" s="297">
        <f>IF(C59*0.1&lt;C57,"Exceed 10% Rule","")</f>
      </c>
      <c r="D58" s="261">
        <f>IF(D59*0.1&lt;D57,"Exceed 10% Rule","")</f>
      </c>
      <c r="E58" s="261">
        <f>IF(E59*0.1&lt;E57,"Exceed 10% Rule","")</f>
      </c>
    </row>
    <row r="59" spans="2:5" ht="15.75">
      <c r="B59" s="262" t="s">
        <v>625</v>
      </c>
      <c r="C59" s="265">
        <f>SUM(C50:C57)</f>
        <v>7959</v>
      </c>
      <c r="D59" s="265">
        <f>SUM(D50:D57)</f>
        <v>110000</v>
      </c>
      <c r="E59" s="265">
        <f>SUM(E50:E57)</f>
        <v>421502</v>
      </c>
    </row>
    <row r="60" spans="2:5" ht="15.75">
      <c r="B60" s="150" t="s">
        <v>732</v>
      </c>
      <c r="C60" s="82">
        <f>C48-C59</f>
        <v>385067</v>
      </c>
      <c r="D60" s="82">
        <f>D48-D59</f>
        <v>348352</v>
      </c>
      <c r="E60" s="82">
        <f>E48-E59</f>
        <v>0</v>
      </c>
    </row>
    <row r="61" spans="2:5" ht="15.75">
      <c r="B61" s="136" t="str">
        <f>CONCATENATE("",E1-2,"/",E1-1," Budget Authority Amount:")</f>
        <v>2011/2012 Budget Authority Amount:</v>
      </c>
      <c r="C61" s="239">
        <f>inputOth!B82</f>
        <v>338192</v>
      </c>
      <c r="D61" s="239">
        <f>inputPrYr!D43</f>
        <v>437390</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v>15</v>
      </c>
      <c r="D65" s="47"/>
      <c r="E65" s="47"/>
    </row>
  </sheetData>
  <sheetProtection/>
  <conditionalFormatting sqref="C57">
    <cfRule type="cellIs" priority="15" dxfId="311" operator="greaterThan" stopIfTrue="1">
      <formula>$C$59*0.1</formula>
    </cfRule>
  </conditionalFormatting>
  <conditionalFormatting sqref="D57">
    <cfRule type="cellIs" priority="16" dxfId="311" operator="greaterThan" stopIfTrue="1">
      <formula>$D$59*0.1</formula>
    </cfRule>
  </conditionalFormatting>
  <conditionalFormatting sqref="E57">
    <cfRule type="cellIs" priority="17" dxfId="311"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E60 C29:E29">
    <cfRule type="cellIs" priority="20" dxfId="3" operator="lessThan" stopIfTrue="1">
      <formula>0</formula>
    </cfRule>
  </conditionalFormatting>
  <conditionalFormatting sqref="C13">
    <cfRule type="cellIs" priority="6" dxfId="311" operator="greaterThan" stopIfTrue="1">
      <formula>$C$15*0.1</formula>
    </cfRule>
  </conditionalFormatting>
  <conditionalFormatting sqref="D13">
    <cfRule type="cellIs" priority="7" dxfId="311" operator="greaterThan" stopIfTrue="1">
      <formula>$D$15*0.1</formula>
    </cfRule>
  </conditionalFormatting>
  <conditionalFormatting sqref="E13">
    <cfRule type="cellIs" priority="8" dxfId="311" operator="greaterThan" stopIfTrue="1">
      <formula>$E$15*0.1</formula>
    </cfRule>
  </conditionalFormatting>
  <conditionalFormatting sqref="C26">
    <cfRule type="cellIs" priority="9" dxfId="311" operator="greaterThan" stopIfTrue="1">
      <formula>$C$28*0.1</formula>
    </cfRule>
  </conditionalFormatting>
  <conditionalFormatting sqref="D26">
    <cfRule type="cellIs" priority="10" dxfId="311" operator="greaterThan" stopIfTrue="1">
      <formula>$D$28*0.1</formula>
    </cfRule>
  </conditionalFormatting>
  <conditionalFormatting sqref="E26">
    <cfRule type="cellIs" priority="11" dxfId="311" operator="greaterThan" stopIfTrue="1">
      <formula>$E$28*0.1</formula>
    </cfRule>
  </conditionalFormatting>
  <conditionalFormatting sqref="C45">
    <cfRule type="cellIs" priority="12" dxfId="311" operator="greaterThan" stopIfTrue="1">
      <formula>$C$47*0.1</formula>
    </cfRule>
  </conditionalFormatting>
  <conditionalFormatting sqref="D45">
    <cfRule type="cellIs" priority="13" dxfId="311" operator="greaterThan" stopIfTrue="1">
      <formula>$D$47*0.1</formula>
    </cfRule>
  </conditionalFormatting>
  <conditionalFormatting sqref="E45">
    <cfRule type="cellIs" priority="14" dxfId="311" operator="greaterThan" stopIfTrue="1">
      <formula>$E$47*0.1</formula>
    </cfRule>
  </conditionalFormatting>
  <conditionalFormatting sqref="C28">
    <cfRule type="cellIs" priority="22" dxfId="3" operator="greaterThan" stopIfTrue="1">
      <formula>$C$30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tabColor indexed="62"/>
    <pageSetUpPr fitToPage="1"/>
  </sheetPr>
  <dimension ref="B1:E65"/>
  <sheetViews>
    <sheetView zoomScalePageLayoutView="0" workbookViewId="0" topLeftCell="A41">
      <selection activeCell="D18" sqref="D18"/>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inputPrYr!B44</f>
        <v>Risk Management Reserve</v>
      </c>
      <c r="C5" s="223" t="str">
        <f>CONCATENATE("Actual for ",E1-2,"")</f>
        <v>Actual for 2011</v>
      </c>
      <c r="D5" s="223" t="str">
        <f>CONCATENATE("Estimate for ",E1-1,"")</f>
        <v>Estimate for 2012</v>
      </c>
      <c r="E5" s="208" t="str">
        <f>CONCATENATE("Year for ",E1,"")</f>
        <v>Year for 2013</v>
      </c>
    </row>
    <row r="6" spans="2:5" ht="15.75">
      <c r="B6" s="250" t="s">
        <v>731</v>
      </c>
      <c r="C6" s="67">
        <v>57302</v>
      </c>
      <c r="D6" s="226">
        <f>C29</f>
        <v>99477</v>
      </c>
      <c r="E6" s="226">
        <f>D29</f>
        <v>124649</v>
      </c>
    </row>
    <row r="7" spans="2:5" s="45" customFormat="1" ht="15.75">
      <c r="B7" s="254" t="s">
        <v>733</v>
      </c>
      <c r="C7" s="87"/>
      <c r="D7" s="87"/>
      <c r="E7" s="87"/>
    </row>
    <row r="8" spans="2:5" ht="15.75">
      <c r="B8" s="271" t="s">
        <v>321</v>
      </c>
      <c r="C8" s="67">
        <v>537707</v>
      </c>
      <c r="D8" s="67">
        <v>545000</v>
      </c>
      <c r="E8" s="67">
        <v>550000</v>
      </c>
    </row>
    <row r="9" spans="2:5" ht="15.75">
      <c r="B9" s="271"/>
      <c r="C9" s="67"/>
      <c r="D9" s="67"/>
      <c r="E9" s="67"/>
    </row>
    <row r="10" spans="2:5" ht="15.75">
      <c r="B10" s="271"/>
      <c r="C10" s="67"/>
      <c r="D10" s="67"/>
      <c r="E10" s="67"/>
    </row>
    <row r="11" spans="2:5" ht="15.75">
      <c r="B11" s="271"/>
      <c r="C11" s="67"/>
      <c r="D11" s="67"/>
      <c r="E11" s="67"/>
    </row>
    <row r="12" spans="2:5" ht="15.75">
      <c r="B12" s="259" t="s">
        <v>617</v>
      </c>
      <c r="C12" s="67">
        <v>721</v>
      </c>
      <c r="D12" s="67">
        <v>800</v>
      </c>
      <c r="E12" s="67">
        <v>800</v>
      </c>
    </row>
    <row r="13" spans="2:5" ht="15.75">
      <c r="B13" s="159" t="s">
        <v>472</v>
      </c>
      <c r="C13" s="67"/>
      <c r="D13" s="256"/>
      <c r="E13" s="256"/>
    </row>
    <row r="14" spans="2:5" ht="15.75">
      <c r="B14" s="250" t="s">
        <v>373</v>
      </c>
      <c r="C14" s="297">
        <f>IF(C15*0.1&lt;C13,"Exceed 10% Rule","")</f>
      </c>
      <c r="D14" s="261">
        <f>IF(D15*0.1&lt;D13,"Exceed 10% Rule","")</f>
      </c>
      <c r="E14" s="261">
        <f>IF(E15*0.1&lt;E13,"Exceed 10% Rule","")</f>
      </c>
    </row>
    <row r="15" spans="2:5" ht="15.75">
      <c r="B15" s="262" t="s">
        <v>618</v>
      </c>
      <c r="C15" s="265">
        <f>SUM(C8:C13)</f>
        <v>538428</v>
      </c>
      <c r="D15" s="265">
        <f>SUM(D8:D13)</f>
        <v>545800</v>
      </c>
      <c r="E15" s="265">
        <f>SUM(E8:E13)</f>
        <v>550800</v>
      </c>
    </row>
    <row r="16" spans="2:5" ht="15.75">
      <c r="B16" s="262" t="s">
        <v>619</v>
      </c>
      <c r="C16" s="265">
        <f>C6+C15</f>
        <v>595730</v>
      </c>
      <c r="D16" s="265">
        <f>D6+D15</f>
        <v>645277</v>
      </c>
      <c r="E16" s="265">
        <f>E6+E15</f>
        <v>675449</v>
      </c>
    </row>
    <row r="17" spans="2:5" ht="15.75">
      <c r="B17" s="150" t="s">
        <v>621</v>
      </c>
      <c r="C17" s="226"/>
      <c r="D17" s="226"/>
      <c r="E17" s="226"/>
    </row>
    <row r="18" spans="2:5" ht="15.75">
      <c r="B18" s="271" t="s">
        <v>322</v>
      </c>
      <c r="C18" s="67">
        <v>339944</v>
      </c>
      <c r="D18" s="67">
        <v>360000</v>
      </c>
      <c r="E18" s="67">
        <v>528063</v>
      </c>
    </row>
    <row r="19" spans="2:5" ht="15.75">
      <c r="B19" s="271" t="s">
        <v>323</v>
      </c>
      <c r="C19" s="67">
        <v>136830</v>
      </c>
      <c r="D19" s="67">
        <v>140000</v>
      </c>
      <c r="E19" s="67">
        <v>125889</v>
      </c>
    </row>
    <row r="20" spans="2:5" ht="15.75">
      <c r="B20" s="271" t="s">
        <v>324</v>
      </c>
      <c r="C20" s="67">
        <v>19479</v>
      </c>
      <c r="D20" s="67">
        <v>20628</v>
      </c>
      <c r="E20" s="67">
        <v>21497</v>
      </c>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374</v>
      </c>
      <c r="C27" s="297">
        <f>IF(C28*0.1&lt;C26,"Exceed 10% Rule","")</f>
      </c>
      <c r="D27" s="261">
        <f>IF(D28*0.1&lt;D26,"Exceed 10% Rule","")</f>
      </c>
      <c r="E27" s="261">
        <f>IF(E28*0.1&lt;E26,"Exceed 10% Rule","")</f>
      </c>
    </row>
    <row r="28" spans="2:5" ht="15.75">
      <c r="B28" s="262" t="s">
        <v>625</v>
      </c>
      <c r="C28" s="265">
        <f>SUM(C18:C26)</f>
        <v>496253</v>
      </c>
      <c r="D28" s="265">
        <f>SUM(D18:D26)</f>
        <v>520628</v>
      </c>
      <c r="E28" s="265">
        <f>SUM(E18:E26)</f>
        <v>675449</v>
      </c>
    </row>
    <row r="29" spans="2:5" ht="15.75">
      <c r="B29" s="150" t="s">
        <v>732</v>
      </c>
      <c r="C29" s="82">
        <f>C16-C28</f>
        <v>99477</v>
      </c>
      <c r="D29" s="82">
        <f>D16-D28</f>
        <v>124649</v>
      </c>
      <c r="E29" s="82">
        <f>E16-E28</f>
        <v>0</v>
      </c>
    </row>
    <row r="30" spans="2:5" ht="15.75">
      <c r="B30" s="136" t="str">
        <f>CONCATENATE("",E1-2,"/",E1-1," Budget Authority Amount:")</f>
        <v>2011/2012 Budget Authority Amount:</v>
      </c>
      <c r="C30" s="239">
        <f>inputOth!B83</f>
        <v>565169</v>
      </c>
      <c r="D30" s="239">
        <f>inputPrYr!D44</f>
        <v>717480</v>
      </c>
      <c r="E30" s="377">
        <f>IF(E29&lt;0,"See Tab E","")</f>
      </c>
    </row>
    <row r="31" spans="2:5" ht="15.75">
      <c r="B31" s="136"/>
      <c r="C31" s="275">
        <f>IF(C28&gt;C30,"See Tab A","")</f>
      </c>
      <c r="D31" s="275">
        <f>IF(D28&gt;D30,"See Tab C","")</f>
      </c>
      <c r="E31" s="97"/>
    </row>
    <row r="32" spans="2:5" ht="15.75">
      <c r="B32" s="136"/>
      <c r="C32" s="275">
        <f>IF(C29&lt;0,"See Tab B","")</f>
      </c>
      <c r="D32" s="275">
        <f>IF(D29&lt;0,"See Tab D","")</f>
      </c>
      <c r="E32" s="97"/>
    </row>
    <row r="33" spans="2:5" ht="15.75">
      <c r="B33" s="47"/>
      <c r="C33" s="97"/>
      <c r="D33" s="97"/>
      <c r="E33" s="97"/>
    </row>
    <row r="34" spans="2:5" ht="15.75">
      <c r="B34" s="52" t="s">
        <v>609</v>
      </c>
      <c r="C34" s="292"/>
      <c r="D34" s="292"/>
      <c r="E34" s="292"/>
    </row>
    <row r="35" spans="2:5" ht="15.75">
      <c r="B35" s="47"/>
      <c r="C35" s="709" t="s">
        <v>565</v>
      </c>
      <c r="D35" s="710" t="s">
        <v>566</v>
      </c>
      <c r="E35" s="144" t="s">
        <v>567</v>
      </c>
    </row>
    <row r="36" spans="2:5" ht="15.75">
      <c r="B36" s="531" t="str">
        <f>inputPrYr!B45</f>
        <v>Transient Guest Tax</v>
      </c>
      <c r="C36" s="223" t="str">
        <f>CONCATENATE("Actual for ",$E$1-2,"")</f>
        <v>Actual for 2011</v>
      </c>
      <c r="D36" s="223" t="str">
        <f>CONCATENATE("Estimate for ",$E$1-1,"")</f>
        <v>Estimate for 2012</v>
      </c>
      <c r="E36" s="208" t="str">
        <f>CONCATENATE("Year for ",$E$1,"")</f>
        <v>Year for 2013</v>
      </c>
    </row>
    <row r="37" spans="2:5" ht="15.75">
      <c r="B37" s="250" t="s">
        <v>731</v>
      </c>
      <c r="C37" s="67">
        <v>0</v>
      </c>
      <c r="D37" s="226">
        <f>C60</f>
        <v>10389</v>
      </c>
      <c r="E37" s="226">
        <f>D60</f>
        <v>20889</v>
      </c>
    </row>
    <row r="38" spans="2:5" s="45" customFormat="1" ht="15.75">
      <c r="B38" s="254" t="s">
        <v>733</v>
      </c>
      <c r="C38" s="87"/>
      <c r="D38" s="87"/>
      <c r="E38" s="87"/>
    </row>
    <row r="39" spans="2:5" ht="15.75">
      <c r="B39" s="271" t="s">
        <v>50</v>
      </c>
      <c r="C39" s="67">
        <v>10375</v>
      </c>
      <c r="D39" s="67">
        <v>19500</v>
      </c>
      <c r="E39" s="67">
        <v>24000</v>
      </c>
    </row>
    <row r="40" spans="2:5" ht="15.75">
      <c r="B40" s="271"/>
      <c r="C40" s="67"/>
      <c r="D40" s="67"/>
      <c r="E40" s="67"/>
    </row>
    <row r="41" spans="2:5" ht="15.75">
      <c r="B41" s="271"/>
      <c r="C41" s="67"/>
      <c r="D41" s="67"/>
      <c r="E41" s="67"/>
    </row>
    <row r="42" spans="2:5" ht="15.75">
      <c r="B42" s="271"/>
      <c r="C42" s="67"/>
      <c r="D42" s="67"/>
      <c r="E42" s="67"/>
    </row>
    <row r="43" spans="2:5" ht="15.75">
      <c r="B43" s="259" t="s">
        <v>617</v>
      </c>
      <c r="C43" s="67">
        <v>14</v>
      </c>
      <c r="D43" s="67">
        <v>0</v>
      </c>
      <c r="E43" s="67">
        <v>20</v>
      </c>
    </row>
    <row r="44" spans="2:5" ht="15.75">
      <c r="B44" s="159" t="s">
        <v>472</v>
      </c>
      <c r="C44" s="67"/>
      <c r="D44" s="256"/>
      <c r="E44" s="256"/>
    </row>
    <row r="45" spans="2:5" ht="15.75">
      <c r="B45" s="250" t="s">
        <v>373</v>
      </c>
      <c r="C45" s="297">
        <f>IF(C46*0.1&lt;C44,"Exceed 10% Rule","")</f>
      </c>
      <c r="D45" s="261">
        <f>IF(D46*0.1&lt;D44,"Exceed 10% Rule","")</f>
      </c>
      <c r="E45" s="261">
        <f>IF(E46*0.1&lt;E44,"Exceed 10% Rule","")</f>
      </c>
    </row>
    <row r="46" spans="2:5" ht="15.75">
      <c r="B46" s="262" t="s">
        <v>618</v>
      </c>
      <c r="C46" s="265">
        <f>SUM(C39:C44)</f>
        <v>10389</v>
      </c>
      <c r="D46" s="265">
        <f>SUM(D39:D44)</f>
        <v>19500</v>
      </c>
      <c r="E46" s="265">
        <f>SUM(E39:E44)</f>
        <v>24020</v>
      </c>
    </row>
    <row r="47" spans="2:5" ht="15.75">
      <c r="B47" s="262" t="s">
        <v>619</v>
      </c>
      <c r="C47" s="265">
        <f>C37+C46</f>
        <v>10389</v>
      </c>
      <c r="D47" s="265">
        <f>D37+D46</f>
        <v>29889</v>
      </c>
      <c r="E47" s="265">
        <f>E37+E46</f>
        <v>44909</v>
      </c>
    </row>
    <row r="48" spans="2:5" ht="15.75">
      <c r="B48" s="150" t="s">
        <v>621</v>
      </c>
      <c r="C48" s="226"/>
      <c r="D48" s="226"/>
      <c r="E48" s="226"/>
    </row>
    <row r="49" spans="2:5" ht="15.75">
      <c r="B49" s="271" t="s">
        <v>325</v>
      </c>
      <c r="C49" s="67">
        <v>0</v>
      </c>
      <c r="D49" s="67">
        <v>9000</v>
      </c>
      <c r="E49" s="67">
        <v>44909</v>
      </c>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472</v>
      </c>
      <c r="C57" s="67"/>
      <c r="D57" s="256"/>
      <c r="E57" s="256"/>
    </row>
    <row r="58" spans="2:5" ht="15.75">
      <c r="B58" s="272" t="s">
        <v>374</v>
      </c>
      <c r="C58" s="297">
        <f>IF(C59*0.1&lt;C57,"Exceed 10% Rule","")</f>
      </c>
      <c r="D58" s="261">
        <f>IF(D59*0.1&lt;D57,"Exceed 10% Rule","")</f>
      </c>
      <c r="E58" s="261">
        <f>IF(E59*0.1&lt;E57,"Exceed 10% Rule","")</f>
      </c>
    </row>
    <row r="59" spans="2:5" ht="15.75">
      <c r="B59" s="262" t="s">
        <v>625</v>
      </c>
      <c r="C59" s="265">
        <f>SUM(C49:C57)</f>
        <v>0</v>
      </c>
      <c r="D59" s="265">
        <f>SUM(D49:D57)</f>
        <v>9000</v>
      </c>
      <c r="E59" s="265">
        <f>SUM(E49:E57)</f>
        <v>44909</v>
      </c>
    </row>
    <row r="60" spans="2:5" ht="15.75">
      <c r="B60" s="150" t="s">
        <v>732</v>
      </c>
      <c r="C60" s="82">
        <f>C47-C59</f>
        <v>10389</v>
      </c>
      <c r="D60" s="82">
        <f>D47-D59</f>
        <v>20889</v>
      </c>
      <c r="E60" s="82">
        <f>E47-E59</f>
        <v>0</v>
      </c>
    </row>
    <row r="61" spans="2:5" ht="15.75">
      <c r="B61" s="136" t="str">
        <f>CONCATENATE("",E1-2,"/",E1-1," Budget Authority Amount:")</f>
        <v>2011/2012 Budget Authority Amount:</v>
      </c>
      <c r="C61" s="239">
        <f>inputOth!B84</f>
        <v>20000</v>
      </c>
      <c r="D61" s="239">
        <f>inputPrYr!D45</f>
        <v>32000</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v>16</v>
      </c>
      <c r="D65" s="47"/>
      <c r="E65" s="47"/>
    </row>
  </sheetData>
  <sheetProtection sheet="1"/>
  <conditionalFormatting sqref="C13">
    <cfRule type="cellIs" priority="3" dxfId="311" operator="greaterThan" stopIfTrue="1">
      <formula>$C$15*0.1</formula>
    </cfRule>
  </conditionalFormatting>
  <conditionalFormatting sqref="D13">
    <cfRule type="cellIs" priority="4" dxfId="311" operator="greaterThan" stopIfTrue="1">
      <formula>$D$15*0.1</formula>
    </cfRule>
  </conditionalFormatting>
  <conditionalFormatting sqref="E13">
    <cfRule type="cellIs" priority="5" dxfId="311" operator="greaterThan" stopIfTrue="1">
      <formula>$E$15*0.1</formula>
    </cfRule>
  </conditionalFormatting>
  <conditionalFormatting sqref="C26">
    <cfRule type="cellIs" priority="6" dxfId="311" operator="greaterThan" stopIfTrue="1">
      <formula>$C$28*0.1</formula>
    </cfRule>
  </conditionalFormatting>
  <conditionalFormatting sqref="D26">
    <cfRule type="cellIs" priority="7" dxfId="311" operator="greaterThan" stopIfTrue="1">
      <formula>$D$28*0.1</formula>
    </cfRule>
  </conditionalFormatting>
  <conditionalFormatting sqref="E26">
    <cfRule type="cellIs" priority="8" dxfId="311" operator="greaterThan" stopIfTrue="1">
      <formula>$E$28*0.1</formula>
    </cfRule>
  </conditionalFormatting>
  <conditionalFormatting sqref="C44">
    <cfRule type="cellIs" priority="9" dxfId="311" operator="greaterThan" stopIfTrue="1">
      <formula>$C$46*0.1</formula>
    </cfRule>
  </conditionalFormatting>
  <conditionalFormatting sqref="D44">
    <cfRule type="cellIs" priority="10" dxfId="311" operator="greaterThan" stopIfTrue="1">
      <formula>$D$46*0.1</formula>
    </cfRule>
  </conditionalFormatting>
  <conditionalFormatting sqref="E44">
    <cfRule type="cellIs" priority="11" dxfId="311" operator="greaterThan" stopIfTrue="1">
      <formula>$E$46*0.1</formula>
    </cfRule>
  </conditionalFormatting>
  <conditionalFormatting sqref="C57">
    <cfRule type="cellIs" priority="12" dxfId="311" operator="greaterThan" stopIfTrue="1">
      <formula>$C$59*0.1</formula>
    </cfRule>
  </conditionalFormatting>
  <conditionalFormatting sqref="D57">
    <cfRule type="cellIs" priority="13" dxfId="311" operator="greaterThan" stopIfTrue="1">
      <formula>$D$59*0.1</formula>
    </cfRule>
  </conditionalFormatting>
  <conditionalFormatting sqref="E57">
    <cfRule type="cellIs" priority="14" dxfId="311"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tabColor indexed="62"/>
    <pageSetUpPr fitToPage="1"/>
  </sheetPr>
  <dimension ref="B1:E66"/>
  <sheetViews>
    <sheetView zoomScalePageLayoutView="0" workbookViewId="0" topLeftCell="A1">
      <selection activeCell="D18" sqref="D18"/>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t="str">
        <f>inputPrYr!B46</f>
        <v>Municipal Pool</v>
      </c>
      <c r="C5" s="223" t="str">
        <f>CONCATENATE("Actual for ",E1-2,"")</f>
        <v>Actual for 2011</v>
      </c>
      <c r="D5" s="223" t="str">
        <f>CONCATENATE("Estimate for ",E1-1,"")</f>
        <v>Estimate for 2012</v>
      </c>
      <c r="E5" s="208" t="str">
        <f>CONCATENATE("Year for ",E1,"")</f>
        <v>Year for 2013</v>
      </c>
    </row>
    <row r="6" spans="2:5" ht="15.75">
      <c r="B6" s="250" t="s">
        <v>731</v>
      </c>
      <c r="C6" s="67">
        <v>2485</v>
      </c>
      <c r="D6" s="226">
        <f>C30</f>
        <v>4160</v>
      </c>
      <c r="E6" s="226">
        <f>D30</f>
        <v>5594</v>
      </c>
    </row>
    <row r="7" spans="2:5" s="45" customFormat="1" ht="15.75">
      <c r="B7" s="254" t="s">
        <v>733</v>
      </c>
      <c r="C7" s="87"/>
      <c r="D7" s="87"/>
      <c r="E7" s="87"/>
    </row>
    <row r="8" spans="2:5" ht="15.75">
      <c r="B8" s="271" t="s">
        <v>326</v>
      </c>
      <c r="C8" s="67">
        <v>57821</v>
      </c>
      <c r="D8" s="67">
        <v>56200</v>
      </c>
      <c r="E8" s="67">
        <v>56500</v>
      </c>
    </row>
    <row r="9" spans="2:5" ht="15.75">
      <c r="B9" s="271" t="s">
        <v>327</v>
      </c>
      <c r="C9" s="67">
        <v>11705</v>
      </c>
      <c r="D9" s="67">
        <v>11000</v>
      </c>
      <c r="E9" s="67">
        <v>11000</v>
      </c>
    </row>
    <row r="10" spans="2:5" ht="15.75">
      <c r="B10" s="271" t="s">
        <v>328</v>
      </c>
      <c r="C10" s="67">
        <v>12299</v>
      </c>
      <c r="D10" s="67">
        <v>20000</v>
      </c>
      <c r="E10" s="67">
        <v>20000</v>
      </c>
    </row>
    <row r="11" spans="2:5" ht="15.75">
      <c r="B11" s="271" t="s">
        <v>329</v>
      </c>
      <c r="C11" s="67">
        <v>8445</v>
      </c>
      <c r="D11" s="67">
        <v>9000</v>
      </c>
      <c r="E11" s="67">
        <v>10000</v>
      </c>
    </row>
    <row r="12" spans="2:5" ht="15.75">
      <c r="B12" s="271" t="s">
        <v>321</v>
      </c>
      <c r="C12" s="67">
        <v>10000</v>
      </c>
      <c r="D12" s="67">
        <v>10000</v>
      </c>
      <c r="E12" s="67">
        <v>10000</v>
      </c>
    </row>
    <row r="13" spans="2:5" ht="15.75">
      <c r="B13" s="259" t="s">
        <v>617</v>
      </c>
      <c r="C13" s="67">
        <v>24</v>
      </c>
      <c r="D13" s="67">
        <v>100</v>
      </c>
      <c r="E13" s="67">
        <v>100</v>
      </c>
    </row>
    <row r="14" spans="2:5" ht="15.75">
      <c r="B14" s="159" t="s">
        <v>472</v>
      </c>
      <c r="C14" s="67">
        <v>851</v>
      </c>
      <c r="D14" s="256">
        <v>750</v>
      </c>
      <c r="E14" s="256">
        <v>500</v>
      </c>
    </row>
    <row r="15" spans="2:5" ht="15.75">
      <c r="B15" s="250" t="s">
        <v>373</v>
      </c>
      <c r="C15" s="297">
        <f>IF(C16*0.1&lt;C14,"Exceed 10% Rule","")</f>
      </c>
      <c r="D15" s="261">
        <f>IF(D16*0.1&lt;D14,"Exceed 10% Rule","")</f>
      </c>
      <c r="E15" s="261">
        <f>IF(E16*0.1&lt;E14,"Exceed 10% Rule","")</f>
      </c>
    </row>
    <row r="16" spans="2:5" ht="15.75">
      <c r="B16" s="262" t="s">
        <v>618</v>
      </c>
      <c r="C16" s="265">
        <f>SUM(C8:C14)</f>
        <v>101145</v>
      </c>
      <c r="D16" s="265">
        <f>SUM(D8:D14)</f>
        <v>107050</v>
      </c>
      <c r="E16" s="265">
        <f>SUM(E8:E14)</f>
        <v>108100</v>
      </c>
    </row>
    <row r="17" spans="2:5" ht="15.75">
      <c r="B17" s="262" t="s">
        <v>619</v>
      </c>
      <c r="C17" s="265">
        <f>C6+C16</f>
        <v>103630</v>
      </c>
      <c r="D17" s="265">
        <f>D6+D16</f>
        <v>111210</v>
      </c>
      <c r="E17" s="265">
        <f>E6+E16</f>
        <v>113694</v>
      </c>
    </row>
    <row r="18" spans="2:5" ht="15.75">
      <c r="B18" s="150" t="s">
        <v>621</v>
      </c>
      <c r="C18" s="226"/>
      <c r="D18" s="226"/>
      <c r="E18" s="226"/>
    </row>
    <row r="19" spans="2:5" ht="15.75">
      <c r="B19" s="271" t="s">
        <v>791</v>
      </c>
      <c r="C19" s="67">
        <v>63835</v>
      </c>
      <c r="D19" s="67">
        <v>66125</v>
      </c>
      <c r="E19" s="67">
        <v>64928</v>
      </c>
    </row>
    <row r="20" spans="2:5" ht="15.75">
      <c r="B20" s="271" t="s">
        <v>293</v>
      </c>
      <c r="C20" s="67">
        <v>35635</v>
      </c>
      <c r="D20" s="67">
        <v>39491</v>
      </c>
      <c r="E20" s="67">
        <v>37872</v>
      </c>
    </row>
    <row r="21" spans="2:5" ht="15.75">
      <c r="B21" s="271" t="s">
        <v>286</v>
      </c>
      <c r="C21" s="67">
        <v>0</v>
      </c>
      <c r="D21" s="67">
        <v>0</v>
      </c>
      <c r="E21" s="67">
        <v>0</v>
      </c>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1"/>
      <c r="C26" s="67"/>
      <c r="D26" s="67"/>
      <c r="E26" s="67"/>
    </row>
    <row r="27" spans="2:5" ht="15.75">
      <c r="B27" s="272" t="s">
        <v>472</v>
      </c>
      <c r="C27" s="67"/>
      <c r="D27" s="256"/>
      <c r="E27" s="256"/>
    </row>
    <row r="28" spans="2:5" ht="15.75">
      <c r="B28" s="272" t="s">
        <v>374</v>
      </c>
      <c r="C28" s="297">
        <f>IF(C29*0.1&lt;C27,"Exceed 10% Rule","")</f>
      </c>
      <c r="D28" s="261">
        <f>IF(D29*0.1&lt;D27,"Exceed 10% Rule","")</f>
      </c>
      <c r="E28" s="261">
        <f>IF(E29*0.1&lt;E27,"Exceed 10% Rule","")</f>
      </c>
    </row>
    <row r="29" spans="2:5" ht="15.75">
      <c r="B29" s="262" t="s">
        <v>625</v>
      </c>
      <c r="C29" s="265">
        <f>SUM(C19:C27)</f>
        <v>99470</v>
      </c>
      <c r="D29" s="265">
        <f>SUM(D19:D27)</f>
        <v>105616</v>
      </c>
      <c r="E29" s="265">
        <f>SUM(E19:E27)</f>
        <v>102800</v>
      </c>
    </row>
    <row r="30" spans="2:5" ht="15.75">
      <c r="B30" s="150" t="s">
        <v>732</v>
      </c>
      <c r="C30" s="82">
        <f>C17-C29</f>
        <v>4160</v>
      </c>
      <c r="D30" s="82">
        <f>D17-D29</f>
        <v>5594</v>
      </c>
      <c r="E30" s="82">
        <f>E17-E29</f>
        <v>10894</v>
      </c>
    </row>
    <row r="31" spans="2:5" ht="15.75">
      <c r="B31" s="136" t="str">
        <f>CONCATENATE("",E1-2,"/",E1-1," Budget Authority Amount:")</f>
        <v>2011/2012 Budget Authority Amount:</v>
      </c>
      <c r="C31" s="239">
        <f>inputOth!B85</f>
        <v>100482</v>
      </c>
      <c r="D31" s="239">
        <f>inputPrYr!D46</f>
        <v>107050</v>
      </c>
      <c r="E31" s="377">
        <f>IF(E30&lt;0,"See Tab E","")</f>
      </c>
    </row>
    <row r="32" spans="2:5" ht="15.75">
      <c r="B32" s="136"/>
      <c r="C32" s="275">
        <f>IF(C29&gt;C31,"See Tab A","")</f>
      </c>
      <c r="D32" s="275">
        <f>IF(D29&gt;D31,"See Tab C","")</f>
      </c>
      <c r="E32" s="97"/>
    </row>
    <row r="33" spans="2:5" ht="15.75">
      <c r="B33" s="136"/>
      <c r="C33" s="275">
        <f>IF(C30&lt;0,"See Tab B","")</f>
      </c>
      <c r="D33" s="275">
        <f>IF(D30&lt;0,"See Tab D","")</f>
      </c>
      <c r="E33" s="97"/>
    </row>
    <row r="34" spans="2:5" ht="15.75">
      <c r="B34" s="47"/>
      <c r="C34" s="97"/>
      <c r="D34" s="97"/>
      <c r="E34" s="97"/>
    </row>
    <row r="35" spans="2:5" ht="15.75">
      <c r="B35" s="52" t="s">
        <v>609</v>
      </c>
      <c r="C35" s="292"/>
      <c r="D35" s="292"/>
      <c r="E35" s="292"/>
    </row>
    <row r="36" spans="2:5" ht="15.75">
      <c r="B36" s="47"/>
      <c r="C36" s="709" t="s">
        <v>565</v>
      </c>
      <c r="D36" s="710" t="s">
        <v>566</v>
      </c>
      <c r="E36" s="144" t="s">
        <v>567</v>
      </c>
    </row>
    <row r="37" spans="2:5" ht="15.75">
      <c r="B37" s="531">
        <f>inputPrYr!B47</f>
        <v>0</v>
      </c>
      <c r="C37" s="223" t="str">
        <f>CONCATENATE("Actual for ",$E$1-2,"")</f>
        <v>Actual for 2011</v>
      </c>
      <c r="D37" s="223" t="str">
        <f>CONCATENATE("Estimate for ",$E$1-1,"")</f>
        <v>Estimate for 2012</v>
      </c>
      <c r="E37" s="208" t="str">
        <f>CONCATENATE("Year for ",$E$1,"")</f>
        <v>Year for 2013</v>
      </c>
    </row>
    <row r="38" spans="2:5" ht="15.75">
      <c r="B38" s="250" t="s">
        <v>731</v>
      </c>
      <c r="C38" s="67"/>
      <c r="D38" s="226">
        <f>C61</f>
        <v>0</v>
      </c>
      <c r="E38" s="226">
        <f>D61</f>
        <v>0</v>
      </c>
    </row>
    <row r="39" spans="2:5" s="45" customFormat="1" ht="15.75">
      <c r="B39" s="254" t="s">
        <v>733</v>
      </c>
      <c r="C39" s="87"/>
      <c r="D39" s="87"/>
      <c r="E39" s="87"/>
    </row>
    <row r="40" spans="2:5" ht="15.75">
      <c r="B40" s="271"/>
      <c r="C40" s="67"/>
      <c r="D40" s="67"/>
      <c r="E40" s="67"/>
    </row>
    <row r="41" spans="2:5" ht="15.75">
      <c r="B41" s="271"/>
      <c r="C41" s="67"/>
      <c r="D41" s="67"/>
      <c r="E41" s="67"/>
    </row>
    <row r="42" spans="2:5" ht="15.75">
      <c r="B42" s="271"/>
      <c r="C42" s="67"/>
      <c r="D42" s="67"/>
      <c r="E42" s="67"/>
    </row>
    <row r="43" spans="2:5" ht="15.75">
      <c r="B43" s="271"/>
      <c r="C43" s="67"/>
      <c r="D43" s="67"/>
      <c r="E43" s="67"/>
    </row>
    <row r="44" spans="2:5" ht="15.75">
      <c r="B44" s="259" t="s">
        <v>617</v>
      </c>
      <c r="C44" s="67"/>
      <c r="D44" s="67"/>
      <c r="E44" s="67"/>
    </row>
    <row r="45" spans="2:5" ht="15.75">
      <c r="B45" s="159" t="s">
        <v>472</v>
      </c>
      <c r="C45" s="67"/>
      <c r="D45" s="256"/>
      <c r="E45" s="256"/>
    </row>
    <row r="46" spans="2:5" ht="15.75">
      <c r="B46" s="250" t="s">
        <v>373</v>
      </c>
      <c r="C46" s="297">
        <f>IF(C47*0.1&lt;C45,"Exceed 10% Rule","")</f>
      </c>
      <c r="D46" s="261">
        <f>IF(D47*0.1&lt;D45,"Exceed 10% Rule","")</f>
      </c>
      <c r="E46" s="261">
        <f>IF(E47*0.1&lt;E45,"Exceed 10% Rule","")</f>
      </c>
    </row>
    <row r="47" spans="2:5" ht="15.75">
      <c r="B47" s="262" t="s">
        <v>618</v>
      </c>
      <c r="C47" s="265">
        <f>SUM(C40:C45)</f>
        <v>0</v>
      </c>
      <c r="D47" s="265">
        <f>SUM(D40:D45)</f>
        <v>0</v>
      </c>
      <c r="E47" s="265">
        <f>SUM(E40:E45)</f>
        <v>0</v>
      </c>
    </row>
    <row r="48" spans="2:5" ht="15.75">
      <c r="B48" s="262" t="s">
        <v>619</v>
      </c>
      <c r="C48" s="265">
        <f>C38+C47</f>
        <v>0</v>
      </c>
      <c r="D48" s="265">
        <f>D38+D47</f>
        <v>0</v>
      </c>
      <c r="E48" s="265">
        <f>E38+E47</f>
        <v>0</v>
      </c>
    </row>
    <row r="49" spans="2:5" ht="15.75">
      <c r="B49" s="150" t="s">
        <v>621</v>
      </c>
      <c r="C49" s="226"/>
      <c r="D49" s="226"/>
      <c r="E49" s="226"/>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1"/>
      <c r="C57" s="67"/>
      <c r="D57" s="67"/>
      <c r="E57" s="67"/>
    </row>
    <row r="58" spans="2:5" ht="15.75">
      <c r="B58" s="272" t="s">
        <v>472</v>
      </c>
      <c r="C58" s="67"/>
      <c r="D58" s="256"/>
      <c r="E58" s="256"/>
    </row>
    <row r="59" spans="2:5" ht="15.75">
      <c r="B59" s="272" t="s">
        <v>374</v>
      </c>
      <c r="C59" s="297">
        <f>IF(C60*0.1&lt;C58,"Exceed 10% Rule","")</f>
      </c>
      <c r="D59" s="261">
        <f>IF(D60*0.1&lt;D58,"Exceed 10% Rule","")</f>
      </c>
      <c r="E59" s="261">
        <f>IF(E60*0.1&lt;E58,"Exceed 10% Rule","")</f>
      </c>
    </row>
    <row r="60" spans="2:5" ht="15.75">
      <c r="B60" s="262" t="s">
        <v>625</v>
      </c>
      <c r="C60" s="265">
        <f>SUM(C50:C58)</f>
        <v>0</v>
      </c>
      <c r="D60" s="265">
        <f>SUM(D50:D58)</f>
        <v>0</v>
      </c>
      <c r="E60" s="265">
        <f>SUM(E50:E58)</f>
        <v>0</v>
      </c>
    </row>
    <row r="61" spans="2:5" ht="15.75">
      <c r="B61" s="150" t="s">
        <v>732</v>
      </c>
      <c r="C61" s="82">
        <f>C48-C60</f>
        <v>0</v>
      </c>
      <c r="D61" s="82">
        <f>D48-D60</f>
        <v>0</v>
      </c>
      <c r="E61" s="82">
        <f>E48-E60</f>
        <v>0</v>
      </c>
    </row>
    <row r="62" spans="2:5" ht="15.75">
      <c r="B62" s="136" t="str">
        <f>CONCATENATE("",E1-2,"/",E1-1," Budget Authority Amount:")</f>
        <v>2011/2012 Budget Authority Amount:</v>
      </c>
      <c r="C62" s="239">
        <f>inputOth!B86</f>
        <v>0</v>
      </c>
      <c r="D62" s="239">
        <f>inputPrYr!D47</f>
        <v>0</v>
      </c>
      <c r="E62" s="377">
        <f>IF(E61&lt;0,"See Tab E","")</f>
      </c>
    </row>
    <row r="63" spans="2:5" ht="15.75">
      <c r="B63" s="136"/>
      <c r="C63" s="275">
        <f>IF(C60&gt;C62,"See Tab A","")</f>
      </c>
      <c r="D63" s="275">
        <f>IF(D60&gt;D62,"See Tab C","")</f>
      </c>
      <c r="E63" s="47"/>
    </row>
    <row r="64" spans="2:5" ht="15.75">
      <c r="B64" s="136"/>
      <c r="C64" s="275">
        <f>IF(C61&lt;0,"See Tab B","")</f>
      </c>
      <c r="D64" s="275">
        <f>IF(D61&lt;0,"See Tab D","")</f>
      </c>
      <c r="E64" s="47"/>
    </row>
    <row r="65" spans="2:5" ht="15.75">
      <c r="B65" s="47"/>
      <c r="C65" s="47"/>
      <c r="D65" s="47"/>
      <c r="E65" s="47"/>
    </row>
    <row r="66" spans="2:5" ht="15.75">
      <c r="B66" s="401" t="s">
        <v>628</v>
      </c>
      <c r="C66" s="280">
        <v>17</v>
      </c>
      <c r="D66" s="47"/>
      <c r="E66" s="47"/>
    </row>
  </sheetData>
  <sheetProtection/>
  <conditionalFormatting sqref="C14">
    <cfRule type="cellIs" priority="18" dxfId="311" operator="greaterThan" stopIfTrue="1">
      <formula>$C$16*0.1</formula>
    </cfRule>
  </conditionalFormatting>
  <conditionalFormatting sqref="D14">
    <cfRule type="cellIs" priority="17" dxfId="311" operator="greaterThan" stopIfTrue="1">
      <formula>$D$16*0.1</formula>
    </cfRule>
  </conditionalFormatting>
  <conditionalFormatting sqref="E14">
    <cfRule type="cellIs" priority="16" dxfId="311" operator="greaterThan" stopIfTrue="1">
      <formula>$E$16*0.1</formula>
    </cfRule>
  </conditionalFormatting>
  <conditionalFormatting sqref="C27">
    <cfRule type="cellIs" priority="15" dxfId="311" operator="greaterThan" stopIfTrue="1">
      <formula>$C$29*0.1</formula>
    </cfRule>
  </conditionalFormatting>
  <conditionalFormatting sqref="D27">
    <cfRule type="cellIs" priority="14" dxfId="311" operator="greaterThan" stopIfTrue="1">
      <formula>$D$29*0.1</formula>
    </cfRule>
  </conditionalFormatting>
  <conditionalFormatting sqref="E27">
    <cfRule type="cellIs" priority="13" dxfId="311" operator="greaterThan" stopIfTrue="1">
      <formula>$E$29*0.1</formula>
    </cfRule>
  </conditionalFormatting>
  <conditionalFormatting sqref="C45">
    <cfRule type="cellIs" priority="12" dxfId="311" operator="greaterThan" stopIfTrue="1">
      <formula>$C$47*0.1</formula>
    </cfRule>
  </conditionalFormatting>
  <conditionalFormatting sqref="D45">
    <cfRule type="cellIs" priority="11" dxfId="311" operator="greaterThan" stopIfTrue="1">
      <formula>$D$47*0.1</formula>
    </cfRule>
  </conditionalFormatting>
  <conditionalFormatting sqref="E45">
    <cfRule type="cellIs" priority="10" dxfId="311" operator="greaterThan" stopIfTrue="1">
      <formula>$E$47*0.1</formula>
    </cfRule>
  </conditionalFormatting>
  <conditionalFormatting sqref="C58">
    <cfRule type="cellIs" priority="9" dxfId="311" operator="greaterThan" stopIfTrue="1">
      <formula>$C$60*0.1</formula>
    </cfRule>
  </conditionalFormatting>
  <conditionalFormatting sqref="D58">
    <cfRule type="cellIs" priority="8" dxfId="311" operator="greaterThan" stopIfTrue="1">
      <formula>$D$60*0.1</formula>
    </cfRule>
  </conditionalFormatting>
  <conditionalFormatting sqref="E58">
    <cfRule type="cellIs" priority="7" dxfId="311" operator="greaterThan" stopIfTrue="1">
      <formula>$E$60*0.1</formula>
    </cfRule>
  </conditionalFormatting>
  <conditionalFormatting sqref="C60:D60">
    <cfRule type="cellIs" priority="6" dxfId="3" operator="greaterThan" stopIfTrue="1">
      <formula>$D$62</formula>
    </cfRule>
  </conditionalFormatting>
  <conditionalFormatting sqref="C61:E61 C30:E30">
    <cfRule type="cellIs" priority="5" dxfId="3" operator="lessThan" stopIfTrue="1">
      <formula>0</formula>
    </cfRule>
  </conditionalFormatting>
  <conditionalFormatting sqref="D29">
    <cfRule type="cellIs" priority="4" dxfId="3" operator="greaterThan" stopIfTrue="1">
      <formula>$D$31</formula>
    </cfRule>
  </conditionalFormatting>
  <conditionalFormatting sqref="C29">
    <cfRule type="cellIs" priority="3" dxfId="3" operator="greaterThan" stopIfTrue="1">
      <formula>$C$31</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Haysville</v>
      </c>
      <c r="C1" s="47"/>
      <c r="D1" s="47"/>
      <c r="E1" s="246">
        <f>inputPrYr!C5</f>
        <v>2013</v>
      </c>
    </row>
    <row r="2" spans="2:5" ht="15.75">
      <c r="B2" s="47"/>
      <c r="C2" s="47"/>
      <c r="D2" s="47"/>
      <c r="E2" s="169"/>
    </row>
    <row r="3" spans="2:5" ht="15.75">
      <c r="B3" s="247" t="s">
        <v>677</v>
      </c>
      <c r="C3" s="287"/>
      <c r="D3" s="287"/>
      <c r="E3" s="287"/>
    </row>
    <row r="4" spans="2:5" ht="15.75">
      <c r="B4" s="52" t="s">
        <v>609</v>
      </c>
      <c r="C4" s="709" t="s">
        <v>565</v>
      </c>
      <c r="D4" s="710" t="s">
        <v>566</v>
      </c>
      <c r="E4" s="144" t="s">
        <v>567</v>
      </c>
    </row>
    <row r="5" spans="2:5" ht="15.75">
      <c r="B5" s="531">
        <f>inputPrYr!B48</f>
        <v>0</v>
      </c>
      <c r="C5" s="223" t="str">
        <f>CONCATENATE("Actual for ",E1-2,"")</f>
        <v>Actual for 2011</v>
      </c>
      <c r="D5" s="223" t="str">
        <f>CONCATENATE("Estimate for ",E1-1,"")</f>
        <v>Estimate for 2012</v>
      </c>
      <c r="E5" s="208" t="str">
        <f>CONCATENATE("Year for ",E1,"")</f>
        <v>Year for 2013</v>
      </c>
    </row>
    <row r="6" spans="2:5" ht="15.75">
      <c r="B6" s="250" t="s">
        <v>731</v>
      </c>
      <c r="C6" s="67"/>
      <c r="D6" s="226">
        <f>C29</f>
        <v>0</v>
      </c>
      <c r="E6" s="226">
        <f>D29</f>
        <v>0</v>
      </c>
    </row>
    <row r="7" spans="2:5" s="45" customFormat="1" ht="15.75">
      <c r="B7" s="254" t="s">
        <v>733</v>
      </c>
      <c r="C7" s="87"/>
      <c r="D7" s="87"/>
      <c r="E7" s="87"/>
    </row>
    <row r="8" spans="2:5" ht="15.75">
      <c r="B8" s="271"/>
      <c r="C8" s="67"/>
      <c r="D8" s="67"/>
      <c r="E8" s="67"/>
    </row>
    <row r="9" spans="2:5" ht="15.75">
      <c r="B9" s="271"/>
      <c r="C9" s="67"/>
      <c r="D9" s="67"/>
      <c r="E9" s="67"/>
    </row>
    <row r="10" spans="2:5" ht="15.75">
      <c r="B10" s="271"/>
      <c r="C10" s="67"/>
      <c r="D10" s="67"/>
      <c r="E10" s="67"/>
    </row>
    <row r="11" spans="2:5" ht="15.75">
      <c r="B11" s="271"/>
      <c r="C11" s="67"/>
      <c r="D11" s="67"/>
      <c r="E11" s="67"/>
    </row>
    <row r="12" spans="2:5" ht="15.75">
      <c r="B12" s="259" t="s">
        <v>617</v>
      </c>
      <c r="C12" s="67"/>
      <c r="D12" s="67"/>
      <c r="E12" s="67"/>
    </row>
    <row r="13" spans="2:5" ht="15.75">
      <c r="B13" s="159" t="s">
        <v>472</v>
      </c>
      <c r="C13" s="67"/>
      <c r="D13" s="256"/>
      <c r="E13" s="256"/>
    </row>
    <row r="14" spans="2:5" ht="15.75">
      <c r="B14" s="250" t="s">
        <v>373</v>
      </c>
      <c r="C14" s="297">
        <f>IF(C15*0.1&lt;C13,"Exceed 10% Rule","")</f>
      </c>
      <c r="D14" s="261">
        <f>IF(D15*0.1&lt;D13,"Exceed 10% Rule","")</f>
      </c>
      <c r="E14" s="261">
        <f>IF(E15*0.1&lt;E13,"Exceed 10% Rule","")</f>
      </c>
    </row>
    <row r="15" spans="2:5" ht="15.75">
      <c r="B15" s="262" t="s">
        <v>618</v>
      </c>
      <c r="C15" s="265">
        <f>SUM(C8:C13)</f>
        <v>0</v>
      </c>
      <c r="D15" s="265">
        <f>SUM(D8:D13)</f>
        <v>0</v>
      </c>
      <c r="E15" s="265">
        <f>SUM(E8:E13)</f>
        <v>0</v>
      </c>
    </row>
    <row r="16" spans="2:5" ht="15.75">
      <c r="B16" s="262" t="s">
        <v>619</v>
      </c>
      <c r="C16" s="265">
        <f>C6+C15</f>
        <v>0</v>
      </c>
      <c r="D16" s="265">
        <f>D6+D15</f>
        <v>0</v>
      </c>
      <c r="E16" s="265">
        <f>E6+E15</f>
        <v>0</v>
      </c>
    </row>
    <row r="17" spans="2:5" ht="15.75">
      <c r="B17" s="150" t="s">
        <v>621</v>
      </c>
      <c r="C17" s="226"/>
      <c r="D17" s="226"/>
      <c r="E17" s="226"/>
    </row>
    <row r="18" spans="2:5" ht="15.75">
      <c r="B18" s="271"/>
      <c r="C18" s="67"/>
      <c r="D18" s="67"/>
      <c r="E18" s="67"/>
    </row>
    <row r="19" spans="2:5" ht="15.75">
      <c r="B19" s="271"/>
      <c r="C19" s="67"/>
      <c r="D19" s="67"/>
      <c r="E19" s="67"/>
    </row>
    <row r="20" spans="2:5" ht="15.75">
      <c r="B20" s="271"/>
      <c r="C20" s="67"/>
      <c r="D20" s="67"/>
      <c r="E20" s="67"/>
    </row>
    <row r="21" spans="2:5" ht="15.75">
      <c r="B21" s="271"/>
      <c r="C21" s="67"/>
      <c r="D21" s="67"/>
      <c r="E21" s="67"/>
    </row>
    <row r="22" spans="2:5" ht="15.75">
      <c r="B22" s="271"/>
      <c r="C22" s="67"/>
      <c r="D22" s="67"/>
      <c r="E22" s="67"/>
    </row>
    <row r="23" spans="2:5" ht="15.75">
      <c r="B23" s="271"/>
      <c r="C23" s="67"/>
      <c r="D23" s="67"/>
      <c r="E23" s="67"/>
    </row>
    <row r="24" spans="2:5" ht="15.75">
      <c r="B24" s="271"/>
      <c r="C24" s="67"/>
      <c r="D24" s="67"/>
      <c r="E24" s="67"/>
    </row>
    <row r="25" spans="2:5" ht="15.75">
      <c r="B25" s="271"/>
      <c r="C25" s="67"/>
      <c r="D25" s="67"/>
      <c r="E25" s="67"/>
    </row>
    <row r="26" spans="2:5" ht="15.75">
      <c r="B26" s="272" t="s">
        <v>472</v>
      </c>
      <c r="C26" s="67"/>
      <c r="D26" s="256"/>
      <c r="E26" s="256"/>
    </row>
    <row r="27" spans="2:5" ht="15.75">
      <c r="B27" s="272" t="s">
        <v>376</v>
      </c>
      <c r="C27" s="297">
        <f>IF(C28*0.1&lt;C26,"Exceed 10% Rule","")</f>
      </c>
      <c r="D27" s="261">
        <f>IF(D28*0.1&lt;D26,"Exceed 10% Rule","")</f>
      </c>
      <c r="E27" s="261">
        <f>IF(E28*0.1&lt;E26,"Exceed 10% Rule","")</f>
      </c>
    </row>
    <row r="28" spans="2:5" ht="15.75">
      <c r="B28" s="262" t="s">
        <v>625</v>
      </c>
      <c r="C28" s="265">
        <f>SUM(C18:C26)</f>
        <v>0</v>
      </c>
      <c r="D28" s="265">
        <f>SUM(D18:D26)</f>
        <v>0</v>
      </c>
      <c r="E28" s="265">
        <f>SUM(E18:E26)</f>
        <v>0</v>
      </c>
    </row>
    <row r="29" spans="2:5" ht="15.75">
      <c r="B29" s="150" t="s">
        <v>732</v>
      </c>
      <c r="C29" s="82">
        <f>C16-C28</f>
        <v>0</v>
      </c>
      <c r="D29" s="82">
        <f>D16-D28</f>
        <v>0</v>
      </c>
      <c r="E29" s="82">
        <f>E16-E28</f>
        <v>0</v>
      </c>
    </row>
    <row r="30" spans="2:5" ht="15.75">
      <c r="B30" s="136" t="str">
        <f>CONCATENATE("",E1-2,"/",E1-1," Budget Authority Amount:")</f>
        <v>2011/2012 Budget Authority Amount:</v>
      </c>
      <c r="C30" s="239">
        <f>inputOth!B87</f>
        <v>0</v>
      </c>
      <c r="D30" s="239">
        <f>inputPrYr!D48</f>
        <v>0</v>
      </c>
      <c r="E30" s="377">
        <f>IF(E29&lt;0,"See Tab E","")</f>
      </c>
    </row>
    <row r="31" spans="2:5" ht="15.75">
      <c r="B31" s="136"/>
      <c r="C31" s="378">
        <f>IF(C28&gt;C30,"See Tab A","")</f>
      </c>
      <c r="D31" s="275">
        <f>IF(D28&gt;D30,"See Tab C","")</f>
      </c>
      <c r="E31" s="97"/>
    </row>
    <row r="32" spans="2:5" ht="15.75">
      <c r="B32" s="136"/>
      <c r="C32" s="378">
        <f>IF(C29&lt;0,"See Tab B","")</f>
      </c>
      <c r="D32" s="275">
        <f>IF(D29&lt;0,"See Tab D","")</f>
      </c>
      <c r="E32" s="97"/>
    </row>
    <row r="33" spans="2:5" ht="15.75">
      <c r="B33" s="47"/>
      <c r="C33" s="379"/>
      <c r="D33" s="97"/>
      <c r="E33" s="97"/>
    </row>
    <row r="34" spans="2:5" ht="15.75">
      <c r="B34" s="52" t="s">
        <v>609</v>
      </c>
      <c r="C34" s="380"/>
      <c r="D34" s="292"/>
      <c r="E34" s="292"/>
    </row>
    <row r="35" spans="2:5" ht="15.75">
      <c r="B35" s="47"/>
      <c r="C35" s="709" t="s">
        <v>565</v>
      </c>
      <c r="D35" s="710" t="s">
        <v>566</v>
      </c>
      <c r="E35" s="144" t="s">
        <v>567</v>
      </c>
    </row>
    <row r="36" spans="2:5" ht="15.75">
      <c r="B36" s="531">
        <f>inputPrYr!B49</f>
        <v>0</v>
      </c>
      <c r="C36" s="223" t="str">
        <f>CONCATENATE("Actual for ",$E$1-2,"")</f>
        <v>Actual for 2011</v>
      </c>
      <c r="D36" s="223" t="str">
        <f>CONCATENATE("Estimate for ",$E$1-1,"")</f>
        <v>Estimate for 2012</v>
      </c>
      <c r="E36" s="208" t="str">
        <f>CONCATENATE("Year for ",$E$1,"")</f>
        <v>Year for 2013</v>
      </c>
    </row>
    <row r="37" spans="2:5" ht="15.75">
      <c r="B37" s="250" t="s">
        <v>731</v>
      </c>
      <c r="C37" s="67"/>
      <c r="D37" s="226">
        <f>C60</f>
        <v>0</v>
      </c>
      <c r="E37" s="226">
        <f>D60</f>
        <v>0</v>
      </c>
    </row>
    <row r="38" spans="2:5" s="45" customFormat="1" ht="15.75">
      <c r="B38" s="254" t="s">
        <v>733</v>
      </c>
      <c r="C38" s="87"/>
      <c r="D38" s="87"/>
      <c r="E38" s="87"/>
    </row>
    <row r="39" spans="2:5" ht="15.75">
      <c r="B39" s="271"/>
      <c r="C39" s="67"/>
      <c r="D39" s="67"/>
      <c r="E39" s="67"/>
    </row>
    <row r="40" spans="2:5" ht="15.75">
      <c r="B40" s="271"/>
      <c r="C40" s="67"/>
      <c r="D40" s="67"/>
      <c r="E40" s="67"/>
    </row>
    <row r="41" spans="2:5" ht="15.75">
      <c r="B41" s="271"/>
      <c r="C41" s="67"/>
      <c r="D41" s="67"/>
      <c r="E41" s="67"/>
    </row>
    <row r="42" spans="2:5" ht="15.75">
      <c r="B42" s="271"/>
      <c r="C42" s="67"/>
      <c r="D42" s="67"/>
      <c r="E42" s="67"/>
    </row>
    <row r="43" spans="2:5" ht="15.75">
      <c r="B43" s="259" t="s">
        <v>617</v>
      </c>
      <c r="C43" s="67"/>
      <c r="D43" s="67"/>
      <c r="E43" s="67"/>
    </row>
    <row r="44" spans="2:5" ht="15.75">
      <c r="B44" s="159" t="s">
        <v>472</v>
      </c>
      <c r="C44" s="67"/>
      <c r="D44" s="256"/>
      <c r="E44" s="256"/>
    </row>
    <row r="45" spans="2:5" ht="15.75">
      <c r="B45" s="250" t="s">
        <v>373</v>
      </c>
      <c r="C45" s="297">
        <f>IF(C46*0.1&lt;C44,"Exceed 10% Rule","")</f>
      </c>
      <c r="D45" s="261">
        <f>IF(D46*0.1&lt;D44,"Exceed 10% Rule","")</f>
      </c>
      <c r="E45" s="261">
        <f>IF(E46*0.1&lt;E44,"Exceed 10% Rule","")</f>
      </c>
    </row>
    <row r="46" spans="2:5" ht="15.75">
      <c r="B46" s="262" t="s">
        <v>618</v>
      </c>
      <c r="C46" s="265">
        <f>SUM(C39:C44)</f>
        <v>0</v>
      </c>
      <c r="D46" s="265">
        <f>SUM(D39:D44)</f>
        <v>0</v>
      </c>
      <c r="E46" s="265">
        <f>SUM(E39:E44)</f>
        <v>0</v>
      </c>
    </row>
    <row r="47" spans="2:5" ht="15.75">
      <c r="B47" s="262" t="s">
        <v>619</v>
      </c>
      <c r="C47" s="265">
        <f>C37+C46</f>
        <v>0</v>
      </c>
      <c r="D47" s="265">
        <f>D37+D46</f>
        <v>0</v>
      </c>
      <c r="E47" s="265">
        <f>E37+E46</f>
        <v>0</v>
      </c>
    </row>
    <row r="48" spans="2:5" ht="15.75">
      <c r="B48" s="150" t="s">
        <v>621</v>
      </c>
      <c r="C48" s="226"/>
      <c r="D48" s="226"/>
      <c r="E48" s="226"/>
    </row>
    <row r="49" spans="2:5" ht="15.75">
      <c r="B49" s="271"/>
      <c r="C49" s="67"/>
      <c r="D49" s="67"/>
      <c r="E49" s="67"/>
    </row>
    <row r="50" spans="2:5" ht="15.75">
      <c r="B50" s="271"/>
      <c r="C50" s="67"/>
      <c r="D50" s="67"/>
      <c r="E50" s="67"/>
    </row>
    <row r="51" spans="2:5" ht="15.75">
      <c r="B51" s="271"/>
      <c r="C51" s="67"/>
      <c r="D51" s="67"/>
      <c r="E51" s="67"/>
    </row>
    <row r="52" spans="2:5" ht="15.75">
      <c r="B52" s="271"/>
      <c r="C52" s="67"/>
      <c r="D52" s="67"/>
      <c r="E52" s="67"/>
    </row>
    <row r="53" spans="2:5" ht="15.75">
      <c r="B53" s="271"/>
      <c r="C53" s="67"/>
      <c r="D53" s="67"/>
      <c r="E53" s="67"/>
    </row>
    <row r="54" spans="2:5" ht="15.75">
      <c r="B54" s="271"/>
      <c r="C54" s="67"/>
      <c r="D54" s="67"/>
      <c r="E54" s="67"/>
    </row>
    <row r="55" spans="2:5" ht="15.75">
      <c r="B55" s="271"/>
      <c r="C55" s="67"/>
      <c r="D55" s="67"/>
      <c r="E55" s="67"/>
    </row>
    <row r="56" spans="2:5" ht="15.75">
      <c r="B56" s="271"/>
      <c r="C56" s="67"/>
      <c r="D56" s="67"/>
      <c r="E56" s="67"/>
    </row>
    <row r="57" spans="2:5" ht="15.75">
      <c r="B57" s="272" t="s">
        <v>472</v>
      </c>
      <c r="C57" s="67"/>
      <c r="D57" s="256"/>
      <c r="E57" s="256"/>
    </row>
    <row r="58" spans="2:5" ht="15.75">
      <c r="B58" s="272" t="s">
        <v>374</v>
      </c>
      <c r="C58" s="297">
        <f>IF(C59*0.1&lt;C57,"Exceed 10% Rule","")</f>
      </c>
      <c r="D58" s="261">
        <f>IF(D59*0.1&lt;D57,"Exceed 10% Rule","")</f>
      </c>
      <c r="E58" s="261">
        <f>IF(E59*0.1&lt;E57,"Exceed 10% Rule","")</f>
      </c>
    </row>
    <row r="59" spans="2:5" ht="15.75">
      <c r="B59" s="262" t="s">
        <v>625</v>
      </c>
      <c r="C59" s="265">
        <f>SUM(C49:C57)</f>
        <v>0</v>
      </c>
      <c r="D59" s="265">
        <f>SUM(D49:D57)</f>
        <v>0</v>
      </c>
      <c r="E59" s="265">
        <f>SUM(E49:E57)</f>
        <v>0</v>
      </c>
    </row>
    <row r="60" spans="2:5" ht="15.75">
      <c r="B60" s="150" t="s">
        <v>732</v>
      </c>
      <c r="C60" s="82">
        <f>C47-C59</f>
        <v>0</v>
      </c>
      <c r="D60" s="82">
        <f>D47-D59</f>
        <v>0</v>
      </c>
      <c r="E60" s="82">
        <f>E47-E59</f>
        <v>0</v>
      </c>
    </row>
    <row r="61" spans="2:5" ht="15.75">
      <c r="B61" s="136" t="str">
        <f>CONCATENATE("",E1-2,"/",E1-1," Budget Authority Amount:")</f>
        <v>2011/2012 Budget Authority Amount:</v>
      </c>
      <c r="C61" s="239">
        <f>inputOth!B88</f>
        <v>0</v>
      </c>
      <c r="D61" s="239">
        <f>inputPrYr!D49</f>
        <v>0</v>
      </c>
      <c r="E61" s="377">
        <f>IF(E60&lt;0,"See Tab E","")</f>
      </c>
    </row>
    <row r="62" spans="2:5" ht="15.75">
      <c r="B62" s="136"/>
      <c r="C62" s="275">
        <f>IF(C59&gt;C61,"See Tab A","")</f>
      </c>
      <c r="D62" s="275">
        <f>IF(D59&gt;D61,"See Tab C","")</f>
      </c>
      <c r="E62" s="47"/>
    </row>
    <row r="63" spans="2:5" ht="15.75">
      <c r="B63" s="136"/>
      <c r="C63" s="275">
        <f>IF(C60&lt;0,"See Tab B","")</f>
      </c>
      <c r="D63" s="275">
        <f>IF(D60&lt;0,"See Tab D","")</f>
      </c>
      <c r="E63" s="47"/>
    </row>
    <row r="64" spans="2:5" ht="15.75">
      <c r="B64" s="47"/>
      <c r="C64" s="47"/>
      <c r="D64" s="47"/>
      <c r="E64" s="47"/>
    </row>
    <row r="65" spans="2:5" ht="15.75">
      <c r="B65" s="401" t="s">
        <v>628</v>
      </c>
      <c r="C65" s="280"/>
      <c r="D65" s="47"/>
      <c r="E65" s="47"/>
    </row>
  </sheetData>
  <sheetProtection sheet="1"/>
  <conditionalFormatting sqref="C13">
    <cfRule type="cellIs" priority="18" dxfId="311" operator="greaterThan" stopIfTrue="1">
      <formula>$C$15*0.1</formula>
    </cfRule>
  </conditionalFormatting>
  <conditionalFormatting sqref="D13">
    <cfRule type="cellIs" priority="17" dxfId="311" operator="greaterThan" stopIfTrue="1">
      <formula>$D$15*0.1</formula>
    </cfRule>
  </conditionalFormatting>
  <conditionalFormatting sqref="E13">
    <cfRule type="cellIs" priority="16" dxfId="311" operator="greaterThan" stopIfTrue="1">
      <formula>$E$15*0.1</formula>
    </cfRule>
  </conditionalFormatting>
  <conditionalFormatting sqref="C26">
    <cfRule type="cellIs" priority="15" dxfId="311" operator="greaterThan" stopIfTrue="1">
      <formula>$C$28*0.1</formula>
    </cfRule>
  </conditionalFormatting>
  <conditionalFormatting sqref="D26">
    <cfRule type="cellIs" priority="14" dxfId="311" operator="greaterThan" stopIfTrue="1">
      <formula>$D$28*0.1</formula>
    </cfRule>
  </conditionalFormatting>
  <conditionalFormatting sqref="E26">
    <cfRule type="cellIs" priority="13" dxfId="311" operator="greaterThan" stopIfTrue="1">
      <formula>$E$28*0.1</formula>
    </cfRule>
  </conditionalFormatting>
  <conditionalFormatting sqref="C44">
    <cfRule type="cellIs" priority="12" dxfId="311" operator="greaterThan" stopIfTrue="1">
      <formula>$C$46*0.1</formula>
    </cfRule>
  </conditionalFormatting>
  <conditionalFormatting sqref="D44">
    <cfRule type="cellIs" priority="11" dxfId="311" operator="greaterThan" stopIfTrue="1">
      <formula>$D$46*0.1</formula>
    </cfRule>
  </conditionalFormatting>
  <conditionalFormatting sqref="E44">
    <cfRule type="cellIs" priority="10" dxfId="311" operator="greaterThan" stopIfTrue="1">
      <formula>$E$46*0.1</formula>
    </cfRule>
  </conditionalFormatting>
  <conditionalFormatting sqref="C57">
    <cfRule type="cellIs" priority="9" dxfId="311" operator="greaterThan" stopIfTrue="1">
      <formula>$C$59*0.1</formula>
    </cfRule>
  </conditionalFormatting>
  <conditionalFormatting sqref="D57">
    <cfRule type="cellIs" priority="8" dxfId="311" operator="greaterThan" stopIfTrue="1">
      <formula>$D$59*0.1</formula>
    </cfRule>
  </conditionalFormatting>
  <conditionalFormatting sqref="E57">
    <cfRule type="cellIs" priority="7" dxfId="31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tabColor indexed="62"/>
    <pageSetUpPr fitToPage="1"/>
  </sheetPr>
  <dimension ref="A1:E65"/>
  <sheetViews>
    <sheetView zoomScalePageLayoutView="0" workbookViewId="0" topLeftCell="A35">
      <selection activeCell="D18" sqref="D18"/>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Haysville</v>
      </c>
      <c r="C1" s="47"/>
      <c r="D1" s="47"/>
      <c r="E1" s="217">
        <f>inputPrYr!$C$5</f>
        <v>2013</v>
      </c>
    </row>
    <row r="2" spans="2:5" ht="15.75">
      <c r="B2" s="47"/>
      <c r="C2" s="47"/>
      <c r="D2" s="47"/>
      <c r="E2" s="169"/>
    </row>
    <row r="3" spans="2:5" ht="15.75">
      <c r="B3" s="247" t="s">
        <v>677</v>
      </c>
      <c r="C3" s="294"/>
      <c r="D3" s="294"/>
      <c r="E3" s="295"/>
    </row>
    <row r="4" spans="2:5" ht="15.75">
      <c r="B4" s="52" t="s">
        <v>609</v>
      </c>
      <c r="C4" s="709" t="s">
        <v>565</v>
      </c>
      <c r="D4" s="710" t="s">
        <v>566</v>
      </c>
      <c r="E4" s="144" t="s">
        <v>567</v>
      </c>
    </row>
    <row r="5" spans="2:5" ht="15.75">
      <c r="B5" s="531" t="str">
        <f>(inputPrYr!B51)</f>
        <v>Water/Wastewater</v>
      </c>
      <c r="C5" s="223" t="str">
        <f>CONCATENATE("Actual for ",E1-2,"")</f>
        <v>Actual for 2011</v>
      </c>
      <c r="D5" s="223" t="str">
        <f>CONCATENATE("Estimate for ",E1-1,"")</f>
        <v>Estimate for 2012</v>
      </c>
      <c r="E5" s="208" t="str">
        <f>CONCATENATE("Year for ",E1,"")</f>
        <v>Year for 2013</v>
      </c>
    </row>
    <row r="6" spans="2:5" ht="15.75">
      <c r="B6" s="150" t="s">
        <v>731</v>
      </c>
      <c r="C6" s="255">
        <v>530045</v>
      </c>
      <c r="D6" s="253">
        <f>C60</f>
        <v>539577</v>
      </c>
      <c r="E6" s="226">
        <f>D60</f>
        <v>669010</v>
      </c>
    </row>
    <row r="7" spans="2:5" ht="15.75">
      <c r="B7" s="283" t="s">
        <v>733</v>
      </c>
      <c r="C7" s="159"/>
      <c r="D7" s="159"/>
      <c r="E7" s="87"/>
    </row>
    <row r="8" spans="2:5" ht="15.75">
      <c r="B8" s="739" t="s">
        <v>330</v>
      </c>
      <c r="C8" s="255"/>
      <c r="D8" s="255"/>
      <c r="E8" s="258"/>
    </row>
    <row r="9" spans="2:5" ht="15.75">
      <c r="B9" s="740" t="s">
        <v>331</v>
      </c>
      <c r="C9" s="255">
        <v>892401</v>
      </c>
      <c r="D9" s="255">
        <v>815200</v>
      </c>
      <c r="E9" s="258">
        <v>850300</v>
      </c>
    </row>
    <row r="10" spans="2:5" ht="15.75">
      <c r="B10" s="740" t="s">
        <v>332</v>
      </c>
      <c r="C10" s="255">
        <v>34095</v>
      </c>
      <c r="D10" s="255">
        <v>35800</v>
      </c>
      <c r="E10" s="258">
        <v>39000</v>
      </c>
    </row>
    <row r="11" spans="2:5" ht="15.75">
      <c r="B11" s="740" t="s">
        <v>333</v>
      </c>
      <c r="C11" s="255">
        <v>19100</v>
      </c>
      <c r="D11" s="255">
        <v>19000</v>
      </c>
      <c r="E11" s="258">
        <v>18000</v>
      </c>
    </row>
    <row r="12" spans="2:5" ht="15.75">
      <c r="B12" s="740" t="s">
        <v>334</v>
      </c>
      <c r="C12" s="255">
        <v>18189</v>
      </c>
      <c r="D12" s="255">
        <v>17517</v>
      </c>
      <c r="E12" s="258">
        <v>18000</v>
      </c>
    </row>
    <row r="13" spans="2:5" ht="15.75">
      <c r="B13" s="740" t="s">
        <v>348</v>
      </c>
      <c r="C13" s="255">
        <v>0</v>
      </c>
      <c r="D13" s="255">
        <v>266</v>
      </c>
      <c r="E13" s="258">
        <v>0</v>
      </c>
    </row>
    <row r="14" spans="2:5" ht="15.75">
      <c r="B14" s="740" t="s">
        <v>617</v>
      </c>
      <c r="C14" s="255">
        <v>878</v>
      </c>
      <c r="D14" s="255">
        <v>600</v>
      </c>
      <c r="E14" s="258">
        <v>800</v>
      </c>
    </row>
    <row r="15" spans="2:5" ht="15.75">
      <c r="B15" s="740" t="s">
        <v>472</v>
      </c>
      <c r="C15" s="255">
        <v>9717</v>
      </c>
      <c r="D15" s="255">
        <v>9231</v>
      </c>
      <c r="E15" s="258">
        <v>8000</v>
      </c>
    </row>
    <row r="16" spans="2:5" ht="15.75">
      <c r="B16" s="740" t="s">
        <v>335</v>
      </c>
      <c r="C16" s="743">
        <f>IF(C15&gt;C17*0.1,"Yes","")</f>
      </c>
      <c r="D16" s="743">
        <f>IF(D15&gt;D17*0.1,"Yes","")</f>
      </c>
      <c r="E16" s="22">
        <f>IF(E15&gt;E17*0.1,"Yes","")</f>
      </c>
    </row>
    <row r="17" spans="2:5" ht="15.75">
      <c r="B17" s="741" t="s">
        <v>336</v>
      </c>
      <c r="C17" s="744">
        <f>SUM(C9:C15)</f>
        <v>974380</v>
      </c>
      <c r="D17" s="744">
        <f>SUM(D9:D15)</f>
        <v>897614</v>
      </c>
      <c r="E17" s="745">
        <f>SUM(E9:E15)</f>
        <v>934100</v>
      </c>
    </row>
    <row r="18" spans="2:5" ht="15.75">
      <c r="B18" s="739" t="s">
        <v>337</v>
      </c>
      <c r="C18" s="255"/>
      <c r="D18" s="255"/>
      <c r="E18" s="258"/>
    </row>
    <row r="19" spans="2:5" ht="15.75">
      <c r="B19" s="740" t="s">
        <v>338</v>
      </c>
      <c r="C19" s="255">
        <v>960524</v>
      </c>
      <c r="D19" s="255">
        <v>1109000</v>
      </c>
      <c r="E19" s="258">
        <v>1237000</v>
      </c>
    </row>
    <row r="20" spans="2:5" ht="15.75">
      <c r="B20" s="740" t="s">
        <v>339</v>
      </c>
      <c r="C20" s="255">
        <v>660440</v>
      </c>
      <c r="D20" s="255">
        <v>667500</v>
      </c>
      <c r="E20" s="258">
        <v>665000</v>
      </c>
    </row>
    <row r="21" spans="2:5" ht="15.75">
      <c r="B21" s="740" t="s">
        <v>340</v>
      </c>
      <c r="C21" s="255">
        <v>2500</v>
      </c>
      <c r="D21" s="255">
        <v>3000</v>
      </c>
      <c r="E21" s="258">
        <v>5000</v>
      </c>
    </row>
    <row r="22" spans="2:5" ht="15.75">
      <c r="B22" s="740" t="s">
        <v>283</v>
      </c>
      <c r="C22" s="255">
        <v>1954</v>
      </c>
      <c r="D22" s="255">
        <v>1416</v>
      </c>
      <c r="E22" s="258">
        <v>0</v>
      </c>
    </row>
    <row r="23" spans="2:5" ht="15.75">
      <c r="B23" s="740" t="s">
        <v>341</v>
      </c>
      <c r="C23" s="255"/>
      <c r="D23" s="255">
        <v>0</v>
      </c>
      <c r="E23" s="258">
        <v>0</v>
      </c>
    </row>
    <row r="24" spans="2:5" ht="15.75">
      <c r="B24" s="740" t="s">
        <v>617</v>
      </c>
      <c r="C24" s="255">
        <v>7506</v>
      </c>
      <c r="D24" s="255">
        <v>5500</v>
      </c>
      <c r="E24" s="258">
        <v>6000</v>
      </c>
    </row>
    <row r="25" spans="2:5" ht="15.75">
      <c r="B25" s="740" t="s">
        <v>472</v>
      </c>
      <c r="C25" s="255">
        <v>10733</v>
      </c>
      <c r="D25" s="255">
        <v>22000</v>
      </c>
      <c r="E25" s="258">
        <v>10000</v>
      </c>
    </row>
    <row r="26" spans="2:5" ht="15.75">
      <c r="B26" s="740" t="s">
        <v>335</v>
      </c>
      <c r="C26" s="255" t="s">
        <v>248</v>
      </c>
      <c r="D26" s="255" t="s">
        <v>248</v>
      </c>
      <c r="E26" s="108" t="s">
        <v>248</v>
      </c>
    </row>
    <row r="27" spans="2:5" ht="15.75">
      <c r="B27" s="742" t="s">
        <v>342</v>
      </c>
      <c r="C27" s="255">
        <f>SUM(C19:C26)</f>
        <v>1643657</v>
      </c>
      <c r="D27" s="255">
        <f>SUM(D19:D26)</f>
        <v>1808416</v>
      </c>
      <c r="E27" s="255">
        <f>SUM(E19:E26)</f>
        <v>1923000</v>
      </c>
    </row>
    <row r="28" spans="1:5" ht="15.75" hidden="1">
      <c r="A28" s="746"/>
      <c r="B28" s="296" t="s">
        <v>617</v>
      </c>
      <c r="C28" s="255"/>
      <c r="D28" s="255"/>
      <c r="E28" s="258"/>
    </row>
    <row r="29" spans="1:5" ht="15.75" hidden="1">
      <c r="A29" s="746"/>
      <c r="B29" s="159" t="s">
        <v>472</v>
      </c>
      <c r="C29" s="255"/>
      <c r="D29" s="255"/>
      <c r="E29" s="258"/>
    </row>
    <row r="30" spans="1:5" ht="15.75" hidden="1">
      <c r="A30" s="746"/>
      <c r="B30" s="250" t="s">
        <v>373</v>
      </c>
      <c r="C30" s="260">
        <f>IF(C31*0.1&lt;C29,"Exceed 10% Rule","")</f>
      </c>
      <c r="D30" s="260">
        <f>IF(D31*0.1&lt;D29,"Exceed 10% Rule","")</f>
      </c>
      <c r="E30" s="297">
        <f>IF(E31*0.1&lt;E29,"Exceed 10% Rule","")</f>
      </c>
    </row>
    <row r="31" spans="2:5" ht="15.75">
      <c r="B31" s="262" t="s">
        <v>618</v>
      </c>
      <c r="C31" s="264">
        <f>C17+C27</f>
        <v>2618037</v>
      </c>
      <c r="D31" s="264">
        <f>D17+D27</f>
        <v>2706030</v>
      </c>
      <c r="E31" s="265">
        <f>E17+E27</f>
        <v>2857100</v>
      </c>
    </row>
    <row r="32" spans="2:5" ht="15.75">
      <c r="B32" s="262" t="s">
        <v>619</v>
      </c>
      <c r="C32" s="264">
        <f>C6+C31</f>
        <v>3148082</v>
      </c>
      <c r="D32" s="264">
        <f>D6+D31</f>
        <v>3245607</v>
      </c>
      <c r="E32" s="265">
        <f>E6+E31</f>
        <v>3526110</v>
      </c>
    </row>
    <row r="33" spans="2:5" ht="15.75">
      <c r="B33" s="150" t="s">
        <v>621</v>
      </c>
      <c r="C33" s="159"/>
      <c r="D33" s="159"/>
      <c r="E33" s="87"/>
    </row>
    <row r="34" spans="2:5" ht="15.75">
      <c r="B34" s="739" t="s">
        <v>330</v>
      </c>
      <c r="C34" s="255"/>
      <c r="D34" s="255"/>
      <c r="E34" s="258"/>
    </row>
    <row r="35" spans="2:5" ht="15.75">
      <c r="B35" s="740" t="s">
        <v>791</v>
      </c>
      <c r="C35" s="255">
        <v>356144</v>
      </c>
      <c r="D35" s="255">
        <v>365550</v>
      </c>
      <c r="E35" s="258">
        <v>362353</v>
      </c>
    </row>
    <row r="36" spans="2:5" ht="15.75">
      <c r="B36" s="740" t="s">
        <v>292</v>
      </c>
      <c r="C36" s="255">
        <v>56077</v>
      </c>
      <c r="D36" s="255">
        <v>50500</v>
      </c>
      <c r="E36" s="108">
        <v>43400</v>
      </c>
    </row>
    <row r="37" spans="2:5" ht="15.75">
      <c r="B37" s="740" t="s">
        <v>293</v>
      </c>
      <c r="C37" s="255">
        <v>293287</v>
      </c>
      <c r="D37" s="255">
        <v>261467</v>
      </c>
      <c r="E37" s="108">
        <v>233510</v>
      </c>
    </row>
    <row r="38" spans="2:5" ht="15.75">
      <c r="B38" s="740" t="s">
        <v>286</v>
      </c>
      <c r="C38" s="255">
        <v>155228</v>
      </c>
      <c r="D38" s="255">
        <v>30000</v>
      </c>
      <c r="E38" s="108">
        <v>277200</v>
      </c>
    </row>
    <row r="39" spans="2:5" ht="15.75">
      <c r="B39" s="740" t="s">
        <v>343</v>
      </c>
      <c r="C39" s="255">
        <v>91813</v>
      </c>
      <c r="D39" s="255">
        <v>90529</v>
      </c>
      <c r="E39" s="108">
        <v>101860</v>
      </c>
    </row>
    <row r="40" spans="2:5" ht="15.75">
      <c r="B40" s="740" t="s">
        <v>344</v>
      </c>
      <c r="C40" s="255">
        <v>0</v>
      </c>
      <c r="D40" s="255">
        <v>2000</v>
      </c>
      <c r="E40" s="108">
        <v>83000</v>
      </c>
    </row>
    <row r="41" spans="2:5" ht="15.75">
      <c r="B41" s="740" t="s">
        <v>296</v>
      </c>
      <c r="C41" s="255">
        <v>15000</v>
      </c>
      <c r="D41" s="255">
        <v>15000</v>
      </c>
      <c r="E41" s="108">
        <v>15000</v>
      </c>
    </row>
    <row r="42" spans="2:5" ht="15.75">
      <c r="B42" s="740" t="s">
        <v>472</v>
      </c>
      <c r="C42" s="255">
        <v>7325</v>
      </c>
      <c r="D42" s="255">
        <v>7700</v>
      </c>
      <c r="E42" s="108">
        <v>6500</v>
      </c>
    </row>
    <row r="43" spans="2:5" ht="15.75">
      <c r="B43" s="740" t="s">
        <v>335</v>
      </c>
      <c r="C43" s="743">
        <f>IF(C42&gt;C44*0.1,"Yes","")</f>
      </c>
      <c r="D43" s="743">
        <f>IF(D42&gt;D44*0.1,"Yes","")</f>
      </c>
      <c r="E43" s="22">
        <f>IF(E42&gt;E44*0.1,"Yes","")</f>
      </c>
    </row>
    <row r="44" spans="2:5" ht="15.75">
      <c r="B44" s="741" t="s">
        <v>345</v>
      </c>
      <c r="C44" s="744">
        <f>SUM(C35:C42)</f>
        <v>974874</v>
      </c>
      <c r="D44" s="744">
        <f>SUM(D35:D42)</f>
        <v>822746</v>
      </c>
      <c r="E44" s="745">
        <f>SUM(E35:E42)</f>
        <v>1122823</v>
      </c>
    </row>
    <row r="45" spans="2:5" ht="15.75">
      <c r="B45" s="739" t="s">
        <v>337</v>
      </c>
      <c r="C45" s="255"/>
      <c r="D45" s="255"/>
      <c r="E45" s="108"/>
    </row>
    <row r="46" spans="2:5" ht="15.75">
      <c r="B46" s="740" t="s">
        <v>791</v>
      </c>
      <c r="C46" s="255">
        <v>406399</v>
      </c>
      <c r="D46" s="255">
        <v>379869</v>
      </c>
      <c r="E46" s="108">
        <v>419646</v>
      </c>
    </row>
    <row r="47" spans="2:5" ht="15.75">
      <c r="B47" s="740" t="s">
        <v>292</v>
      </c>
      <c r="C47" s="255">
        <v>117473</v>
      </c>
      <c r="D47" s="255">
        <v>152000</v>
      </c>
      <c r="E47" s="258">
        <v>227000</v>
      </c>
    </row>
    <row r="48" spans="2:5" ht="15.75">
      <c r="B48" s="740" t="s">
        <v>293</v>
      </c>
      <c r="C48" s="255">
        <v>340870</v>
      </c>
      <c r="D48" s="255">
        <v>410809</v>
      </c>
      <c r="E48" s="258">
        <v>418700</v>
      </c>
    </row>
    <row r="49" spans="2:5" ht="15.75">
      <c r="B49" s="740" t="s">
        <v>286</v>
      </c>
      <c r="C49" s="255">
        <v>155690</v>
      </c>
      <c r="D49" s="255">
        <v>225749</v>
      </c>
      <c r="E49" s="258">
        <v>328487</v>
      </c>
    </row>
    <row r="50" spans="2:5" ht="15.75">
      <c r="B50" s="740" t="s">
        <v>343</v>
      </c>
      <c r="C50" s="255">
        <v>78731</v>
      </c>
      <c r="D50" s="255">
        <v>70675</v>
      </c>
      <c r="E50" s="258">
        <v>82445</v>
      </c>
    </row>
    <row r="51" spans="2:5" ht="15.75">
      <c r="B51" s="740" t="s">
        <v>346</v>
      </c>
      <c r="C51" s="255">
        <v>0</v>
      </c>
      <c r="D51" s="255">
        <v>0</v>
      </c>
      <c r="E51" s="258">
        <v>154089</v>
      </c>
    </row>
    <row r="52" spans="2:5" ht="15.75">
      <c r="B52" s="740" t="s">
        <v>344</v>
      </c>
      <c r="C52" s="255">
        <v>464165</v>
      </c>
      <c r="D52" s="255">
        <v>459750</v>
      </c>
      <c r="E52" s="258">
        <v>458905</v>
      </c>
    </row>
    <row r="53" spans="2:5" ht="15.75">
      <c r="B53" s="740" t="s">
        <v>296</v>
      </c>
      <c r="C53" s="255">
        <v>60000</v>
      </c>
      <c r="D53" s="255">
        <v>45000</v>
      </c>
      <c r="E53" s="258">
        <v>45000</v>
      </c>
    </row>
    <row r="54" spans="2:5" ht="15.75">
      <c r="B54" s="740" t="s">
        <v>472</v>
      </c>
      <c r="C54" s="255">
        <v>10303</v>
      </c>
      <c r="D54" s="255">
        <v>9999</v>
      </c>
      <c r="E54" s="258">
        <v>18000</v>
      </c>
    </row>
    <row r="55" spans="2:5" ht="15.75">
      <c r="B55" s="740" t="s">
        <v>335</v>
      </c>
      <c r="C55" s="743">
        <f>IF(C54&gt;C56*0.1,"Yes","")</f>
      </c>
      <c r="D55" s="743">
        <f>IF(D54&gt;D56*0.1,"Yes","")</f>
      </c>
      <c r="E55" s="22">
        <f>IF(E54&gt;E56*0.1,"Yes","")</f>
      </c>
    </row>
    <row r="56" spans="2:5" ht="15.75">
      <c r="B56" s="741" t="s">
        <v>347</v>
      </c>
      <c r="C56" s="744">
        <f>SUM(C46:C54)</f>
        <v>1633631</v>
      </c>
      <c r="D56" s="744">
        <f>SUM(D46:D54)</f>
        <v>1753851</v>
      </c>
      <c r="E56" s="745">
        <f>SUM(E46:E54)</f>
        <v>2152272</v>
      </c>
    </row>
    <row r="57" spans="1:5" ht="15.75" hidden="1">
      <c r="A57" s="746"/>
      <c r="B57" s="272" t="s">
        <v>472</v>
      </c>
      <c r="C57" s="255"/>
      <c r="D57" s="255"/>
      <c r="E57" s="258"/>
    </row>
    <row r="58" spans="1:5" ht="15.75" hidden="1">
      <c r="A58" s="746"/>
      <c r="B58" s="272" t="s">
        <v>374</v>
      </c>
      <c r="C58" s="260">
        <f>IF(C59*0.1&lt;C57,"Exceed 10% Rule","")</f>
      </c>
      <c r="D58" s="260">
        <f>IF(D59*0.1&lt;D57,"Exceed 10% Rule","")</f>
      </c>
      <c r="E58" s="297">
        <f>IF(E59*0.1&lt;E57,"Exceed 10% Rule","")</f>
      </c>
    </row>
    <row r="59" spans="2:5" ht="15.75">
      <c r="B59" s="262" t="s">
        <v>625</v>
      </c>
      <c r="C59" s="264">
        <f>C44+C56</f>
        <v>2608505</v>
      </c>
      <c r="D59" s="264">
        <f>D44+D56</f>
        <v>2576597</v>
      </c>
      <c r="E59" s="265">
        <f>E44+E56</f>
        <v>3275095</v>
      </c>
    </row>
    <row r="60" spans="2:5" ht="15.75">
      <c r="B60" s="150" t="s">
        <v>732</v>
      </c>
      <c r="C60" s="268">
        <f>C32-C59</f>
        <v>539577</v>
      </c>
      <c r="D60" s="268">
        <f>D32-D59</f>
        <v>669010</v>
      </c>
      <c r="E60" s="82">
        <f>E32-E59</f>
        <v>251015</v>
      </c>
    </row>
    <row r="61" spans="2:5" ht="15.75">
      <c r="B61" s="136" t="str">
        <f>CONCATENATE("",E1-2," Budget Authority Limited Amount:")</f>
        <v>2011 Budget Authority Limited Amount:</v>
      </c>
      <c r="C61" s="239">
        <f>inputOth!B89</f>
        <v>2682848</v>
      </c>
      <c r="D61" s="239">
        <f>inputPrYr!D51</f>
        <v>2984592</v>
      </c>
      <c r="E61" s="377">
        <f>IF(E60&lt;0,"See Tab E","")</f>
      </c>
    </row>
    <row r="62" spans="2:5" ht="15.75">
      <c r="B62" s="136"/>
      <c r="C62" s="275">
        <f>IF(C59&gt;C61,"See Tab A","")</f>
      </c>
      <c r="D62" s="275">
        <f>IF(D59&gt;D61,"See Tab C","")</f>
      </c>
      <c r="E62" s="68"/>
    </row>
    <row r="63" spans="2:5" ht="15.75">
      <c r="B63" s="136"/>
      <c r="C63" s="275">
        <f>IF(C60&lt;0,"See Tab B","")</f>
      </c>
      <c r="D63" s="275">
        <f>IF(D60&lt;0,"See Tab D","")</f>
      </c>
      <c r="E63" s="68"/>
    </row>
    <row r="64" spans="2:5" ht="15">
      <c r="B64" s="68"/>
      <c r="C64" s="68"/>
      <c r="D64" s="68"/>
      <c r="E64" s="68"/>
    </row>
    <row r="65" spans="2:5" ht="15.75">
      <c r="B65" s="401" t="s">
        <v>628</v>
      </c>
      <c r="C65" s="280">
        <v>18</v>
      </c>
      <c r="D65" s="68"/>
      <c r="E65" s="68"/>
    </row>
  </sheetData>
  <sheetProtection/>
  <conditionalFormatting sqref="E29">
    <cfRule type="cellIs" priority="4" dxfId="311" operator="greaterThan" stopIfTrue="1">
      <formula>$E$31*0.1</formula>
    </cfRule>
  </conditionalFormatting>
  <conditionalFormatting sqref="E57">
    <cfRule type="cellIs" priority="5" dxfId="311" operator="greaterThan" stopIfTrue="1">
      <formula>$E$59*0.1</formula>
    </cfRule>
  </conditionalFormatting>
  <conditionalFormatting sqref="C57">
    <cfRule type="cellIs" priority="6" dxfId="3" operator="greaterThan" stopIfTrue="1">
      <formula>$C$59*0.1</formula>
    </cfRule>
  </conditionalFormatting>
  <conditionalFormatting sqref="D57">
    <cfRule type="cellIs" priority="7" dxfId="3" operator="greaterThan" stopIfTrue="1">
      <formula>$D$59*0.1</formula>
    </cfRule>
  </conditionalFormatting>
  <conditionalFormatting sqref="C59:D59">
    <cfRule type="cellIs" priority="9" dxfId="3" operator="greaterThan" stopIfTrue="1">
      <formula>$C$61</formula>
    </cfRule>
  </conditionalFormatting>
  <conditionalFormatting sqref="C60:E60">
    <cfRule type="cellIs" priority="10" dxfId="3" operator="lessThan" stopIfTrue="1">
      <formula>0</formula>
    </cfRule>
  </conditionalFormatting>
  <conditionalFormatting sqref="D29">
    <cfRule type="cellIs" priority="2" dxfId="0" operator="greaterThan" stopIfTrue="1">
      <formula>$D$31*0.1</formula>
    </cfRule>
  </conditionalFormatting>
  <conditionalFormatting sqref="C29">
    <cfRule type="cellIs" priority="1" dxfId="0" operator="greaterThan" stopIfTrue="1">
      <formula>$C$31*0.1</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6">
      <selection activeCell="D22" sqref="D22"/>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Haysville</v>
      </c>
      <c r="B1" s="68"/>
      <c r="C1" s="68"/>
      <c r="D1" s="68"/>
      <c r="E1" s="173">
        <f>inputPrYr!C5</f>
        <v>2013</v>
      </c>
    </row>
    <row r="2" spans="1:5" ht="15">
      <c r="A2" s="68"/>
      <c r="B2" s="68"/>
      <c r="C2" s="68"/>
      <c r="D2" s="68"/>
      <c r="E2" s="68"/>
    </row>
    <row r="3" spans="1:5" ht="15.75">
      <c r="A3" s="747" t="s">
        <v>847</v>
      </c>
      <c r="B3" s="748"/>
      <c r="C3" s="748"/>
      <c r="D3" s="748"/>
      <c r="E3" s="748"/>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53837928</v>
      </c>
    </row>
    <row r="8" spans="1:5" ht="15.75">
      <c r="A8" s="107" t="str">
        <f>CONCATENATE("New Improvements for ",E1-1,"")</f>
        <v>New Improvements for 2012</v>
      </c>
      <c r="B8" s="72"/>
      <c r="C8" s="72"/>
      <c r="D8" s="72"/>
      <c r="E8" s="108">
        <v>885088</v>
      </c>
    </row>
    <row r="9" spans="1:5" ht="15.75">
      <c r="A9" s="107" t="str">
        <f>CONCATENATE("Personal Property excluding oil, gas, mobile homes - ",E1-1,"")</f>
        <v>Personal Property excluding oil, gas, mobile homes - 2012</v>
      </c>
      <c r="B9" s="72"/>
      <c r="C9" s="72"/>
      <c r="D9" s="72"/>
      <c r="E9" s="108">
        <v>1044711</v>
      </c>
    </row>
    <row r="10" spans="1:5" ht="15.75">
      <c r="A10" s="109" t="s">
        <v>777</v>
      </c>
      <c r="B10" s="72"/>
      <c r="C10" s="72"/>
      <c r="D10" s="72"/>
      <c r="E10" s="87"/>
    </row>
    <row r="11" spans="1:5" ht="15.75">
      <c r="A11" s="107" t="s">
        <v>724</v>
      </c>
      <c r="B11" s="72"/>
      <c r="C11" s="72"/>
      <c r="D11" s="72"/>
      <c r="E11" s="108"/>
    </row>
    <row r="12" spans="1:5" ht="15.75">
      <c r="A12" s="107" t="s">
        <v>725</v>
      </c>
      <c r="B12" s="72"/>
      <c r="C12" s="72"/>
      <c r="D12" s="72"/>
      <c r="E12" s="108"/>
    </row>
    <row r="13" spans="1:5" ht="15.75">
      <c r="A13" s="107" t="s">
        <v>726</v>
      </c>
      <c r="B13" s="72"/>
      <c r="C13" s="72"/>
      <c r="D13" s="72"/>
      <c r="E13" s="108"/>
    </row>
    <row r="14" spans="1:5" ht="15.75">
      <c r="A14" s="107" t="str">
        <f>CONCATENATE("Property that has changed in use for ",E1-1,"")</f>
        <v>Property that has changed in use for 2012</v>
      </c>
      <c r="B14" s="72"/>
      <c r="C14" s="72"/>
      <c r="D14" s="72"/>
      <c r="E14" s="108">
        <v>50652</v>
      </c>
    </row>
    <row r="15" spans="1:5" ht="15.75">
      <c r="A15" s="107" t="str">
        <f>CONCATENATE("Personal Property  excluding oil, gas, mobile homes- ",E1-2,"")</f>
        <v>Personal Property  excluding oil, gas, mobile homes- 2011</v>
      </c>
      <c r="B15" s="72"/>
      <c r="C15" s="72"/>
      <c r="D15" s="72"/>
      <c r="E15" s="108">
        <v>903354</v>
      </c>
    </row>
    <row r="16" spans="1:5" ht="15.75">
      <c r="A16" s="107" t="str">
        <f>CONCATENATE("Gross earnings (intangible) tax estimate for ",E1,"")</f>
        <v>Gross earnings (intangible) tax estimate for 2013</v>
      </c>
      <c r="B16" s="72"/>
      <c r="C16" s="72"/>
      <c r="D16" s="93"/>
      <c r="E16" s="67">
        <v>0</v>
      </c>
    </row>
    <row r="17" spans="1:5" ht="15.75">
      <c r="A17" s="107" t="s">
        <v>778</v>
      </c>
      <c r="B17" s="72"/>
      <c r="C17" s="72"/>
      <c r="D17" s="72"/>
      <c r="E17" s="103">
        <v>902097</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56" t="s">
        <v>595</v>
      </c>
      <c r="B20" s="757"/>
      <c r="C20" s="68"/>
      <c r="D20" s="110" t="s">
        <v>649</v>
      </c>
      <c r="E20" s="84"/>
    </row>
    <row r="21" spans="1:5" ht="15.75">
      <c r="A21" s="70" t="s">
        <v>579</v>
      </c>
      <c r="B21" s="71"/>
      <c r="C21" s="76"/>
      <c r="D21" s="111">
        <v>31.35</v>
      </c>
      <c r="E21" s="84"/>
    </row>
    <row r="22" spans="1:5" ht="15.75">
      <c r="A22" s="107" t="s">
        <v>505</v>
      </c>
      <c r="B22" s="72"/>
      <c r="C22" s="76"/>
      <c r="D22" s="112">
        <v>9.209</v>
      </c>
      <c r="E22" s="84"/>
    </row>
    <row r="23" spans="1:5" ht="15.75">
      <c r="A23" s="107" t="str">
        <f>IF(inputPrYr!B19&gt;" ",(inputPrYr!B19)," ")</f>
        <v>Library</v>
      </c>
      <c r="B23" s="72"/>
      <c r="C23" s="76"/>
      <c r="D23" s="112">
        <v>5.252</v>
      </c>
      <c r="E23" s="84"/>
    </row>
    <row r="24" spans="1:5" ht="15.75">
      <c r="A24" s="107" t="str">
        <f>IF(inputPrYr!B21&gt;" ",(inputPrYr!B21)," ")</f>
        <v>Law Enforcement</v>
      </c>
      <c r="B24" s="72"/>
      <c r="C24" s="76"/>
      <c r="D24" s="112">
        <v>2</v>
      </c>
      <c r="E24" s="84"/>
    </row>
    <row r="25" spans="1:5" ht="15.75">
      <c r="A25" s="107" t="str">
        <f>IF(inputPrYr!B22&gt;" ",(inputPrYr!B22)," ")</f>
        <v>Special Liability</v>
      </c>
      <c r="B25" s="72"/>
      <c r="C25" s="76"/>
      <c r="D25" s="112">
        <v>0.625</v>
      </c>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2" t="s">
        <v>581</v>
      </c>
      <c r="D34" s="609">
        <f>SUM(D21:D33)</f>
        <v>48.436</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54139668</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582</v>
      </c>
      <c r="B39" s="71"/>
      <c r="C39" s="71"/>
      <c r="D39" s="119"/>
      <c r="E39" s="67">
        <v>354288</v>
      </c>
    </row>
    <row r="40" spans="1:5" ht="15.75">
      <c r="A40" s="107" t="s">
        <v>583</v>
      </c>
      <c r="B40" s="72"/>
      <c r="C40" s="72"/>
      <c r="D40" s="120"/>
      <c r="E40" s="67">
        <v>6649</v>
      </c>
    </row>
    <row r="41" spans="1:5" ht="15.75">
      <c r="A41" s="107" t="s">
        <v>779</v>
      </c>
      <c r="B41" s="72"/>
      <c r="C41" s="72"/>
      <c r="D41" s="120"/>
      <c r="E41" s="67">
        <v>715</v>
      </c>
    </row>
    <row r="42" spans="1:5" ht="15.75">
      <c r="A42" s="107" t="s">
        <v>780</v>
      </c>
      <c r="B42" s="72"/>
      <c r="C42" s="72"/>
      <c r="D42" s="120"/>
      <c r="E42" s="67"/>
    </row>
    <row r="43" spans="1:5" ht="15.75">
      <c r="A43" s="107" t="s">
        <v>781</v>
      </c>
      <c r="B43" s="72"/>
      <c r="C43" s="72"/>
      <c r="D43" s="120"/>
      <c r="E43" s="67"/>
    </row>
    <row r="44" spans="1:5" ht="15.75">
      <c r="A44" s="47" t="s">
        <v>782</v>
      </c>
      <c r="B44" s="47"/>
      <c r="C44" s="47"/>
      <c r="D44" s="47"/>
      <c r="E44" s="47"/>
    </row>
    <row r="45" spans="1:5" ht="15.75">
      <c r="A45" s="46" t="s">
        <v>603</v>
      </c>
      <c r="B45" s="56"/>
      <c r="C45" s="56"/>
      <c r="D45" s="47"/>
      <c r="E45" s="47"/>
    </row>
    <row r="46" spans="1:5" ht="15.75">
      <c r="A46" s="70" t="str">
        <f>CONCATENATE("Actual Delinquency for ",E1-3," Tax - (rate .01213 = 1.213%, key in 1.2)")</f>
        <v>Actual Delinquency for 2010 Tax - (rate .01213 = 1.213%, key in 1.2)</v>
      </c>
      <c r="B46" s="71"/>
      <c r="C46" s="71"/>
      <c r="D46" s="81"/>
      <c r="E46" s="608">
        <v>0.025</v>
      </c>
    </row>
    <row r="47" spans="1:5" ht="15.75">
      <c r="A47" s="107" t="s">
        <v>423</v>
      </c>
      <c r="B47" s="107"/>
      <c r="C47" s="72"/>
      <c r="D47" s="72"/>
      <c r="E47" s="608">
        <v>0.025</v>
      </c>
    </row>
    <row r="48" spans="1:5" ht="15.75">
      <c r="A48" s="47"/>
      <c r="B48" s="47"/>
      <c r="C48" s="47"/>
      <c r="D48" s="47"/>
      <c r="E48" s="47"/>
    </row>
    <row r="49" spans="1:5" ht="15.75">
      <c r="A49" s="121" t="s">
        <v>462</v>
      </c>
      <c r="B49" s="122"/>
      <c r="C49" s="123"/>
      <c r="D49" s="123"/>
      <c r="E49" s="123"/>
    </row>
    <row r="50" spans="1:5" ht="15.75">
      <c r="A50" s="124" t="str">
        <f>CONCATENATE("",E1," State Distribution for Kansas Gas Tax")</f>
        <v>2013 State Distribution for Kansas Gas Tax</v>
      </c>
      <c r="B50" s="125"/>
      <c r="C50" s="125"/>
      <c r="D50" s="126"/>
      <c r="E50" s="103">
        <v>281760</v>
      </c>
    </row>
    <row r="51" spans="1:5" ht="15.75">
      <c r="A51" s="127" t="str">
        <f>CONCATENATE("",E1," County Transfers for Gas**")</f>
        <v>2013 County Transfers for Gas**</v>
      </c>
      <c r="B51" s="128"/>
      <c r="C51" s="128"/>
      <c r="D51" s="129"/>
      <c r="E51" s="103">
        <v>127030</v>
      </c>
    </row>
    <row r="52" spans="1:5" ht="15.75">
      <c r="A52" s="127" t="str">
        <f>CONCATENATE("Adjusted ",E1-1," State Distribution for Kansas Gas Tax")</f>
        <v>Adjusted 2012 State Distribution for Kansas Gas Tax</v>
      </c>
      <c r="B52" s="128"/>
      <c r="C52" s="128"/>
      <c r="D52" s="129"/>
      <c r="E52" s="103">
        <v>279630</v>
      </c>
    </row>
    <row r="53" spans="1:5" ht="15.75">
      <c r="A53" s="127" t="str">
        <f>CONCATENATE("Adjusted ",E1-1," County Transfers for Gas**")</f>
        <v>Adjusted 2012 County Transfers for Gas**</v>
      </c>
      <c r="B53" s="128"/>
      <c r="C53" s="128"/>
      <c r="D53" s="129"/>
      <c r="E53" s="103">
        <v>126540</v>
      </c>
    </row>
    <row r="54" spans="1:5" ht="15">
      <c r="A54" s="758" t="s">
        <v>842</v>
      </c>
      <c r="B54" s="759"/>
      <c r="C54" s="759"/>
      <c r="D54" s="759"/>
      <c r="E54" s="759"/>
    </row>
    <row r="55" spans="1:5" ht="15">
      <c r="A55" s="130" t="s">
        <v>843</v>
      </c>
      <c r="B55" s="130"/>
      <c r="C55" s="130"/>
      <c r="D55" s="130"/>
      <c r="E55" s="130"/>
    </row>
    <row r="56" spans="1:5" ht="15">
      <c r="A56" s="68"/>
      <c r="B56" s="68"/>
      <c r="C56" s="68"/>
      <c r="D56" s="68"/>
      <c r="E56" s="68"/>
    </row>
    <row r="57" spans="1:5" ht="15.75">
      <c r="A57" s="760" t="str">
        <f>CONCATENATE("From the ",E1-2," Budget Certificate Page")</f>
        <v>From the 2011 Budget Certificate Page</v>
      </c>
      <c r="B57" s="761"/>
      <c r="C57" s="68"/>
      <c r="D57" s="68"/>
      <c r="E57" s="68"/>
    </row>
    <row r="58" spans="1:5" ht="15.75">
      <c r="A58" s="131"/>
      <c r="B58" s="131" t="str">
        <f>CONCATENATE("",E1-2," Expenditure Amounts")</f>
        <v>2011 Expenditure Amounts</v>
      </c>
      <c r="C58" s="754" t="str">
        <f>CONCATENATE("Note: If the ",E1-2," budget was amended, then the")</f>
        <v>Note: If the 2011 budget was amended, then the</v>
      </c>
      <c r="D58" s="755"/>
      <c r="E58" s="755"/>
    </row>
    <row r="59" spans="1:5" ht="15.75">
      <c r="A59" s="132" t="s">
        <v>467</v>
      </c>
      <c r="B59" s="132" t="s">
        <v>468</v>
      </c>
      <c r="C59" s="133" t="s">
        <v>469</v>
      </c>
      <c r="D59" s="134"/>
      <c r="E59" s="134"/>
    </row>
    <row r="60" spans="1:5" ht="15.75">
      <c r="A60" s="135" t="str">
        <f>inputPrYr!B17</f>
        <v>General</v>
      </c>
      <c r="B60" s="103">
        <v>5078958</v>
      </c>
      <c r="C60" s="133" t="s">
        <v>470</v>
      </c>
      <c r="D60" s="134"/>
      <c r="E60" s="134"/>
    </row>
    <row r="61" spans="1:5" ht="15.75">
      <c r="A61" s="135" t="str">
        <f>inputPrYr!B18</f>
        <v>Debt Service</v>
      </c>
      <c r="B61" s="103">
        <v>2057896</v>
      </c>
      <c r="C61" s="133"/>
      <c r="D61" s="134"/>
      <c r="E61" s="134"/>
    </row>
    <row r="62" spans="1:5" ht="15.75">
      <c r="A62" s="135" t="str">
        <f>inputPrYr!B19</f>
        <v>Library</v>
      </c>
      <c r="B62" s="103">
        <v>330738</v>
      </c>
      <c r="C62" s="68"/>
      <c r="D62" s="68"/>
      <c r="E62" s="68"/>
    </row>
    <row r="63" spans="1:5" ht="15.75">
      <c r="A63" s="135" t="str">
        <f>inputPrYr!B21</f>
        <v>Law Enforcement</v>
      </c>
      <c r="B63" s="103">
        <v>251767</v>
      </c>
      <c r="C63" s="68"/>
      <c r="D63" s="68"/>
      <c r="E63" s="68"/>
    </row>
    <row r="64" spans="1:5" ht="15.75">
      <c r="A64" s="135" t="str">
        <f>inputPrYr!B22</f>
        <v>Special Liability</v>
      </c>
      <c r="B64" s="103">
        <v>36000</v>
      </c>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471168</v>
      </c>
      <c r="C73" s="68"/>
      <c r="D73" s="68"/>
      <c r="E73" s="68"/>
    </row>
    <row r="74" spans="1:5" ht="15.75">
      <c r="A74" s="135" t="str">
        <f>inputPrYr!B35</f>
        <v>Highway Improvement Reserve</v>
      </c>
      <c r="B74" s="103">
        <v>59117</v>
      </c>
      <c r="C74" s="68"/>
      <c r="D74" s="68"/>
      <c r="E74" s="68"/>
    </row>
    <row r="75" spans="1:5" ht="15.75">
      <c r="A75" s="135" t="str">
        <f>inputPrYr!B36</f>
        <v>Office Equipment Repair/Acq</v>
      </c>
      <c r="B75" s="103">
        <v>30546</v>
      </c>
      <c r="C75" s="68"/>
      <c r="D75" s="68"/>
      <c r="E75" s="68"/>
    </row>
    <row r="76" spans="1:5" ht="15.75">
      <c r="A76" s="135" t="str">
        <f>inputPrYr!B37</f>
        <v>Special Parks &amp; Recreation</v>
      </c>
      <c r="B76" s="103">
        <v>21131</v>
      </c>
      <c r="C76" s="68"/>
      <c r="D76" s="68"/>
      <c r="E76" s="68"/>
    </row>
    <row r="77" spans="1:5" ht="15.75">
      <c r="A77" s="135" t="str">
        <f>inputPrYr!B38</f>
        <v>Special Alcohol</v>
      </c>
      <c r="B77" s="103">
        <v>56642</v>
      </c>
      <c r="C77" s="68"/>
      <c r="D77" s="68"/>
      <c r="E77" s="68"/>
    </row>
    <row r="78" spans="1:5" ht="15.75">
      <c r="A78" s="135" t="str">
        <f>inputPrYr!B39</f>
        <v>Stormwater</v>
      </c>
      <c r="B78" s="103">
        <v>148256</v>
      </c>
      <c r="C78" s="68"/>
      <c r="D78" s="68"/>
      <c r="E78" s="68"/>
    </row>
    <row r="79" spans="1:5" ht="15.75">
      <c r="A79" s="135" t="str">
        <f>inputPrYr!B40</f>
        <v>Wastewater Debt Service Res.</v>
      </c>
      <c r="B79" s="103">
        <v>463565</v>
      </c>
      <c r="C79" s="68"/>
      <c r="D79" s="68"/>
      <c r="E79" s="68"/>
    </row>
    <row r="80" spans="1:5" ht="15.75">
      <c r="A80" s="135" t="str">
        <f>inputPrYr!B41</f>
        <v>Sp. Park Improvement Res.</v>
      </c>
      <c r="B80" s="103">
        <v>61827</v>
      </c>
      <c r="C80" s="68"/>
      <c r="D80" s="68"/>
      <c r="E80" s="68"/>
    </row>
    <row r="81" spans="1:5" ht="15.75">
      <c r="A81" s="135" t="str">
        <f>inputPrYr!B42</f>
        <v>Water/Wastewater Surplus</v>
      </c>
      <c r="B81" s="103">
        <v>145045</v>
      </c>
      <c r="C81" s="68"/>
      <c r="D81" s="68"/>
      <c r="E81" s="68"/>
    </row>
    <row r="82" spans="1:5" ht="15.75">
      <c r="A82" s="135" t="str">
        <f>inputPrYr!B43</f>
        <v>Equipment Reserve</v>
      </c>
      <c r="B82" s="103">
        <v>338192</v>
      </c>
      <c r="C82" s="68"/>
      <c r="D82" s="68"/>
      <c r="E82" s="68"/>
    </row>
    <row r="83" spans="1:5" ht="15.75">
      <c r="A83" s="135" t="str">
        <f>inputPrYr!B44</f>
        <v>Risk Management Reserve</v>
      </c>
      <c r="B83" s="103">
        <v>565169</v>
      </c>
      <c r="C83" s="68"/>
      <c r="D83" s="68"/>
      <c r="E83" s="68"/>
    </row>
    <row r="84" spans="1:5" ht="15.75">
      <c r="A84" s="135" t="str">
        <f>inputPrYr!B45</f>
        <v>Transient Guest Tax</v>
      </c>
      <c r="B84" s="103">
        <v>20000</v>
      </c>
      <c r="C84" s="68"/>
      <c r="D84" s="68"/>
      <c r="E84" s="68"/>
    </row>
    <row r="85" spans="1:5" ht="15.75">
      <c r="A85" s="135" t="str">
        <f>inputPrYr!B46</f>
        <v>Municipal Pool</v>
      </c>
      <c r="B85" s="103">
        <v>100482</v>
      </c>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t="str">
        <f>inputPrYr!B51</f>
        <v>Water/Wastewater</v>
      </c>
      <c r="B89" s="103">
        <v>2682848</v>
      </c>
      <c r="C89" s="68"/>
      <c r="D89" s="68"/>
      <c r="E89" s="68"/>
    </row>
    <row r="90" spans="1:5" ht="15.75">
      <c r="A90" s="135" t="str">
        <f>inputPrYr!B52</f>
        <v>Recreation</v>
      </c>
      <c r="B90" s="103">
        <v>577500</v>
      </c>
      <c r="C90" s="68"/>
      <c r="D90" s="68"/>
      <c r="E90" s="68"/>
    </row>
    <row r="91" spans="1:5" ht="15.75">
      <c r="A91" s="135" t="str">
        <f>inputPrYr!B53</f>
        <v>Capital Improvements</v>
      </c>
      <c r="B91" s="103">
        <v>1030078</v>
      </c>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tabColor indexed="62"/>
    <pageSetUpPr fitToPage="1"/>
  </sheetPr>
  <dimension ref="B1:E53"/>
  <sheetViews>
    <sheetView zoomScalePageLayoutView="0" workbookViewId="0" topLeftCell="A8">
      <selection activeCell="D18" sqref="D18"/>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Haysville</v>
      </c>
      <c r="C1" s="47"/>
      <c r="D1" s="47"/>
      <c r="E1" s="217">
        <f>inputPrYr!$C$5</f>
        <v>2013</v>
      </c>
    </row>
    <row r="2" spans="2:5" ht="15.75">
      <c r="B2" s="47"/>
      <c r="C2" s="47"/>
      <c r="D2" s="47"/>
      <c r="E2" s="169"/>
    </row>
    <row r="3" spans="2:5" ht="15.75">
      <c r="B3" s="247" t="s">
        <v>677</v>
      </c>
      <c r="C3" s="294"/>
      <c r="D3" s="294"/>
      <c r="E3" s="295"/>
    </row>
    <row r="4" spans="2:5" ht="15.75">
      <c r="B4" s="52" t="s">
        <v>609</v>
      </c>
      <c r="C4" s="709" t="s">
        <v>565</v>
      </c>
      <c r="D4" s="710" t="s">
        <v>566</v>
      </c>
      <c r="E4" s="144" t="s">
        <v>567</v>
      </c>
    </row>
    <row r="5" spans="2:5" ht="15.75">
      <c r="B5" s="531" t="str">
        <f>(inputPrYr!B52)</f>
        <v>Recreation</v>
      </c>
      <c r="C5" s="223" t="str">
        <f>CONCATENATE("Actual for ",E1-2,"")</f>
        <v>Actual for 2011</v>
      </c>
      <c r="D5" s="223" t="str">
        <f>CONCATENATE("Estimate for ",E1-1,"")</f>
        <v>Estimate for 2012</v>
      </c>
      <c r="E5" s="208" t="str">
        <f>CONCATENATE("Year for ",E1,"")</f>
        <v>Year for 2013</v>
      </c>
    </row>
    <row r="6" spans="2:5" ht="15.75">
      <c r="B6" s="150" t="s">
        <v>731</v>
      </c>
      <c r="C6" s="67">
        <v>112448</v>
      </c>
      <c r="D6" s="226">
        <f>C48</f>
        <v>115403</v>
      </c>
      <c r="E6" s="226">
        <f>D48</f>
        <v>118328</v>
      </c>
    </row>
    <row r="7" spans="2:5" ht="15.75">
      <c r="B7" s="283" t="s">
        <v>733</v>
      </c>
      <c r="C7" s="87"/>
      <c r="D7" s="87"/>
      <c r="E7" s="87"/>
    </row>
    <row r="8" spans="2:5" ht="15.75">
      <c r="B8" s="271" t="s">
        <v>1127</v>
      </c>
      <c r="C8" s="258">
        <v>78488</v>
      </c>
      <c r="D8" s="258">
        <v>85000</v>
      </c>
      <c r="E8" s="258">
        <v>89245</v>
      </c>
    </row>
    <row r="9" spans="2:5" ht="15.75">
      <c r="B9" s="271" t="s">
        <v>1128</v>
      </c>
      <c r="C9" s="258">
        <v>43113</v>
      </c>
      <c r="D9" s="258">
        <v>49000</v>
      </c>
      <c r="E9" s="258">
        <v>51000</v>
      </c>
    </row>
    <row r="10" spans="2:5" ht="15.75">
      <c r="B10" s="271" t="s">
        <v>328</v>
      </c>
      <c r="C10" s="258">
        <v>4443</v>
      </c>
      <c r="D10" s="258">
        <v>8000</v>
      </c>
      <c r="E10" s="258">
        <v>6500</v>
      </c>
    </row>
    <row r="11" spans="2:5" ht="15.75">
      <c r="B11" s="271" t="s">
        <v>1129</v>
      </c>
      <c r="C11" s="258">
        <v>271029</v>
      </c>
      <c r="D11" s="258">
        <v>280000</v>
      </c>
      <c r="E11" s="258">
        <v>283740</v>
      </c>
    </row>
    <row r="12" spans="2:5" ht="15.75">
      <c r="B12" s="271" t="s">
        <v>1130</v>
      </c>
      <c r="C12" s="258">
        <v>45060</v>
      </c>
      <c r="D12" s="258">
        <v>42484</v>
      </c>
      <c r="E12" s="258">
        <v>55698</v>
      </c>
    </row>
    <row r="13" spans="2:5" ht="15.75">
      <c r="B13" s="271" t="s">
        <v>302</v>
      </c>
      <c r="C13" s="258">
        <v>0</v>
      </c>
      <c r="D13" s="258">
        <v>0</v>
      </c>
      <c r="E13" s="258">
        <v>0</v>
      </c>
    </row>
    <row r="14" spans="2:5" ht="15.75">
      <c r="B14" s="289" t="s">
        <v>276</v>
      </c>
      <c r="C14" s="108">
        <v>73775</v>
      </c>
      <c r="D14" s="108">
        <v>76575</v>
      </c>
      <c r="E14" s="108">
        <v>69175</v>
      </c>
    </row>
    <row r="15" spans="2:5" ht="15.75">
      <c r="B15" s="271"/>
      <c r="C15" s="258"/>
      <c r="D15" s="258"/>
      <c r="E15" s="258"/>
    </row>
    <row r="16" spans="2:5" ht="15.75">
      <c r="B16" s="296" t="s">
        <v>617</v>
      </c>
      <c r="C16" s="258">
        <v>731</v>
      </c>
      <c r="D16" s="258">
        <v>750</v>
      </c>
      <c r="E16" s="258">
        <v>751</v>
      </c>
    </row>
    <row r="17" spans="2:5" ht="15.75">
      <c r="B17" s="159" t="s">
        <v>472</v>
      </c>
      <c r="C17" s="258">
        <v>6638</v>
      </c>
      <c r="D17" s="252">
        <v>6916</v>
      </c>
      <c r="E17" s="252">
        <v>7000</v>
      </c>
    </row>
    <row r="18" spans="2:5" ht="15.75">
      <c r="B18" s="250" t="s">
        <v>373</v>
      </c>
      <c r="C18" s="297">
        <f>IF(C19*0.1&lt;C17,"Exceed 10% Rule","")</f>
      </c>
      <c r="D18" s="261">
        <f>IF(D19*0.1&lt;D17,"Exceed 10% Rule","")</f>
      </c>
      <c r="E18" s="261">
        <f>IF(E19*0.1&lt;E17,"Exceed 10% Rule","")</f>
      </c>
    </row>
    <row r="19" spans="2:5" ht="15.75">
      <c r="B19" s="262" t="s">
        <v>618</v>
      </c>
      <c r="C19" s="265">
        <f>SUM(C8:C17)</f>
        <v>523277</v>
      </c>
      <c r="D19" s="265">
        <f>SUM(D8:D17)</f>
        <v>548725</v>
      </c>
      <c r="E19" s="265">
        <f>SUM(E8:E17)</f>
        <v>563109</v>
      </c>
    </row>
    <row r="20" spans="2:5" ht="15.75">
      <c r="B20" s="262" t="s">
        <v>619</v>
      </c>
      <c r="C20" s="265">
        <f>C6+C19</f>
        <v>635725</v>
      </c>
      <c r="D20" s="265">
        <f>D6+D19</f>
        <v>664128</v>
      </c>
      <c r="E20" s="265">
        <f>E6+E19</f>
        <v>681437</v>
      </c>
    </row>
    <row r="21" spans="2:5" ht="15.75">
      <c r="B21" s="150" t="s">
        <v>621</v>
      </c>
      <c r="C21" s="87"/>
      <c r="D21" s="87"/>
      <c r="E21" s="87"/>
    </row>
    <row r="22" spans="2:5" ht="15.75">
      <c r="B22" s="271" t="s">
        <v>791</v>
      </c>
      <c r="C22" s="258">
        <v>323481</v>
      </c>
      <c r="D22" s="258">
        <v>340000</v>
      </c>
      <c r="E22" s="258">
        <v>361684</v>
      </c>
    </row>
    <row r="23" spans="2:5" ht="15.75">
      <c r="B23" s="271" t="s">
        <v>293</v>
      </c>
      <c r="C23" s="258">
        <v>62749</v>
      </c>
      <c r="D23" s="258">
        <v>64700</v>
      </c>
      <c r="E23" s="258">
        <v>65015</v>
      </c>
    </row>
    <row r="24" spans="2:5" ht="15.75">
      <c r="B24" s="271" t="s">
        <v>1131</v>
      </c>
      <c r="C24" s="108">
        <v>21040</v>
      </c>
      <c r="D24" s="108">
        <v>21325</v>
      </c>
      <c r="E24" s="108">
        <v>21325</v>
      </c>
    </row>
    <row r="25" spans="2:5" ht="15.75">
      <c r="B25" s="271" t="s">
        <v>1129</v>
      </c>
      <c r="C25" s="108">
        <v>21703</v>
      </c>
      <c r="D25" s="108">
        <v>22000</v>
      </c>
      <c r="E25" s="108">
        <v>23300</v>
      </c>
    </row>
    <row r="26" spans="2:5" ht="15.75">
      <c r="B26" s="271" t="s">
        <v>1132</v>
      </c>
      <c r="C26" s="108">
        <v>9735</v>
      </c>
      <c r="D26" s="108">
        <v>13500</v>
      </c>
      <c r="E26" s="108">
        <v>15200</v>
      </c>
    </row>
    <row r="27" spans="2:5" ht="15.75">
      <c r="B27" s="271" t="s">
        <v>1133</v>
      </c>
      <c r="C27" s="108">
        <v>73775</v>
      </c>
      <c r="D27" s="108">
        <v>76575</v>
      </c>
      <c r="E27" s="108">
        <v>69175</v>
      </c>
    </row>
    <row r="28" spans="2:5" ht="15.75">
      <c r="B28" s="271" t="s">
        <v>296</v>
      </c>
      <c r="C28" s="108">
        <v>7000</v>
      </c>
      <c r="D28" s="108">
        <v>7000</v>
      </c>
      <c r="E28" s="108">
        <v>7000</v>
      </c>
    </row>
    <row r="29" spans="2:5" ht="15.75">
      <c r="B29" s="271"/>
      <c r="C29" s="108"/>
      <c r="D29" s="108"/>
      <c r="E29" s="108"/>
    </row>
    <row r="30" spans="2:5" ht="15.75">
      <c r="B30" s="271"/>
      <c r="C30" s="108"/>
      <c r="D30" s="108"/>
      <c r="E30" s="108"/>
    </row>
    <row r="31" spans="2:5" ht="15.75">
      <c r="B31" s="271"/>
      <c r="C31" s="108"/>
      <c r="D31" s="108"/>
      <c r="E31" s="108"/>
    </row>
    <row r="32" spans="2:5" ht="15.75">
      <c r="B32" s="271"/>
      <c r="C32" s="108"/>
      <c r="D32" s="108"/>
      <c r="E32" s="108"/>
    </row>
    <row r="33" spans="2:5" ht="15.75">
      <c r="B33" s="271"/>
      <c r="C33" s="108"/>
      <c r="D33" s="108"/>
      <c r="E33" s="108"/>
    </row>
    <row r="34" spans="2:5" ht="15.75">
      <c r="B34" s="271"/>
      <c r="C34" s="108"/>
      <c r="D34" s="108"/>
      <c r="E34" s="108"/>
    </row>
    <row r="35" spans="2:5" ht="15.75">
      <c r="B35" s="271"/>
      <c r="C35" s="258"/>
      <c r="D35" s="258"/>
      <c r="E35" s="258"/>
    </row>
    <row r="36" spans="2:5" ht="15.75">
      <c r="B36" s="271"/>
      <c r="C36" s="258"/>
      <c r="D36" s="258"/>
      <c r="E36" s="258"/>
    </row>
    <row r="37" spans="2:5" ht="15.75">
      <c r="B37" s="271"/>
      <c r="C37" s="258"/>
      <c r="D37" s="258"/>
      <c r="E37" s="258"/>
    </row>
    <row r="38" spans="2:5" ht="15.75">
      <c r="B38" s="271"/>
      <c r="C38" s="258"/>
      <c r="D38" s="258"/>
      <c r="E38" s="258"/>
    </row>
    <row r="39" spans="2:5" ht="15.75">
      <c r="B39" s="271"/>
      <c r="C39" s="258"/>
      <c r="D39" s="258"/>
      <c r="E39" s="258"/>
    </row>
    <row r="40" spans="2:5" ht="15.75">
      <c r="B40" s="271"/>
      <c r="C40" s="258"/>
      <c r="D40" s="258"/>
      <c r="E40" s="258"/>
    </row>
    <row r="41" spans="2:5" ht="15.75">
      <c r="B41" s="271"/>
      <c r="C41" s="258"/>
      <c r="D41" s="258"/>
      <c r="E41" s="258"/>
    </row>
    <row r="42" spans="2:5" ht="15.75">
      <c r="B42" s="271"/>
      <c r="C42" s="258"/>
      <c r="D42" s="258"/>
      <c r="E42" s="258"/>
    </row>
    <row r="43" spans="2:5" ht="15.75">
      <c r="B43" s="271"/>
      <c r="C43" s="258"/>
      <c r="D43" s="258"/>
      <c r="E43" s="258"/>
    </row>
    <row r="44" spans="2:5" ht="15.75">
      <c r="B44" s="271"/>
      <c r="C44" s="258"/>
      <c r="D44" s="258"/>
      <c r="E44" s="258"/>
    </row>
    <row r="45" spans="2:5" ht="15.75">
      <c r="B45" s="272" t="s">
        <v>472</v>
      </c>
      <c r="C45" s="258">
        <v>839</v>
      </c>
      <c r="D45" s="252">
        <v>700</v>
      </c>
      <c r="E45" s="252">
        <v>550</v>
      </c>
    </row>
    <row r="46" spans="2:5" ht="15.75">
      <c r="B46" s="272" t="s">
        <v>374</v>
      </c>
      <c r="C46" s="297">
        <f>IF(C47*0.1&lt;C45,"Exceed 10% Rule","")</f>
      </c>
      <c r="D46" s="261">
        <f>IF(D47*0.1&lt;D45,"Exceed 10% Rule","")</f>
      </c>
      <c r="E46" s="261">
        <f>IF(E47*0.1&lt;E45,"Exceed 10% Rule","")</f>
      </c>
    </row>
    <row r="47" spans="2:5" ht="15.75">
      <c r="B47" s="262" t="s">
        <v>625</v>
      </c>
      <c r="C47" s="265">
        <f>SUM(C22:C45)</f>
        <v>520322</v>
      </c>
      <c r="D47" s="265">
        <f>SUM(D22:D45)</f>
        <v>545800</v>
      </c>
      <c r="E47" s="265">
        <f>SUM(E22:E45)</f>
        <v>563249</v>
      </c>
    </row>
    <row r="48" spans="2:5" ht="15.75">
      <c r="B48" s="150" t="s">
        <v>732</v>
      </c>
      <c r="C48" s="82">
        <f>C20-C47</f>
        <v>115403</v>
      </c>
      <c r="D48" s="82">
        <f>D20-D47</f>
        <v>118328</v>
      </c>
      <c r="E48" s="82">
        <f>E20-E47</f>
        <v>118188</v>
      </c>
    </row>
    <row r="49" spans="2:5" ht="15.75">
      <c r="B49" s="136" t="str">
        <f>CONCATENATE("",E1-2," Budget Authority Limited Amount:")</f>
        <v>2011 Budget Authority Limited Amount:</v>
      </c>
      <c r="C49" s="239">
        <f>inputOth!B90</f>
        <v>577500</v>
      </c>
      <c r="D49" s="239">
        <f>inputPrYr!D52</f>
        <v>609104</v>
      </c>
      <c r="E49" s="377">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401" t="s">
        <v>628</v>
      </c>
      <c r="C53" s="280">
        <v>19</v>
      </c>
      <c r="D53" s="68"/>
      <c r="E53" s="68"/>
    </row>
  </sheetData>
  <sheetProtection sheet="1"/>
  <conditionalFormatting sqref="E17">
    <cfRule type="cellIs" priority="2" dxfId="311" operator="greaterThan" stopIfTrue="1">
      <formula>$E$19*0.1</formula>
    </cfRule>
  </conditionalFormatting>
  <conditionalFormatting sqref="E45">
    <cfRule type="cellIs" priority="3" dxfId="311" operator="greaterThan" stopIfTrue="1">
      <formula>$E$47*0.1</formula>
    </cfRule>
  </conditionalFormatting>
  <conditionalFormatting sqref="D17">
    <cfRule type="cellIs" priority="4" dxfId="311" operator="greaterThan" stopIfTrue="1">
      <formula>$D$19*0.1</formula>
    </cfRule>
  </conditionalFormatting>
  <conditionalFormatting sqref="D45">
    <cfRule type="cellIs" priority="5" dxfId="311" operator="greaterThan" stopIfTrue="1">
      <formula>$D$47*0.1</formula>
    </cfRule>
  </conditionalFormatting>
  <conditionalFormatting sqref="C17">
    <cfRule type="cellIs" priority="6" dxfId="311" operator="greaterThan" stopIfTrue="1">
      <formula>$C$19*0.1</formula>
    </cfRule>
  </conditionalFormatting>
  <conditionalFormatting sqref="C45">
    <cfRule type="cellIs" priority="7" dxfId="311"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tabColor indexed="62"/>
    <pageSetUpPr fitToPage="1"/>
  </sheetPr>
  <dimension ref="B1:E53"/>
  <sheetViews>
    <sheetView zoomScalePageLayoutView="0" workbookViewId="0" topLeftCell="A1">
      <selection activeCell="D18" sqref="D18"/>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Haysville</v>
      </c>
      <c r="C1" s="47"/>
      <c r="D1" s="47"/>
      <c r="E1" s="217">
        <f>inputPrYr!$C$5</f>
        <v>2013</v>
      </c>
    </row>
    <row r="2" spans="2:5" ht="15.75">
      <c r="B2" s="47"/>
      <c r="C2" s="47"/>
      <c r="D2" s="47"/>
      <c r="E2" s="169"/>
    </row>
    <row r="3" spans="2:5" ht="15.75">
      <c r="B3" s="247" t="s">
        <v>677</v>
      </c>
      <c r="C3" s="294"/>
      <c r="D3" s="294"/>
      <c r="E3" s="295"/>
    </row>
    <row r="4" spans="2:5" ht="15.75">
      <c r="B4" s="52" t="s">
        <v>609</v>
      </c>
      <c r="C4" s="709" t="s">
        <v>565</v>
      </c>
      <c r="D4" s="710" t="s">
        <v>566</v>
      </c>
      <c r="E4" s="144" t="s">
        <v>567</v>
      </c>
    </row>
    <row r="5" spans="2:5" ht="15.75">
      <c r="B5" s="531" t="str">
        <f>(inputPrYr!B53)</f>
        <v>Capital Improvements</v>
      </c>
      <c r="C5" s="223" t="str">
        <f>CONCATENATE("Actual for ",E1-2,"")</f>
        <v>Actual for 2011</v>
      </c>
      <c r="D5" s="223" t="str">
        <f>CONCATENATE("Estimate for ",E1-1,"")</f>
        <v>Estimate for 2012</v>
      </c>
      <c r="E5" s="208" t="str">
        <f>CONCATENATE("Year for ",E1,"")</f>
        <v>Year for 2013</v>
      </c>
    </row>
    <row r="6" spans="2:5" ht="15.75">
      <c r="B6" s="150" t="s">
        <v>731</v>
      </c>
      <c r="C6" s="255">
        <v>516733</v>
      </c>
      <c r="D6" s="253">
        <f>C48</f>
        <v>327962</v>
      </c>
      <c r="E6" s="226">
        <f>D48</f>
        <v>309967</v>
      </c>
    </row>
    <row r="7" spans="2:5" ht="15.75">
      <c r="B7" s="283" t="s">
        <v>733</v>
      </c>
      <c r="C7" s="159"/>
      <c r="D7" s="159"/>
      <c r="E7" s="87"/>
    </row>
    <row r="8" spans="2:5" ht="15.75">
      <c r="B8" s="271" t="s">
        <v>1134</v>
      </c>
      <c r="C8" s="255">
        <v>0</v>
      </c>
      <c r="D8" s="255">
        <v>2500</v>
      </c>
      <c r="E8" s="258">
        <v>2500</v>
      </c>
    </row>
    <row r="9" spans="2:5" ht="15.75">
      <c r="B9" s="271" t="s">
        <v>1135</v>
      </c>
      <c r="C9" s="255">
        <v>684115</v>
      </c>
      <c r="D9" s="255">
        <v>700000</v>
      </c>
      <c r="E9" s="258">
        <v>700000</v>
      </c>
    </row>
    <row r="10" spans="2:5" ht="15.75">
      <c r="B10" s="271" t="s">
        <v>1136</v>
      </c>
      <c r="C10" s="255">
        <v>0</v>
      </c>
      <c r="D10" s="255">
        <v>0</v>
      </c>
      <c r="E10" s="258">
        <v>0</v>
      </c>
    </row>
    <row r="11" spans="2:5" ht="15.75">
      <c r="B11" s="271" t="s">
        <v>283</v>
      </c>
      <c r="C11" s="255">
        <v>0</v>
      </c>
      <c r="D11" s="255">
        <v>0</v>
      </c>
      <c r="E11" s="258">
        <v>0</v>
      </c>
    </row>
    <row r="12" spans="2:5" ht="15.75">
      <c r="B12" s="271" t="s">
        <v>288</v>
      </c>
      <c r="C12" s="255">
        <v>0</v>
      </c>
      <c r="D12" s="255">
        <v>95707</v>
      </c>
      <c r="E12" s="258">
        <v>0</v>
      </c>
    </row>
    <row r="13" spans="2:5" ht="15.75">
      <c r="B13" s="271"/>
      <c r="C13" s="255"/>
      <c r="D13" s="255"/>
      <c r="E13" s="258"/>
    </row>
    <row r="14" spans="2:5" ht="15.75">
      <c r="B14" s="289"/>
      <c r="C14" s="255"/>
      <c r="D14" s="255"/>
      <c r="E14" s="108"/>
    </row>
    <row r="15" spans="2:5" ht="15.75">
      <c r="B15" s="271"/>
      <c r="C15" s="255"/>
      <c r="D15" s="255"/>
      <c r="E15" s="258"/>
    </row>
    <row r="16" spans="2:5" ht="15.75">
      <c r="B16" s="296" t="s">
        <v>617</v>
      </c>
      <c r="C16" s="255">
        <v>2605</v>
      </c>
      <c r="D16" s="255">
        <v>2790</v>
      </c>
      <c r="E16" s="258">
        <v>2500</v>
      </c>
    </row>
    <row r="17" spans="2:5" ht="15.75">
      <c r="B17" s="159" t="s">
        <v>472</v>
      </c>
      <c r="C17" s="255">
        <v>13128</v>
      </c>
      <c r="D17" s="255">
        <v>5400</v>
      </c>
      <c r="E17" s="258">
        <v>3000</v>
      </c>
    </row>
    <row r="18" spans="2:5" ht="15.75">
      <c r="B18" s="250" t="s">
        <v>373</v>
      </c>
      <c r="C18" s="260">
        <f>IF(C19*0.1&lt;C17,"Exceed 10% Rule","")</f>
      </c>
      <c r="D18" s="260">
        <f>IF(D19*0.1&lt;D17,"Exceed 10% Rule","")</f>
      </c>
      <c r="E18" s="297">
        <f>IF(E19*0.1&lt;E17,"Exceed 10% Rule","")</f>
      </c>
    </row>
    <row r="19" spans="2:5" ht="15.75">
      <c r="B19" s="262" t="s">
        <v>618</v>
      </c>
      <c r="C19" s="264">
        <f>SUM(C8:C17)</f>
        <v>699848</v>
      </c>
      <c r="D19" s="264">
        <f>SUM(D8:D17)</f>
        <v>806397</v>
      </c>
      <c r="E19" s="265">
        <f>SUM(E8:E17)</f>
        <v>708000</v>
      </c>
    </row>
    <row r="20" spans="2:5" ht="15.75">
      <c r="B20" s="262" t="s">
        <v>619</v>
      </c>
      <c r="C20" s="264">
        <f>C6+C19</f>
        <v>1216581</v>
      </c>
      <c r="D20" s="264">
        <f>D6+D19</f>
        <v>1134359</v>
      </c>
      <c r="E20" s="265">
        <f>E6+E19</f>
        <v>1017967</v>
      </c>
    </row>
    <row r="21" spans="2:5" ht="15.75">
      <c r="B21" s="150" t="s">
        <v>621</v>
      </c>
      <c r="C21" s="159"/>
      <c r="D21" s="159"/>
      <c r="E21" s="87"/>
    </row>
    <row r="22" spans="2:5" ht="15.75">
      <c r="B22" s="271" t="s">
        <v>1137</v>
      </c>
      <c r="C22" s="255">
        <v>632593</v>
      </c>
      <c r="D22" s="255">
        <v>566108</v>
      </c>
      <c r="E22" s="258">
        <v>765337</v>
      </c>
    </row>
    <row r="23" spans="2:5" ht="15.75">
      <c r="B23" s="271" t="s">
        <v>308</v>
      </c>
      <c r="C23" s="255">
        <v>182251</v>
      </c>
      <c r="D23" s="255">
        <v>181709</v>
      </c>
      <c r="E23" s="258">
        <v>183455</v>
      </c>
    </row>
    <row r="24" spans="2:5" ht="15.75">
      <c r="B24" s="271" t="s">
        <v>1138</v>
      </c>
      <c r="C24" s="255">
        <v>73775</v>
      </c>
      <c r="D24" s="255">
        <v>76575</v>
      </c>
      <c r="E24" s="108">
        <v>69175</v>
      </c>
    </row>
    <row r="25" spans="2:5" ht="15.75">
      <c r="B25" s="271"/>
      <c r="C25" s="255"/>
      <c r="D25" s="255"/>
      <c r="E25" s="108"/>
    </row>
    <row r="26" spans="2:5" ht="15.75">
      <c r="B26" s="271"/>
      <c r="C26" s="255"/>
      <c r="D26" s="255"/>
      <c r="E26" s="108"/>
    </row>
    <row r="27" spans="2:5" ht="15.75">
      <c r="B27" s="271"/>
      <c r="C27" s="255"/>
      <c r="D27" s="255"/>
      <c r="E27" s="108"/>
    </row>
    <row r="28" spans="2:5" ht="15.75">
      <c r="B28" s="271"/>
      <c r="C28" s="255"/>
      <c r="D28" s="255"/>
      <c r="E28" s="108"/>
    </row>
    <row r="29" spans="2:5" ht="15.75">
      <c r="B29" s="271"/>
      <c r="C29" s="255"/>
      <c r="D29" s="255"/>
      <c r="E29" s="108"/>
    </row>
    <row r="30" spans="2:5" ht="15.75">
      <c r="B30" s="271"/>
      <c r="C30" s="255"/>
      <c r="D30" s="255"/>
      <c r="E30" s="108"/>
    </row>
    <row r="31" spans="2:5" ht="15.75">
      <c r="B31" s="271"/>
      <c r="C31" s="255"/>
      <c r="D31" s="255"/>
      <c r="E31" s="108"/>
    </row>
    <row r="32" spans="2:5" ht="15.75">
      <c r="B32" s="271"/>
      <c r="C32" s="255"/>
      <c r="D32" s="255"/>
      <c r="E32" s="108"/>
    </row>
    <row r="33" spans="2:5" ht="15.75">
      <c r="B33" s="271"/>
      <c r="C33" s="255"/>
      <c r="D33" s="255"/>
      <c r="E33" s="108"/>
    </row>
    <row r="34" spans="2:5" ht="15.75">
      <c r="B34" s="271"/>
      <c r="C34" s="255"/>
      <c r="D34" s="255"/>
      <c r="E34" s="108"/>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472</v>
      </c>
      <c r="C45" s="255"/>
      <c r="D45" s="255"/>
      <c r="E45" s="258"/>
    </row>
    <row r="46" spans="2:5" ht="15.75">
      <c r="B46" s="272" t="s">
        <v>374</v>
      </c>
      <c r="C46" s="260">
        <f>IF(C47*0.1&lt;C45,"Exceed 10% Rule","")</f>
      </c>
      <c r="D46" s="260">
        <f>IF(D47*0.1&lt;D45,"Exceed 10% Rule","")</f>
      </c>
      <c r="E46" s="297">
        <f>IF(E47*0.1&lt;E45,"Exceed 10% Rule","")</f>
      </c>
    </row>
    <row r="47" spans="2:5" ht="15.75">
      <c r="B47" s="262" t="s">
        <v>625</v>
      </c>
      <c r="C47" s="264">
        <f>SUM(C22:C45)</f>
        <v>888619</v>
      </c>
      <c r="D47" s="264">
        <f>SUM(D22:D45)</f>
        <v>824392</v>
      </c>
      <c r="E47" s="265">
        <f>SUM(E22:E45)</f>
        <v>1017967</v>
      </c>
    </row>
    <row r="48" spans="2:5" ht="15.75">
      <c r="B48" s="150" t="s">
        <v>732</v>
      </c>
      <c r="C48" s="268">
        <f>C20-C47</f>
        <v>327962</v>
      </c>
      <c r="D48" s="268">
        <f>D20-D47</f>
        <v>309967</v>
      </c>
      <c r="E48" s="82">
        <f>E20-E47</f>
        <v>0</v>
      </c>
    </row>
    <row r="49" spans="2:5" ht="15.75">
      <c r="B49" s="136" t="str">
        <f>CONCATENATE("",E1-2,"/",E1-1," Budget Authority Amount:")</f>
        <v>2011/2012 Budget Authority Amount:</v>
      </c>
      <c r="C49" s="239">
        <f>inputOth!B91</f>
        <v>1030078</v>
      </c>
      <c r="D49" s="239">
        <f>inputPrYr!D53</f>
        <v>1171102</v>
      </c>
      <c r="E49" s="377">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401" t="s">
        <v>628</v>
      </c>
      <c r="C53" s="280">
        <v>20</v>
      </c>
      <c r="D53" s="68"/>
      <c r="E53" s="68"/>
    </row>
  </sheetData>
  <sheetProtection sheet="1"/>
  <conditionalFormatting sqref="E17">
    <cfRule type="cellIs" priority="4" dxfId="311" operator="greaterThan" stopIfTrue="1">
      <formula>$E$19*0.1</formula>
    </cfRule>
  </conditionalFormatting>
  <conditionalFormatting sqref="E45">
    <cfRule type="cellIs" priority="5" dxfId="31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Haysville</v>
      </c>
      <c r="C1" s="47"/>
      <c r="D1" s="47"/>
      <c r="E1" s="217">
        <f>inputPrYr!$C$5</f>
        <v>2013</v>
      </c>
    </row>
    <row r="2" spans="2:5" ht="15.75">
      <c r="B2" s="47"/>
      <c r="C2" s="47"/>
      <c r="D2" s="47"/>
      <c r="E2" s="169"/>
    </row>
    <row r="3" spans="2:5" ht="15.75">
      <c r="B3" s="247" t="s">
        <v>677</v>
      </c>
      <c r="C3" s="294"/>
      <c r="D3" s="294"/>
      <c r="E3" s="295"/>
    </row>
    <row r="4" spans="2:5" ht="15.75">
      <c r="B4" s="52" t="s">
        <v>609</v>
      </c>
      <c r="C4" s="709" t="s">
        <v>565</v>
      </c>
      <c r="D4" s="710" t="s">
        <v>566</v>
      </c>
      <c r="E4" s="144" t="s">
        <v>567</v>
      </c>
    </row>
    <row r="5" spans="2:5" ht="15.75">
      <c r="B5" s="531">
        <f>(inputPrYr!B54)</f>
        <v>0</v>
      </c>
      <c r="C5" s="223" t="str">
        <f>CONCATENATE("Actual for ",E1-2,"")</f>
        <v>Actual for 2011</v>
      </c>
      <c r="D5" s="223" t="str">
        <f>CONCATENATE("Estimate for ",E1-1,"")</f>
        <v>Estimate for 2012</v>
      </c>
      <c r="E5" s="208" t="str">
        <f>CONCATENATE("Year for ",E1,"")</f>
        <v>Year for 2013</v>
      </c>
    </row>
    <row r="6" spans="2:5" ht="15.75">
      <c r="B6" s="150" t="s">
        <v>731</v>
      </c>
      <c r="C6" s="255"/>
      <c r="D6" s="253">
        <f>C48</f>
        <v>0</v>
      </c>
      <c r="E6" s="226">
        <f>D48</f>
        <v>0</v>
      </c>
    </row>
    <row r="7" spans="2:5" ht="15.75">
      <c r="B7" s="283" t="s">
        <v>733</v>
      </c>
      <c r="C7" s="159"/>
      <c r="D7" s="159"/>
      <c r="E7" s="87"/>
    </row>
    <row r="8" spans="2:5" ht="15.75">
      <c r="B8" s="271"/>
      <c r="C8" s="255"/>
      <c r="D8" s="255"/>
      <c r="E8" s="258"/>
    </row>
    <row r="9" spans="2:5" ht="15.75">
      <c r="B9" s="271"/>
      <c r="C9" s="255"/>
      <c r="D9" s="255"/>
      <c r="E9" s="258"/>
    </row>
    <row r="10" spans="2:5" ht="15.75">
      <c r="B10" s="271"/>
      <c r="C10" s="255"/>
      <c r="D10" s="255"/>
      <c r="E10" s="258"/>
    </row>
    <row r="11" spans="2:5" ht="15.75">
      <c r="B11" s="271"/>
      <c r="C11" s="255"/>
      <c r="D11" s="255"/>
      <c r="E11" s="258"/>
    </row>
    <row r="12" spans="2:5" ht="15.75">
      <c r="B12" s="271"/>
      <c r="C12" s="255"/>
      <c r="D12" s="255"/>
      <c r="E12" s="258"/>
    </row>
    <row r="13" spans="2:5" ht="15.75">
      <c r="B13" s="271"/>
      <c r="C13" s="255"/>
      <c r="D13" s="255"/>
      <c r="E13" s="258"/>
    </row>
    <row r="14" spans="2:5" ht="15.75">
      <c r="B14" s="289"/>
      <c r="C14" s="255"/>
      <c r="D14" s="255"/>
      <c r="E14" s="108"/>
    </row>
    <row r="15" spans="2:5" ht="15.75">
      <c r="B15" s="271"/>
      <c r="C15" s="255"/>
      <c r="D15" s="255"/>
      <c r="E15" s="258"/>
    </row>
    <row r="16" spans="2:5" ht="15.75">
      <c r="B16" s="296" t="s">
        <v>617</v>
      </c>
      <c r="C16" s="255"/>
      <c r="D16" s="255"/>
      <c r="E16" s="258"/>
    </row>
    <row r="17" spans="2:5" ht="15.75">
      <c r="B17" s="159" t="s">
        <v>472</v>
      </c>
      <c r="C17" s="255"/>
      <c r="D17" s="255"/>
      <c r="E17" s="258"/>
    </row>
    <row r="18" spans="2:5" ht="15.75">
      <c r="B18" s="250" t="s">
        <v>373</v>
      </c>
      <c r="C18" s="260">
        <f>IF(C19*0.1&lt;C17,"Exceed 10% Rule","")</f>
      </c>
      <c r="D18" s="260">
        <f>IF(D19*0.1&lt;D17,"Exceed 10% Rule","")</f>
      </c>
      <c r="E18" s="297">
        <f>IF(E19*0.1&lt;E17,"Exceed 10% Rule","")</f>
      </c>
    </row>
    <row r="19" spans="2:5" ht="15.75">
      <c r="B19" s="262" t="s">
        <v>618</v>
      </c>
      <c r="C19" s="264">
        <f>SUM(C8:C17)</f>
        <v>0</v>
      </c>
      <c r="D19" s="264">
        <f>SUM(D8:D17)</f>
        <v>0</v>
      </c>
      <c r="E19" s="265">
        <f>SUM(E8:E17)</f>
        <v>0</v>
      </c>
    </row>
    <row r="20" spans="2:5" ht="15.75">
      <c r="B20" s="262" t="s">
        <v>619</v>
      </c>
      <c r="C20" s="264">
        <f>C6+C19</f>
        <v>0</v>
      </c>
      <c r="D20" s="264">
        <f>D6+D19</f>
        <v>0</v>
      </c>
      <c r="E20" s="265">
        <f>E6+E19</f>
        <v>0</v>
      </c>
    </row>
    <row r="21" spans="2:5" ht="15.75">
      <c r="B21" s="150" t="s">
        <v>621</v>
      </c>
      <c r="C21" s="159"/>
      <c r="D21" s="159"/>
      <c r="E21" s="87"/>
    </row>
    <row r="22" spans="2:5" ht="15.75">
      <c r="B22" s="271" t="s">
        <v>791</v>
      </c>
      <c r="C22" s="255"/>
      <c r="D22" s="255"/>
      <c r="E22" s="258"/>
    </row>
    <row r="23" spans="2:5" ht="15.75">
      <c r="B23" s="271" t="s">
        <v>482</v>
      </c>
      <c r="C23" s="255"/>
      <c r="D23" s="255"/>
      <c r="E23" s="258"/>
    </row>
    <row r="24" spans="2:5" ht="15.75">
      <c r="B24" s="271"/>
      <c r="C24" s="255"/>
      <c r="D24" s="255"/>
      <c r="E24" s="108"/>
    </row>
    <row r="25" spans="2:5" ht="15.75">
      <c r="B25" s="271"/>
      <c r="C25" s="255"/>
      <c r="D25" s="255"/>
      <c r="E25" s="108"/>
    </row>
    <row r="26" spans="2:5" ht="15.75">
      <c r="B26" s="271"/>
      <c r="C26" s="255"/>
      <c r="D26" s="255"/>
      <c r="E26" s="108"/>
    </row>
    <row r="27" spans="2:5" ht="15.75">
      <c r="B27" s="271"/>
      <c r="C27" s="255"/>
      <c r="D27" s="255"/>
      <c r="E27" s="108"/>
    </row>
    <row r="28" spans="2:5" ht="15.75">
      <c r="B28" s="271"/>
      <c r="C28" s="255"/>
      <c r="D28" s="255"/>
      <c r="E28" s="108"/>
    </row>
    <row r="29" spans="2:5" ht="15.75">
      <c r="B29" s="271"/>
      <c r="C29" s="255"/>
      <c r="D29" s="255"/>
      <c r="E29" s="108"/>
    </row>
    <row r="30" spans="2:5" ht="15.75">
      <c r="B30" s="271"/>
      <c r="C30" s="255"/>
      <c r="D30" s="255"/>
      <c r="E30" s="108"/>
    </row>
    <row r="31" spans="2:5" ht="15.75">
      <c r="B31" s="271"/>
      <c r="C31" s="255"/>
      <c r="D31" s="255"/>
      <c r="E31" s="108"/>
    </row>
    <row r="32" spans="2:5" ht="15.75">
      <c r="B32" s="271"/>
      <c r="C32" s="255"/>
      <c r="D32" s="255"/>
      <c r="E32" s="108"/>
    </row>
    <row r="33" spans="2:5" ht="15.75">
      <c r="B33" s="271"/>
      <c r="C33" s="255"/>
      <c r="D33" s="255"/>
      <c r="E33" s="108"/>
    </row>
    <row r="34" spans="2:5" ht="15.75">
      <c r="B34" s="271"/>
      <c r="C34" s="255"/>
      <c r="D34" s="255"/>
      <c r="E34" s="108"/>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472</v>
      </c>
      <c r="C45" s="255"/>
      <c r="D45" s="255"/>
      <c r="E45" s="258"/>
    </row>
    <row r="46" spans="2:5" ht="15.75">
      <c r="B46" s="272" t="s">
        <v>374</v>
      </c>
      <c r="C46" s="260">
        <f>IF(C47*0.1&lt;C45,"Exceed 10% Rule","")</f>
      </c>
      <c r="D46" s="260">
        <f>IF(D47*0.1&lt;D45,"Exceed 10% Rule","")</f>
      </c>
      <c r="E46" s="297">
        <f>IF(E47*0.1&lt;E45,"Exceed 10% Rule","")</f>
      </c>
    </row>
    <row r="47" spans="2:5" ht="15.75">
      <c r="B47" s="262" t="s">
        <v>625</v>
      </c>
      <c r="C47" s="264">
        <f>SUM(C22:C45)</f>
        <v>0</v>
      </c>
      <c r="D47" s="264">
        <f>SUM(D22:D45)</f>
        <v>0</v>
      </c>
      <c r="E47" s="265">
        <f>SUM(E22:E45)</f>
        <v>0</v>
      </c>
    </row>
    <row r="48" spans="2:5" ht="15.75">
      <c r="B48" s="150" t="s">
        <v>732</v>
      </c>
      <c r="C48" s="268">
        <f>C20-C47</f>
        <v>0</v>
      </c>
      <c r="D48" s="268">
        <f>D20-D47</f>
        <v>0</v>
      </c>
      <c r="E48" s="82">
        <f>E20-E47</f>
        <v>0</v>
      </c>
    </row>
    <row r="49" spans="2:5" ht="15.75">
      <c r="B49" s="136" t="str">
        <f>CONCATENATE("",E1-2,"/",E1-1," Budget Authority Amount:")</f>
        <v>2011/2012 Budget Authority Amount:</v>
      </c>
      <c r="C49" s="239">
        <f>inputOth!B92</f>
        <v>0</v>
      </c>
      <c r="D49" s="239">
        <f>inputPrYr!D54</f>
        <v>0</v>
      </c>
      <c r="E49" s="377">
        <f>IF(E48&lt;0,"See Tab E","")</f>
      </c>
    </row>
    <row r="50" spans="2:5" ht="15.75">
      <c r="B50" s="136"/>
      <c r="C50" s="275">
        <f>IF(C47&gt;C49,"See Tab A","")</f>
      </c>
      <c r="D50" s="275">
        <f>IF(D47&gt;D49,"See Tab C","")</f>
      </c>
      <c r="E50" s="68"/>
    </row>
    <row r="51" spans="2:5" ht="15.75">
      <c r="B51" s="136"/>
      <c r="C51" s="275">
        <f>IF(C48&lt;0,"See Tab B","")</f>
      </c>
      <c r="D51" s="275">
        <f>IF(D48&lt;0,"See Tab D","")</f>
      </c>
      <c r="E51" s="68"/>
    </row>
    <row r="52" spans="2:5" ht="15">
      <c r="B52" s="68"/>
      <c r="C52" s="68"/>
      <c r="D52" s="68"/>
      <c r="E52" s="68"/>
    </row>
    <row r="53" spans="2:5" ht="15.75">
      <c r="B53" s="401" t="s">
        <v>628</v>
      </c>
      <c r="C53" s="280"/>
      <c r="D53" s="68"/>
      <c r="E53" s="68"/>
    </row>
  </sheetData>
  <sheetProtection sheet="1"/>
  <conditionalFormatting sqref="E17">
    <cfRule type="cellIs" priority="4" dxfId="311" operator="greaterThan" stopIfTrue="1">
      <formula>$E$19*0.1</formula>
    </cfRule>
  </conditionalFormatting>
  <conditionalFormatting sqref="E45">
    <cfRule type="cellIs" priority="5" dxfId="311"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7" sqref="J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Haysville</v>
      </c>
      <c r="B1" s="298"/>
      <c r="C1" s="173"/>
      <c r="D1" s="173"/>
      <c r="E1" s="173"/>
      <c r="F1" s="175" t="s">
        <v>755</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814</v>
      </c>
      <c r="B3" s="173"/>
      <c r="C3" s="173"/>
      <c r="D3" s="173"/>
      <c r="E3" s="173"/>
      <c r="F3" s="300"/>
      <c r="G3" s="173"/>
      <c r="H3" s="173"/>
      <c r="I3" s="173"/>
      <c r="J3" s="173"/>
      <c r="K3" s="173"/>
    </row>
    <row r="4" spans="1:11" ht="15.75">
      <c r="A4" s="173" t="s">
        <v>756</v>
      </c>
      <c r="B4" s="173"/>
      <c r="C4" s="173" t="s">
        <v>757</v>
      </c>
      <c r="D4" s="173"/>
      <c r="E4" s="173" t="s">
        <v>758</v>
      </c>
      <c r="F4" s="298"/>
      <c r="G4" s="173" t="s">
        <v>770</v>
      </c>
      <c r="H4" s="173"/>
      <c r="I4" s="173" t="s">
        <v>771</v>
      </c>
      <c r="J4" s="173"/>
      <c r="K4" s="173"/>
    </row>
    <row r="5" spans="1:11" ht="15.75">
      <c r="A5" s="811" t="str">
        <f>IF(inputPrYr!B57&gt;" ",(inputPrYr!B57)," ")</f>
        <v> </v>
      </c>
      <c r="B5" s="812"/>
      <c r="C5" s="811" t="str">
        <f>IF(inputPrYr!B58&gt;" ",(inputPrYr!B58)," ")</f>
        <v> </v>
      </c>
      <c r="D5" s="812"/>
      <c r="E5" s="811" t="str">
        <f>IF(inputPrYr!B59&gt;" ",(inputPrYr!B59)," ")</f>
        <v> </v>
      </c>
      <c r="F5" s="812"/>
      <c r="G5" s="811" t="str">
        <f>IF(inputPrYr!B60&gt;" ",(inputPrYr!B60)," ")</f>
        <v> </v>
      </c>
      <c r="H5" s="812"/>
      <c r="I5" s="811" t="str">
        <f>IF(inputPrYr!B61&gt;" ",(inputPrYr!B61)," ")</f>
        <v> </v>
      </c>
      <c r="J5" s="812"/>
      <c r="K5" s="124"/>
    </row>
    <row r="6" spans="1:11" ht="15.75">
      <c r="A6" s="302" t="s">
        <v>772</v>
      </c>
      <c r="B6" s="303"/>
      <c r="C6" s="304" t="s">
        <v>772</v>
      </c>
      <c r="D6" s="305"/>
      <c r="E6" s="304" t="s">
        <v>772</v>
      </c>
      <c r="F6" s="301"/>
      <c r="G6" s="304" t="s">
        <v>772</v>
      </c>
      <c r="H6" s="306"/>
      <c r="I6" s="304" t="s">
        <v>772</v>
      </c>
      <c r="J6" s="173"/>
      <c r="K6" s="307" t="s">
        <v>581</v>
      </c>
    </row>
    <row r="7" spans="1:11" ht="15.75">
      <c r="A7" s="308" t="s">
        <v>479</v>
      </c>
      <c r="B7" s="309"/>
      <c r="C7" s="310" t="s">
        <v>479</v>
      </c>
      <c r="D7" s="309"/>
      <c r="E7" s="310" t="s">
        <v>479</v>
      </c>
      <c r="F7" s="309"/>
      <c r="G7" s="310" t="s">
        <v>479</v>
      </c>
      <c r="H7" s="309"/>
      <c r="I7" s="310" t="s">
        <v>479</v>
      </c>
      <c r="J7" s="309"/>
      <c r="K7" s="311">
        <f>SUM(B7+D7+F7+H7+J7)</f>
        <v>0</v>
      </c>
    </row>
    <row r="8" spans="1:11" ht="15.75">
      <c r="A8" s="312" t="s">
        <v>733</v>
      </c>
      <c r="B8" s="313"/>
      <c r="C8" s="312" t="s">
        <v>733</v>
      </c>
      <c r="D8" s="314"/>
      <c r="E8" s="312" t="s">
        <v>733</v>
      </c>
      <c r="F8" s="298"/>
      <c r="G8" s="312" t="s">
        <v>733</v>
      </c>
      <c r="H8" s="173"/>
      <c r="I8" s="312" t="s">
        <v>733</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618</v>
      </c>
      <c r="B17" s="311">
        <f>SUM(B9:B16)</f>
        <v>0</v>
      </c>
      <c r="C17" s="312" t="s">
        <v>618</v>
      </c>
      <c r="D17" s="311">
        <f>SUM(D9:D16)</f>
        <v>0</v>
      </c>
      <c r="E17" s="312" t="s">
        <v>618</v>
      </c>
      <c r="F17" s="375">
        <f>SUM(F9:F16)</f>
        <v>0</v>
      </c>
      <c r="G17" s="312" t="s">
        <v>618</v>
      </c>
      <c r="H17" s="311">
        <f>SUM(H9:H16)</f>
        <v>0</v>
      </c>
      <c r="I17" s="312" t="s">
        <v>618</v>
      </c>
      <c r="J17" s="311">
        <f>SUM(J9:J16)</f>
        <v>0</v>
      </c>
      <c r="K17" s="311">
        <f>SUM(B17+D17+F17+H17+J17)</f>
        <v>0</v>
      </c>
    </row>
    <row r="18" spans="1:11" ht="15.75">
      <c r="A18" s="312" t="s">
        <v>619</v>
      </c>
      <c r="B18" s="311">
        <f>SUM(B7+B17)</f>
        <v>0</v>
      </c>
      <c r="C18" s="312" t="s">
        <v>619</v>
      </c>
      <c r="D18" s="311">
        <f>SUM(D7+D17)</f>
        <v>0</v>
      </c>
      <c r="E18" s="312" t="s">
        <v>619</v>
      </c>
      <c r="F18" s="311">
        <f>SUM(F7+F17)</f>
        <v>0</v>
      </c>
      <c r="G18" s="312" t="s">
        <v>619</v>
      </c>
      <c r="H18" s="311">
        <f>SUM(H7+H17)</f>
        <v>0</v>
      </c>
      <c r="I18" s="312" t="s">
        <v>619</v>
      </c>
      <c r="J18" s="311">
        <f>SUM(J7+J17)</f>
        <v>0</v>
      </c>
      <c r="K18" s="311">
        <f>SUM(B18+D18+F18+H18+J18)</f>
        <v>0</v>
      </c>
    </row>
    <row r="19" spans="1:11" ht="15.75">
      <c r="A19" s="312" t="s">
        <v>621</v>
      </c>
      <c r="B19" s="313"/>
      <c r="C19" s="312" t="s">
        <v>621</v>
      </c>
      <c r="D19" s="314"/>
      <c r="E19" s="312" t="s">
        <v>621</v>
      </c>
      <c r="F19" s="298"/>
      <c r="G19" s="312" t="s">
        <v>621</v>
      </c>
      <c r="H19" s="173"/>
      <c r="I19" s="312" t="s">
        <v>621</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625</v>
      </c>
      <c r="B28" s="311">
        <f>SUM(B20:B27)</f>
        <v>0</v>
      </c>
      <c r="C28" s="312" t="s">
        <v>625</v>
      </c>
      <c r="D28" s="311">
        <f>SUM(D20:D27)</f>
        <v>0</v>
      </c>
      <c r="E28" s="312" t="s">
        <v>625</v>
      </c>
      <c r="F28" s="375">
        <f>SUM(F20:F27)</f>
        <v>0</v>
      </c>
      <c r="G28" s="312" t="s">
        <v>625</v>
      </c>
      <c r="H28" s="375">
        <f>SUM(H20:H27)</f>
        <v>0</v>
      </c>
      <c r="I28" s="312" t="s">
        <v>625</v>
      </c>
      <c r="J28" s="311">
        <f>SUM(J20:J27)</f>
        <v>0</v>
      </c>
      <c r="K28" s="311">
        <f>SUM(B28+D28+F28+H28+J28)</f>
        <v>0</v>
      </c>
    </row>
    <row r="29" spans="1:12" ht="15.75">
      <c r="A29" s="312" t="s">
        <v>773</v>
      </c>
      <c r="B29" s="311">
        <f>SUM(B18-B28)</f>
        <v>0</v>
      </c>
      <c r="C29" s="312" t="s">
        <v>773</v>
      </c>
      <c r="D29" s="311">
        <f>SUM(D18-D28)</f>
        <v>0</v>
      </c>
      <c r="E29" s="312" t="s">
        <v>773</v>
      </c>
      <c r="F29" s="311">
        <f>SUM(F18-F28)</f>
        <v>0</v>
      </c>
      <c r="G29" s="312" t="s">
        <v>773</v>
      </c>
      <c r="H29" s="311">
        <f>SUM(H18-H28)</f>
        <v>0</v>
      </c>
      <c r="I29" s="312" t="s">
        <v>773</v>
      </c>
      <c r="J29" s="311">
        <f>SUM(J18-J28)</f>
        <v>0</v>
      </c>
      <c r="K29" s="321">
        <f>SUM(B29+D29+F29+H29+J29)</f>
        <v>0</v>
      </c>
      <c r="L29" s="32" t="s">
        <v>851</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851</v>
      </c>
    </row>
    <row r="31" spans="1:11" ht="15.75">
      <c r="A31" s="173"/>
      <c r="B31" s="178"/>
      <c r="C31" s="173"/>
      <c r="D31" s="298"/>
      <c r="E31" s="173"/>
      <c r="F31" s="173"/>
      <c r="G31" s="43" t="s">
        <v>861</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628</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Haysville</v>
      </c>
      <c r="B1" s="298"/>
      <c r="C1" s="173"/>
      <c r="D1" s="173"/>
      <c r="E1" s="173"/>
      <c r="F1" s="175" t="s">
        <v>774</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813</v>
      </c>
      <c r="B3" s="173"/>
      <c r="C3" s="173"/>
      <c r="D3" s="173"/>
      <c r="E3" s="173"/>
      <c r="F3" s="298"/>
      <c r="G3" s="173"/>
      <c r="H3" s="173"/>
      <c r="I3" s="173"/>
      <c r="J3" s="173"/>
      <c r="K3" s="173"/>
    </row>
    <row r="4" spans="1:11" ht="15.75">
      <c r="A4" s="173" t="s">
        <v>756</v>
      </c>
      <c r="B4" s="173"/>
      <c r="C4" s="173" t="s">
        <v>757</v>
      </c>
      <c r="D4" s="173"/>
      <c r="E4" s="173" t="s">
        <v>758</v>
      </c>
      <c r="F4" s="298"/>
      <c r="G4" s="173" t="s">
        <v>770</v>
      </c>
      <c r="H4" s="173"/>
      <c r="I4" s="173" t="s">
        <v>771</v>
      </c>
      <c r="J4" s="173"/>
      <c r="K4" s="173"/>
    </row>
    <row r="5" spans="1:11" ht="15.75">
      <c r="A5" s="811" t="str">
        <f>IF(inputPrYr!B63&gt;" ",(inputPrYr!B63)," ")</f>
        <v> </v>
      </c>
      <c r="B5" s="812"/>
      <c r="C5" s="811" t="str">
        <f>IF(inputPrYr!B64&gt;" ",(inputPrYr!B64)," ")</f>
        <v> </v>
      </c>
      <c r="D5" s="812"/>
      <c r="E5" s="811" t="str">
        <f>IF(inputPrYr!B65&gt;" ",(inputPrYr!B65)," ")</f>
        <v> </v>
      </c>
      <c r="F5" s="812"/>
      <c r="G5" s="811" t="str">
        <f>IF(inputPrYr!B66&gt;" ",(inputPrYr!B66)," ")</f>
        <v> </v>
      </c>
      <c r="H5" s="812"/>
      <c r="I5" s="811" t="str">
        <f>IF(inputPrYr!B67&gt;" ",(inputPrYr!B67)," ")</f>
        <v> </v>
      </c>
      <c r="J5" s="812"/>
      <c r="K5" s="124"/>
    </row>
    <row r="6" spans="1:11" ht="15.75">
      <c r="A6" s="302" t="s">
        <v>772</v>
      </c>
      <c r="B6" s="303"/>
      <c r="C6" s="304" t="s">
        <v>772</v>
      </c>
      <c r="D6" s="305"/>
      <c r="E6" s="304" t="s">
        <v>772</v>
      </c>
      <c r="F6" s="301"/>
      <c r="G6" s="304" t="s">
        <v>772</v>
      </c>
      <c r="H6" s="306"/>
      <c r="I6" s="304" t="s">
        <v>772</v>
      </c>
      <c r="J6" s="173"/>
      <c r="K6" s="307" t="s">
        <v>581</v>
      </c>
    </row>
    <row r="7" spans="1:11" ht="15.75">
      <c r="A7" s="308" t="s">
        <v>479</v>
      </c>
      <c r="B7" s="309"/>
      <c r="C7" s="310" t="s">
        <v>479</v>
      </c>
      <c r="D7" s="309"/>
      <c r="E7" s="310" t="s">
        <v>479</v>
      </c>
      <c r="F7" s="309"/>
      <c r="G7" s="310" t="s">
        <v>479</v>
      </c>
      <c r="H7" s="309"/>
      <c r="I7" s="310" t="s">
        <v>479</v>
      </c>
      <c r="J7" s="309"/>
      <c r="K7" s="311">
        <f>SUM(B7+D7+F7+H7+J7)</f>
        <v>0</v>
      </c>
    </row>
    <row r="8" spans="1:11" ht="15.75">
      <c r="A8" s="312" t="s">
        <v>733</v>
      </c>
      <c r="B8" s="313"/>
      <c r="C8" s="312" t="s">
        <v>733</v>
      </c>
      <c r="D8" s="314"/>
      <c r="E8" s="312" t="s">
        <v>733</v>
      </c>
      <c r="F8" s="298"/>
      <c r="G8" s="312" t="s">
        <v>733</v>
      </c>
      <c r="H8" s="173"/>
      <c r="I8" s="312" t="s">
        <v>733</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618</v>
      </c>
      <c r="B17" s="311">
        <f>SUM(B9:B16)</f>
        <v>0</v>
      </c>
      <c r="C17" s="312" t="s">
        <v>618</v>
      </c>
      <c r="D17" s="311">
        <f>SUM(D9:D16)</f>
        <v>0</v>
      </c>
      <c r="E17" s="312" t="s">
        <v>618</v>
      </c>
      <c r="F17" s="375">
        <f>SUM(F9:F16)</f>
        <v>0</v>
      </c>
      <c r="G17" s="312" t="s">
        <v>618</v>
      </c>
      <c r="H17" s="311">
        <f>SUM(H9:H16)</f>
        <v>0</v>
      </c>
      <c r="I17" s="312" t="s">
        <v>618</v>
      </c>
      <c r="J17" s="311">
        <f>SUM(J9:J16)</f>
        <v>0</v>
      </c>
      <c r="K17" s="311">
        <f>SUM(B17+D17+F17+H17+J17)</f>
        <v>0</v>
      </c>
    </row>
    <row r="18" spans="1:11" ht="15.75">
      <c r="A18" s="312" t="s">
        <v>619</v>
      </c>
      <c r="B18" s="311">
        <f>SUM(B7+B17)</f>
        <v>0</v>
      </c>
      <c r="C18" s="312" t="s">
        <v>619</v>
      </c>
      <c r="D18" s="311">
        <f>SUM(D7+D17)</f>
        <v>0</v>
      </c>
      <c r="E18" s="312" t="s">
        <v>619</v>
      </c>
      <c r="F18" s="311">
        <f>SUM(F7+F17)</f>
        <v>0</v>
      </c>
      <c r="G18" s="312" t="s">
        <v>619</v>
      </c>
      <c r="H18" s="311">
        <f>SUM(H7+H17)</f>
        <v>0</v>
      </c>
      <c r="I18" s="312" t="s">
        <v>619</v>
      </c>
      <c r="J18" s="311">
        <f>SUM(J7+J17)</f>
        <v>0</v>
      </c>
      <c r="K18" s="311">
        <f>SUM(B18+D18+F18+H18+J18)</f>
        <v>0</v>
      </c>
    </row>
    <row r="19" spans="1:11" ht="15.75">
      <c r="A19" s="312" t="s">
        <v>621</v>
      </c>
      <c r="B19" s="313"/>
      <c r="C19" s="312" t="s">
        <v>621</v>
      </c>
      <c r="D19" s="314"/>
      <c r="E19" s="312" t="s">
        <v>621</v>
      </c>
      <c r="F19" s="298"/>
      <c r="G19" s="312" t="s">
        <v>621</v>
      </c>
      <c r="H19" s="173"/>
      <c r="I19" s="312" t="s">
        <v>621</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625</v>
      </c>
      <c r="B28" s="311">
        <f>SUM(B20:B27)</f>
        <v>0</v>
      </c>
      <c r="C28" s="312" t="s">
        <v>625</v>
      </c>
      <c r="D28" s="311">
        <f>SUM(D20:D27)</f>
        <v>0</v>
      </c>
      <c r="E28" s="312" t="s">
        <v>625</v>
      </c>
      <c r="F28" s="375">
        <f>SUM(F20:F27)</f>
        <v>0</v>
      </c>
      <c r="G28" s="312" t="s">
        <v>625</v>
      </c>
      <c r="H28" s="375">
        <f>SUM(H20:H27)</f>
        <v>0</v>
      </c>
      <c r="I28" s="312" t="s">
        <v>625</v>
      </c>
      <c r="J28" s="311">
        <f>SUM(J20:J27)</f>
        <v>0</v>
      </c>
      <c r="K28" s="311">
        <f>SUM(B28+D28+F28+H28+J28)</f>
        <v>0</v>
      </c>
    </row>
    <row r="29" spans="1:12" ht="15.75">
      <c r="A29" s="312" t="s">
        <v>773</v>
      </c>
      <c r="B29" s="311">
        <f>SUM(B18-B28)</f>
        <v>0</v>
      </c>
      <c r="C29" s="312" t="s">
        <v>773</v>
      </c>
      <c r="D29" s="311">
        <f>SUM(D18-D28)</f>
        <v>0</v>
      </c>
      <c r="E29" s="312" t="s">
        <v>773</v>
      </c>
      <c r="F29" s="311">
        <f>SUM(F18-F28)</f>
        <v>0</v>
      </c>
      <c r="G29" s="312" t="s">
        <v>773</v>
      </c>
      <c r="H29" s="311">
        <f>SUM(H18-H28)</f>
        <v>0</v>
      </c>
      <c r="I29" s="312" t="s">
        <v>773</v>
      </c>
      <c r="J29" s="311">
        <f>SUM(J18-J28)</f>
        <v>0</v>
      </c>
      <c r="K29" s="321">
        <f>SUM(B29+D29+F29+H29+J29)</f>
        <v>0</v>
      </c>
      <c r="L29" s="32" t="s">
        <v>851</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851</v>
      </c>
    </row>
    <row r="31" spans="1:11" ht="15.75">
      <c r="A31" s="173"/>
      <c r="B31" s="178"/>
      <c r="C31" s="173"/>
      <c r="D31" s="298"/>
      <c r="E31" s="173"/>
      <c r="F31" s="173"/>
      <c r="G31" s="43" t="s">
        <v>861</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628</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Haysville</v>
      </c>
      <c r="B1" s="298"/>
      <c r="C1" s="173"/>
      <c r="D1" s="173"/>
      <c r="E1" s="173"/>
      <c r="F1" s="175" t="s">
        <v>775</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811</v>
      </c>
      <c r="B3" s="173"/>
      <c r="C3" s="173"/>
      <c r="D3" s="173"/>
      <c r="E3" s="173"/>
      <c r="F3" s="298"/>
      <c r="G3" s="173"/>
      <c r="H3" s="173"/>
      <c r="I3" s="173"/>
      <c r="J3" s="173"/>
      <c r="K3" s="173"/>
    </row>
    <row r="4" spans="1:11" ht="15.75">
      <c r="A4" s="173" t="s">
        <v>756</v>
      </c>
      <c r="B4" s="173"/>
      <c r="C4" s="173" t="s">
        <v>757</v>
      </c>
      <c r="D4" s="173"/>
      <c r="E4" s="173" t="s">
        <v>758</v>
      </c>
      <c r="F4" s="298"/>
      <c r="G4" s="173" t="s">
        <v>770</v>
      </c>
      <c r="H4" s="173"/>
      <c r="I4" s="173" t="s">
        <v>771</v>
      </c>
      <c r="J4" s="173"/>
      <c r="K4" s="173"/>
    </row>
    <row r="5" spans="1:11" ht="15.75">
      <c r="A5" s="811" t="str">
        <f>IF(inputPrYr!B69&gt;" ",(inputPrYr!B69)," ")</f>
        <v> </v>
      </c>
      <c r="B5" s="812"/>
      <c r="C5" s="811" t="str">
        <f>IF(inputPrYr!B70&gt;" ",(inputPrYr!B70)," ")</f>
        <v> </v>
      </c>
      <c r="D5" s="812"/>
      <c r="E5" s="811" t="str">
        <f>IF(inputPrYr!B71&gt;" ",(inputPrYr!B71)," ")</f>
        <v> </v>
      </c>
      <c r="F5" s="812"/>
      <c r="G5" s="811" t="str">
        <f>IF(inputPrYr!B72&gt;" ",(inputPrYr!B72)," ")</f>
        <v> </v>
      </c>
      <c r="H5" s="812"/>
      <c r="I5" s="811" t="str">
        <f>IF(inputPrYr!B73&gt;" ",(inputPrYr!B73)," ")</f>
        <v> </v>
      </c>
      <c r="J5" s="812"/>
      <c r="K5" s="124"/>
    </row>
    <row r="6" spans="1:11" ht="15.75">
      <c r="A6" s="302" t="s">
        <v>772</v>
      </c>
      <c r="B6" s="303"/>
      <c r="C6" s="304" t="s">
        <v>772</v>
      </c>
      <c r="D6" s="305"/>
      <c r="E6" s="304" t="s">
        <v>772</v>
      </c>
      <c r="F6" s="301"/>
      <c r="G6" s="304" t="s">
        <v>772</v>
      </c>
      <c r="H6" s="306"/>
      <c r="I6" s="304" t="s">
        <v>772</v>
      </c>
      <c r="J6" s="173"/>
      <c r="K6" s="307" t="s">
        <v>581</v>
      </c>
    </row>
    <row r="7" spans="1:11" ht="15.75">
      <c r="A7" s="308" t="s">
        <v>479</v>
      </c>
      <c r="B7" s="309"/>
      <c r="C7" s="310" t="s">
        <v>479</v>
      </c>
      <c r="D7" s="309"/>
      <c r="E7" s="310" t="s">
        <v>479</v>
      </c>
      <c r="F7" s="309"/>
      <c r="G7" s="310" t="s">
        <v>479</v>
      </c>
      <c r="H7" s="309"/>
      <c r="I7" s="310" t="s">
        <v>479</v>
      </c>
      <c r="J7" s="309"/>
      <c r="K7" s="311">
        <f>SUM(B7+D7+F7+H7+J7)</f>
        <v>0</v>
      </c>
    </row>
    <row r="8" spans="1:11" ht="15.75">
      <c r="A8" s="312" t="s">
        <v>733</v>
      </c>
      <c r="B8" s="313"/>
      <c r="C8" s="312" t="s">
        <v>733</v>
      </c>
      <c r="D8" s="314"/>
      <c r="E8" s="312" t="s">
        <v>733</v>
      </c>
      <c r="F8" s="298"/>
      <c r="G8" s="312" t="s">
        <v>733</v>
      </c>
      <c r="H8" s="173"/>
      <c r="I8" s="312" t="s">
        <v>733</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618</v>
      </c>
      <c r="B17" s="311">
        <f>SUM(B9:B16)</f>
        <v>0</v>
      </c>
      <c r="C17" s="312" t="s">
        <v>618</v>
      </c>
      <c r="D17" s="311">
        <f>SUM(D9:D16)</f>
        <v>0</v>
      </c>
      <c r="E17" s="312" t="s">
        <v>618</v>
      </c>
      <c r="F17" s="375">
        <f>SUM(F9:F16)</f>
        <v>0</v>
      </c>
      <c r="G17" s="312" t="s">
        <v>618</v>
      </c>
      <c r="H17" s="311">
        <f>SUM(H9:H16)</f>
        <v>0</v>
      </c>
      <c r="I17" s="312" t="s">
        <v>618</v>
      </c>
      <c r="J17" s="311">
        <f>SUM(J9:J16)</f>
        <v>0</v>
      </c>
      <c r="K17" s="311">
        <f>SUM(B17+D17+F17+H17+J17)</f>
        <v>0</v>
      </c>
    </row>
    <row r="18" spans="1:11" ht="15.75">
      <c r="A18" s="312" t="s">
        <v>619</v>
      </c>
      <c r="B18" s="311">
        <f>SUM(B7+B17)</f>
        <v>0</v>
      </c>
      <c r="C18" s="312" t="s">
        <v>619</v>
      </c>
      <c r="D18" s="311">
        <f>SUM(D7+D17)</f>
        <v>0</v>
      </c>
      <c r="E18" s="312" t="s">
        <v>619</v>
      </c>
      <c r="F18" s="311">
        <f>SUM(F7+F17)</f>
        <v>0</v>
      </c>
      <c r="G18" s="312" t="s">
        <v>619</v>
      </c>
      <c r="H18" s="311">
        <f>SUM(H7+H17)</f>
        <v>0</v>
      </c>
      <c r="I18" s="312" t="s">
        <v>619</v>
      </c>
      <c r="J18" s="311">
        <f>SUM(J7+J17)</f>
        <v>0</v>
      </c>
      <c r="K18" s="311">
        <f>SUM(B18+D18+F18+H18+J18)</f>
        <v>0</v>
      </c>
    </row>
    <row r="19" spans="1:11" ht="15.75">
      <c r="A19" s="312" t="s">
        <v>621</v>
      </c>
      <c r="B19" s="313"/>
      <c r="C19" s="312" t="s">
        <v>621</v>
      </c>
      <c r="D19" s="314"/>
      <c r="E19" s="312" t="s">
        <v>621</v>
      </c>
      <c r="F19" s="298"/>
      <c r="G19" s="312" t="s">
        <v>621</v>
      </c>
      <c r="H19" s="173"/>
      <c r="I19" s="312" t="s">
        <v>621</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625</v>
      </c>
      <c r="B28" s="311">
        <f>SUM(B20:B27)</f>
        <v>0</v>
      </c>
      <c r="C28" s="312" t="s">
        <v>625</v>
      </c>
      <c r="D28" s="311">
        <f>SUM(D20:D27)</f>
        <v>0</v>
      </c>
      <c r="E28" s="312" t="s">
        <v>625</v>
      </c>
      <c r="F28" s="375">
        <f>SUM(F20:F27)</f>
        <v>0</v>
      </c>
      <c r="G28" s="312" t="s">
        <v>625</v>
      </c>
      <c r="H28" s="375">
        <f>SUM(H20:H27)</f>
        <v>0</v>
      </c>
      <c r="I28" s="312" t="s">
        <v>625</v>
      </c>
      <c r="J28" s="311">
        <f>SUM(J20:J27)</f>
        <v>0</v>
      </c>
      <c r="K28" s="311">
        <f>SUM(B28+D28+F28+H28+J28)</f>
        <v>0</v>
      </c>
    </row>
    <row r="29" spans="1:12" ht="15.75">
      <c r="A29" s="312" t="s">
        <v>773</v>
      </c>
      <c r="B29" s="311">
        <f>SUM(B18-B28)</f>
        <v>0</v>
      </c>
      <c r="C29" s="312" t="s">
        <v>773</v>
      </c>
      <c r="D29" s="311">
        <f>SUM(D18-D28)</f>
        <v>0</v>
      </c>
      <c r="E29" s="312" t="s">
        <v>773</v>
      </c>
      <c r="F29" s="311">
        <f>SUM(F18-F28)</f>
        <v>0</v>
      </c>
      <c r="G29" s="312" t="s">
        <v>773</v>
      </c>
      <c r="H29" s="311">
        <f>SUM(H18-H28)</f>
        <v>0</v>
      </c>
      <c r="I29" s="312" t="s">
        <v>773</v>
      </c>
      <c r="J29" s="311">
        <f>SUM(J18-J28)</f>
        <v>0</v>
      </c>
      <c r="K29" s="321">
        <f>SUM(B29+D29+F29+H29+J29)</f>
        <v>0</v>
      </c>
      <c r="L29" s="32" t="s">
        <v>851</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851</v>
      </c>
    </row>
    <row r="31" spans="1:11" ht="15.75">
      <c r="A31" s="173"/>
      <c r="B31" s="178"/>
      <c r="C31" s="173"/>
      <c r="D31" s="298"/>
      <c r="E31" s="173"/>
      <c r="F31" s="173"/>
      <c r="G31" s="43" t="s">
        <v>861</v>
      </c>
      <c r="H31" s="43"/>
      <c r="I31" s="43"/>
      <c r="J31" s="43"/>
      <c r="K31" s="173"/>
    </row>
    <row r="32" spans="1:11" ht="15.75">
      <c r="A32" s="173"/>
      <c r="B32" s="178"/>
      <c r="C32" s="173"/>
      <c r="D32" s="173"/>
      <c r="E32" s="173"/>
      <c r="F32" s="173"/>
      <c r="G32" s="323"/>
      <c r="H32" s="173"/>
      <c r="I32" s="173"/>
      <c r="J32" s="173"/>
      <c r="K32" s="173"/>
    </row>
    <row r="33" spans="1:11" ht="15.75">
      <c r="A33" s="173"/>
      <c r="B33" s="178"/>
      <c r="C33" s="173"/>
      <c r="D33" s="173"/>
      <c r="E33" s="187" t="s">
        <v>628</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Haysville</v>
      </c>
      <c r="B1" s="298"/>
      <c r="C1" s="173"/>
      <c r="D1" s="173"/>
      <c r="E1" s="173"/>
      <c r="F1" s="175" t="s">
        <v>776</v>
      </c>
      <c r="G1" s="173"/>
      <c r="H1" s="173"/>
      <c r="I1" s="173"/>
      <c r="J1" s="173"/>
      <c r="K1" s="173">
        <f>inputPrYr!$C$5</f>
        <v>2013</v>
      </c>
    </row>
    <row r="2" spans="1:11" ht="15.75">
      <c r="A2" s="173"/>
      <c r="B2" s="173"/>
      <c r="C2" s="173"/>
      <c r="D2" s="173"/>
      <c r="E2" s="173"/>
      <c r="F2" s="299" t="str">
        <f>CONCATENATE("(Only the actual budget year for ",K1-2," is to be shown)")</f>
        <v>(Only the actual budget year for 2011 is to be shown)</v>
      </c>
      <c r="G2" s="173"/>
      <c r="H2" s="173"/>
      <c r="I2" s="173"/>
      <c r="J2" s="173"/>
      <c r="K2" s="173"/>
    </row>
    <row r="3" spans="1:11" ht="15.75">
      <c r="A3" s="173" t="s">
        <v>812</v>
      </c>
      <c r="B3" s="173"/>
      <c r="C3" s="173"/>
      <c r="D3" s="173"/>
      <c r="E3" s="173"/>
      <c r="F3" s="298"/>
      <c r="G3" s="173"/>
      <c r="H3" s="173"/>
      <c r="I3" s="173"/>
      <c r="J3" s="173"/>
      <c r="K3" s="173"/>
    </row>
    <row r="4" spans="1:11" ht="15.75">
      <c r="A4" s="173" t="s">
        <v>756</v>
      </c>
      <c r="B4" s="173"/>
      <c r="C4" s="173" t="s">
        <v>757</v>
      </c>
      <c r="D4" s="173"/>
      <c r="E4" s="173" t="s">
        <v>758</v>
      </c>
      <c r="F4" s="298"/>
      <c r="G4" s="173" t="s">
        <v>770</v>
      </c>
      <c r="H4" s="173"/>
      <c r="I4" s="173" t="s">
        <v>771</v>
      </c>
      <c r="J4" s="173"/>
      <c r="K4" s="173"/>
    </row>
    <row r="5" spans="1:11" ht="15.75">
      <c r="A5" s="811" t="str">
        <f>IF(inputPrYr!B75&gt;" ",(inputPrYr!B75)," ")</f>
        <v> </v>
      </c>
      <c r="B5" s="812"/>
      <c r="C5" s="811" t="str">
        <f>IF(inputPrYr!B76&gt;" ",(inputPrYr!B76)," ")</f>
        <v> </v>
      </c>
      <c r="D5" s="812"/>
      <c r="E5" s="811" t="str">
        <f>IF(inputPrYr!B77&gt;" ",(inputPrYr!B77)," ")</f>
        <v> </v>
      </c>
      <c r="F5" s="812"/>
      <c r="G5" s="811" t="str">
        <f>IF(inputPrYr!B78&gt;" ",(inputPrYr!B78)," ")</f>
        <v> </v>
      </c>
      <c r="H5" s="812"/>
      <c r="I5" s="811" t="str">
        <f>IF(inputPrYr!B79&gt;" ",(inputPrYr!B79)," ")</f>
        <v> </v>
      </c>
      <c r="J5" s="812"/>
      <c r="K5" s="124"/>
    </row>
    <row r="6" spans="1:11" ht="15.75">
      <c r="A6" s="302" t="s">
        <v>772</v>
      </c>
      <c r="B6" s="303"/>
      <c r="C6" s="304" t="s">
        <v>772</v>
      </c>
      <c r="D6" s="305"/>
      <c r="E6" s="304" t="s">
        <v>772</v>
      </c>
      <c r="F6" s="301"/>
      <c r="G6" s="304" t="s">
        <v>772</v>
      </c>
      <c r="H6" s="306"/>
      <c r="I6" s="304" t="s">
        <v>772</v>
      </c>
      <c r="J6" s="173"/>
      <c r="K6" s="307" t="s">
        <v>581</v>
      </c>
    </row>
    <row r="7" spans="1:11" ht="15.75">
      <c r="A7" s="308" t="s">
        <v>479</v>
      </c>
      <c r="B7" s="309"/>
      <c r="C7" s="310" t="s">
        <v>479</v>
      </c>
      <c r="D7" s="309"/>
      <c r="E7" s="310" t="s">
        <v>479</v>
      </c>
      <c r="F7" s="309"/>
      <c r="G7" s="310" t="s">
        <v>479</v>
      </c>
      <c r="H7" s="309"/>
      <c r="I7" s="310" t="s">
        <v>479</v>
      </c>
      <c r="J7" s="309"/>
      <c r="K7" s="311">
        <f>SUM(B7+D7+F7+H7+J7)</f>
        <v>0</v>
      </c>
    </row>
    <row r="8" spans="1:11" ht="15.75">
      <c r="A8" s="312" t="s">
        <v>733</v>
      </c>
      <c r="B8" s="313"/>
      <c r="C8" s="312" t="s">
        <v>733</v>
      </c>
      <c r="D8" s="314"/>
      <c r="E8" s="312" t="s">
        <v>733</v>
      </c>
      <c r="F8" s="298"/>
      <c r="G8" s="312" t="s">
        <v>733</v>
      </c>
      <c r="H8" s="173"/>
      <c r="I8" s="312" t="s">
        <v>733</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618</v>
      </c>
      <c r="B17" s="311">
        <f>SUM(B9:B16)</f>
        <v>0</v>
      </c>
      <c r="C17" s="312" t="s">
        <v>618</v>
      </c>
      <c r="D17" s="311">
        <f>SUM(D9:D16)</f>
        <v>0</v>
      </c>
      <c r="E17" s="312" t="s">
        <v>618</v>
      </c>
      <c r="F17" s="375">
        <f>SUM(F9:F16)</f>
        <v>0</v>
      </c>
      <c r="G17" s="312" t="s">
        <v>618</v>
      </c>
      <c r="H17" s="311">
        <f>SUM(H9:H16)</f>
        <v>0</v>
      </c>
      <c r="I17" s="312" t="s">
        <v>618</v>
      </c>
      <c r="J17" s="311">
        <f>SUM(J9:J16)</f>
        <v>0</v>
      </c>
      <c r="K17" s="311">
        <f>SUM(B17+D17+F17+H17+J17)</f>
        <v>0</v>
      </c>
    </row>
    <row r="18" spans="1:11" ht="15.75">
      <c r="A18" s="312" t="s">
        <v>619</v>
      </c>
      <c r="B18" s="311">
        <f>SUM(B7+B17)</f>
        <v>0</v>
      </c>
      <c r="C18" s="312" t="s">
        <v>619</v>
      </c>
      <c r="D18" s="311">
        <f>SUM(D7+D17)</f>
        <v>0</v>
      </c>
      <c r="E18" s="312" t="s">
        <v>619</v>
      </c>
      <c r="F18" s="311">
        <f>SUM(F7+F17)</f>
        <v>0</v>
      </c>
      <c r="G18" s="312" t="s">
        <v>619</v>
      </c>
      <c r="H18" s="311">
        <f>SUM(H7+H17)</f>
        <v>0</v>
      </c>
      <c r="I18" s="312" t="s">
        <v>619</v>
      </c>
      <c r="J18" s="311">
        <f>SUM(J7+J17)</f>
        <v>0</v>
      </c>
      <c r="K18" s="311">
        <f>SUM(B18+D18+F18+H18+J18)</f>
        <v>0</v>
      </c>
    </row>
    <row r="19" spans="1:11" ht="15.75">
      <c r="A19" s="312" t="s">
        <v>621</v>
      </c>
      <c r="B19" s="313"/>
      <c r="C19" s="312" t="s">
        <v>621</v>
      </c>
      <c r="D19" s="314"/>
      <c r="E19" s="312" t="s">
        <v>621</v>
      </c>
      <c r="F19" s="298"/>
      <c r="G19" s="312" t="s">
        <v>621</v>
      </c>
      <c r="H19" s="173"/>
      <c r="I19" s="312" t="s">
        <v>621</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625</v>
      </c>
      <c r="B28" s="311">
        <f>SUM(B20:B27)</f>
        <v>0</v>
      </c>
      <c r="C28" s="312" t="s">
        <v>625</v>
      </c>
      <c r="D28" s="311">
        <f>SUM(D20:D27)</f>
        <v>0</v>
      </c>
      <c r="E28" s="312" t="s">
        <v>625</v>
      </c>
      <c r="F28" s="375">
        <f>SUM(F20:F27)</f>
        <v>0</v>
      </c>
      <c r="G28" s="312" t="s">
        <v>625</v>
      </c>
      <c r="H28" s="375">
        <f>SUM(H20:H27)</f>
        <v>0</v>
      </c>
      <c r="I28" s="312" t="s">
        <v>625</v>
      </c>
      <c r="J28" s="311">
        <f>SUM(J20:J27)</f>
        <v>0</v>
      </c>
      <c r="K28" s="311">
        <f>SUM(B28+D28+F28+H28+J28)</f>
        <v>0</v>
      </c>
    </row>
    <row r="29" spans="1:12" ht="15.75">
      <c r="A29" s="312" t="s">
        <v>773</v>
      </c>
      <c r="B29" s="311">
        <f>SUM(B18-B28)</f>
        <v>0</v>
      </c>
      <c r="C29" s="312" t="s">
        <v>773</v>
      </c>
      <c r="D29" s="311">
        <f>SUM(D18-D28)</f>
        <v>0</v>
      </c>
      <c r="E29" s="312" t="s">
        <v>773</v>
      </c>
      <c r="F29" s="311">
        <f>SUM(F18-F28)</f>
        <v>0</v>
      </c>
      <c r="G29" s="312" t="s">
        <v>773</v>
      </c>
      <c r="H29" s="311">
        <f>SUM(H18-H28)</f>
        <v>0</v>
      </c>
      <c r="I29" s="312" t="s">
        <v>773</v>
      </c>
      <c r="J29" s="311">
        <f>SUM(J18-J28)</f>
        <v>0</v>
      </c>
      <c r="K29" s="321">
        <f>SUM(B29+D29+F29+H29+J29)</f>
        <v>0</v>
      </c>
      <c r="L29" s="32" t="s">
        <v>851</v>
      </c>
    </row>
    <row r="30" spans="1:12" ht="15.75">
      <c r="A30" s="312"/>
      <c r="B30" s="345">
        <f>IF(B29&lt;0,"See Tab B","")</f>
      </c>
      <c r="C30" s="312"/>
      <c r="D30" s="345">
        <f>IF(D29&lt;0,"See Tab B","")</f>
      </c>
      <c r="E30" s="312"/>
      <c r="F30" s="345">
        <f>IF(F29&lt;0,"See Tab B","")</f>
      </c>
      <c r="G30" s="173"/>
      <c r="H30" s="345">
        <f>IF(H29&lt;0,"See Tab B","")</f>
      </c>
      <c r="I30" s="173"/>
      <c r="J30" s="345">
        <f>IF(J29&lt;0,"See Tab B","")</f>
      </c>
      <c r="K30" s="321">
        <f>SUM(K7+K17-K28)</f>
        <v>0</v>
      </c>
      <c r="L30" s="32" t="s">
        <v>851</v>
      </c>
    </row>
    <row r="31" spans="1:11" ht="15.75">
      <c r="A31" s="173"/>
      <c r="B31" s="178"/>
      <c r="C31" s="173"/>
      <c r="D31" s="298"/>
      <c r="E31" s="173"/>
      <c r="F31" s="173"/>
      <c r="G31" s="43" t="s">
        <v>860</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628</v>
      </c>
      <c r="F33" s="280"/>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6" customWidth="1"/>
    <col min="2" max="16384" width="8.8984375" style="106" customWidth="1"/>
  </cols>
  <sheetData>
    <row r="1" ht="18.75">
      <c r="A1" s="493" t="s">
        <v>883</v>
      </c>
    </row>
    <row r="2" ht="15.75">
      <c r="A2" s="1"/>
    </row>
    <row r="3" ht="57" customHeight="1">
      <c r="A3" s="494" t="s">
        <v>884</v>
      </c>
    </row>
    <row r="4" ht="15.75">
      <c r="A4" s="492"/>
    </row>
    <row r="5" ht="15.75">
      <c r="A5" s="1"/>
    </row>
    <row r="6" ht="44.25" customHeight="1">
      <c r="A6" s="494" t="s">
        <v>885</v>
      </c>
    </row>
    <row r="7" ht="15.75">
      <c r="A7" s="1"/>
    </row>
    <row r="8" ht="15.75">
      <c r="A8" s="492"/>
    </row>
    <row r="9" ht="46.5" customHeight="1">
      <c r="A9" s="494" t="s">
        <v>886</v>
      </c>
    </row>
    <row r="10" ht="15.75">
      <c r="A10" s="1"/>
    </row>
    <row r="11" ht="15.75">
      <c r="A11" s="492"/>
    </row>
    <row r="12" ht="60" customHeight="1">
      <c r="A12" s="494" t="s">
        <v>887</v>
      </c>
    </row>
    <row r="13" ht="15.75">
      <c r="A13" s="1"/>
    </row>
    <row r="14" ht="15.75">
      <c r="A14" s="1"/>
    </row>
    <row r="15" ht="61.5" customHeight="1">
      <c r="A15" s="494" t="s">
        <v>888</v>
      </c>
    </row>
    <row r="16" ht="15.75">
      <c r="A16" s="1"/>
    </row>
    <row r="17" ht="15.75">
      <c r="A17" s="1"/>
    </row>
    <row r="18" ht="59.25" customHeight="1">
      <c r="A18" s="494" t="s">
        <v>889</v>
      </c>
    </row>
    <row r="19" ht="15.75">
      <c r="A19" s="1"/>
    </row>
    <row r="20" ht="15.75">
      <c r="A20" s="1"/>
    </row>
    <row r="21" ht="61.5" customHeight="1">
      <c r="A21" s="494" t="s">
        <v>890</v>
      </c>
    </row>
    <row r="22" ht="15.75">
      <c r="A22" s="492"/>
    </row>
    <row r="23" ht="15.75">
      <c r="A23" s="492"/>
    </row>
    <row r="24" ht="63" customHeight="1">
      <c r="A24" s="494" t="s">
        <v>891</v>
      </c>
    </row>
    <row r="25" ht="15.75">
      <c r="A25" s="1"/>
    </row>
    <row r="26" ht="15.75">
      <c r="A26" s="1"/>
    </row>
    <row r="27" ht="52.5" customHeight="1">
      <c r="A27" s="505" t="s">
        <v>350</v>
      </c>
    </row>
    <row r="28" ht="15.75">
      <c r="A28" s="1"/>
    </row>
    <row r="29" ht="15.75">
      <c r="A29" s="1"/>
    </row>
    <row r="30" ht="44.25" customHeight="1">
      <c r="A30" s="494" t="s">
        <v>892</v>
      </c>
    </row>
    <row r="31" ht="15.75">
      <c r="A31" s="1"/>
    </row>
    <row r="32" ht="15.75">
      <c r="A32" s="1"/>
    </row>
    <row r="33" ht="42.75" customHeight="1">
      <c r="A33" s="494" t="s">
        <v>893</v>
      </c>
    </row>
    <row r="34" ht="15.75">
      <c r="A34" s="492"/>
    </row>
    <row r="35" ht="15.75">
      <c r="A35" s="492"/>
    </row>
    <row r="36" ht="38.25" customHeight="1">
      <c r="A36" s="494" t="s">
        <v>894</v>
      </c>
    </row>
    <row r="37" ht="15.75">
      <c r="A37" s="492"/>
    </row>
    <row r="38" ht="15.75">
      <c r="A38" s="1"/>
    </row>
    <row r="39" ht="75.75" customHeight="1">
      <c r="A39" s="494" t="s">
        <v>895</v>
      </c>
    </row>
    <row r="40" ht="15.75">
      <c r="A40" s="1"/>
    </row>
    <row r="41" ht="15.75">
      <c r="A41" s="1"/>
    </row>
    <row r="42" ht="57.75" customHeight="1">
      <c r="A42" s="494" t="s">
        <v>896</v>
      </c>
    </row>
    <row r="43" ht="15.75">
      <c r="A43" s="492"/>
    </row>
    <row r="44" ht="15.75">
      <c r="A44" s="1"/>
    </row>
    <row r="45" ht="57.75" customHeight="1">
      <c r="A45" s="494" t="s">
        <v>897</v>
      </c>
    </row>
    <row r="46" ht="15.75">
      <c r="A46" s="1"/>
    </row>
    <row r="47" ht="15.75">
      <c r="A47" s="1"/>
    </row>
    <row r="48" ht="41.25" customHeight="1">
      <c r="A48" s="494" t="s">
        <v>898</v>
      </c>
    </row>
    <row r="49" ht="15.75">
      <c r="A49" s="1"/>
    </row>
    <row r="50" ht="15.75">
      <c r="A50" s="1"/>
    </row>
    <row r="51" ht="75" customHeight="1">
      <c r="A51" s="494" t="s">
        <v>899</v>
      </c>
    </row>
    <row r="52" ht="15.75">
      <c r="A52" s="492"/>
    </row>
    <row r="53" ht="15.75">
      <c r="A53" s="492"/>
    </row>
    <row r="54" ht="57.75" customHeight="1">
      <c r="A54" s="494" t="s">
        <v>900</v>
      </c>
    </row>
    <row r="55" ht="15.75">
      <c r="A55" s="1"/>
    </row>
    <row r="56" ht="15.75">
      <c r="A56" s="1"/>
    </row>
    <row r="57" ht="44.25" customHeight="1">
      <c r="A57" s="494" t="s">
        <v>901</v>
      </c>
    </row>
    <row r="58" ht="15.75">
      <c r="A58" s="1"/>
    </row>
    <row r="59" ht="15.75">
      <c r="A59" s="1"/>
    </row>
    <row r="60" ht="60" customHeight="1">
      <c r="A60" s="494" t="s">
        <v>902</v>
      </c>
    </row>
    <row r="61" ht="15.75">
      <c r="A61" s="492"/>
    </row>
    <row r="62" ht="15.75">
      <c r="A62" s="492"/>
    </row>
    <row r="63" ht="57.75" customHeight="1">
      <c r="A63" s="494" t="s">
        <v>903</v>
      </c>
    </row>
    <row r="64" ht="15.75">
      <c r="A64" s="1"/>
    </row>
    <row r="65" ht="15.75">
      <c r="A65" s="1"/>
    </row>
    <row r="66" ht="60" customHeight="1">
      <c r="A66" s="494" t="s">
        <v>904</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A1:M70"/>
  <sheetViews>
    <sheetView zoomScale="75" zoomScaleNormal="75" zoomScalePageLayoutView="0" workbookViewId="0" topLeftCell="A26">
      <selection activeCell="D18" sqref="D18"/>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75" t="s">
        <v>673</v>
      </c>
      <c r="B1" s="775"/>
      <c r="C1" s="775"/>
      <c r="D1" s="775"/>
      <c r="E1" s="775"/>
      <c r="F1" s="775"/>
      <c r="G1" s="775"/>
      <c r="H1" s="775"/>
      <c r="I1" s="324"/>
    </row>
    <row r="2" spans="1:8" ht="18" customHeight="1">
      <c r="A2" s="47"/>
      <c r="B2" s="47"/>
      <c r="C2" s="47"/>
      <c r="D2" s="47"/>
      <c r="E2" s="47"/>
      <c r="F2" s="47"/>
      <c r="G2" s="47"/>
      <c r="H2" s="47">
        <f>inputPrYr!$C$5</f>
        <v>2013</v>
      </c>
    </row>
    <row r="3" spans="1:8" ht="18" customHeight="1">
      <c r="A3" s="767" t="s">
        <v>630</v>
      </c>
      <c r="B3" s="767"/>
      <c r="C3" s="767"/>
      <c r="D3" s="767"/>
      <c r="E3" s="767"/>
      <c r="F3" s="767"/>
      <c r="G3" s="767"/>
      <c r="H3" s="767"/>
    </row>
    <row r="4" spans="1:8" ht="15.75">
      <c r="A4" s="765" t="str">
        <f>inputPrYr!D2</f>
        <v>City of Haysville</v>
      </c>
      <c r="B4" s="765"/>
      <c r="C4" s="765"/>
      <c r="D4" s="765"/>
      <c r="E4" s="765"/>
      <c r="F4" s="765"/>
      <c r="G4" s="765"/>
      <c r="H4" s="765"/>
    </row>
    <row r="5" spans="1:8" ht="18" customHeight="1">
      <c r="A5" s="821" t="str">
        <f>CONCATENATE("will meet on ",inputBudSum!B7," at ",inputBudSum!B9," at ",inputBudSum!B11," for the purpose of hearing and")</f>
        <v>will meet on August 13, 2012 at 7:00 p.m. at Haysville Municipal Building, 200 W. Grand, Haysville, KS for the purpose of hearing and</v>
      </c>
      <c r="B5" s="821"/>
      <c r="C5" s="821"/>
      <c r="D5" s="821"/>
      <c r="E5" s="821"/>
      <c r="F5" s="821"/>
      <c r="G5" s="821"/>
      <c r="H5" s="821"/>
    </row>
    <row r="6" spans="1:8" ht="16.5" customHeight="1">
      <c r="A6" s="767" t="s">
        <v>226</v>
      </c>
      <c r="B6" s="767"/>
      <c r="C6" s="767"/>
      <c r="D6" s="767"/>
      <c r="E6" s="767"/>
      <c r="F6" s="767"/>
      <c r="G6" s="767"/>
      <c r="H6" s="767"/>
    </row>
    <row r="7" spans="1:8" ht="16.5" customHeight="1">
      <c r="A7" s="767" t="str">
        <f>CONCATENATE("Detailed budget information is available at ",inputBudSum!B14," and will be available at this hearing.")</f>
        <v>Detailed budget information is available at Haysville Municipal Building and will be available at this hearing.</v>
      </c>
      <c r="B7" s="767"/>
      <c r="C7" s="767"/>
      <c r="D7" s="767"/>
      <c r="E7" s="767"/>
      <c r="F7" s="767"/>
      <c r="G7" s="767"/>
      <c r="H7" s="767"/>
    </row>
    <row r="8" spans="1:8" ht="15.75">
      <c r="A8" s="55" t="s">
        <v>674</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738</v>
      </c>
      <c r="B10" s="56"/>
      <c r="C10" s="56"/>
      <c r="D10" s="56"/>
      <c r="E10" s="56"/>
      <c r="F10" s="56"/>
      <c r="G10" s="56"/>
      <c r="H10" s="56"/>
    </row>
    <row r="11" spans="1:8" ht="15.75">
      <c r="A11" s="47"/>
      <c r="B11" s="287"/>
      <c r="C11" s="287"/>
      <c r="D11" s="287"/>
      <c r="E11" s="287"/>
      <c r="F11" s="287"/>
      <c r="G11" s="287"/>
      <c r="H11" s="287"/>
    </row>
    <row r="12" spans="1:8" ht="15.75">
      <c r="A12" s="47"/>
      <c r="B12" s="325" t="str">
        <f>CONCATENATE("Prior Year Actual for ",H2-2,"")</f>
        <v>Prior Year Actual for 2011</v>
      </c>
      <c r="C12" s="141"/>
      <c r="D12" s="325" t="str">
        <f>CONCATENATE("Current Year Estimate for ",H2-1,"")</f>
        <v>Current Year Estimate for 2012</v>
      </c>
      <c r="E12" s="141"/>
      <c r="F12" s="139" t="str">
        <f>CONCATENATE("Proposed Budget Year for ",H2,"")</f>
        <v>Proposed Budget Year for 2013</v>
      </c>
      <c r="G12" s="140"/>
      <c r="H12" s="141"/>
    </row>
    <row r="13" spans="1:8" ht="21" customHeight="1">
      <c r="A13" s="47"/>
      <c r="B13" s="277"/>
      <c r="C13" s="144" t="s">
        <v>631</v>
      </c>
      <c r="D13" s="144"/>
      <c r="E13" s="144" t="s">
        <v>631</v>
      </c>
      <c r="F13" s="562" t="s">
        <v>468</v>
      </c>
      <c r="G13" s="144" t="str">
        <f>CONCATENATE("Amount of ",H2-1,"")</f>
        <v>Amount of 2012</v>
      </c>
      <c r="H13" s="144" t="s">
        <v>815</v>
      </c>
    </row>
    <row r="14" spans="1:8" ht="15.75">
      <c r="A14" s="64" t="s">
        <v>632</v>
      </c>
      <c r="B14" s="148" t="s">
        <v>633</v>
      </c>
      <c r="C14" s="148" t="s">
        <v>634</v>
      </c>
      <c r="D14" s="148" t="s">
        <v>633</v>
      </c>
      <c r="E14" s="148" t="s">
        <v>634</v>
      </c>
      <c r="F14" s="563" t="s">
        <v>249</v>
      </c>
      <c r="G14" s="149" t="s">
        <v>610</v>
      </c>
      <c r="H14" s="148" t="s">
        <v>634</v>
      </c>
    </row>
    <row r="15" spans="1:8" ht="15.75">
      <c r="A15" s="87" t="str">
        <f>inputPrYr!B17</f>
        <v>General</v>
      </c>
      <c r="B15" s="87">
        <f>IF(general!$C$111&lt;&gt;0,general!$C$111,"  ")</f>
        <v>4859216</v>
      </c>
      <c r="C15" s="326">
        <f>IF(inputPrYr!D84&gt;0,inputPrYr!D84,"  ")</f>
        <v>31.704</v>
      </c>
      <c r="D15" s="87">
        <f>IF(general!$D$111&lt;&gt;0,general!$D$111,"  ")</f>
        <v>4803754</v>
      </c>
      <c r="E15" s="326">
        <f>IF(inputOth!D21&gt;0,inputOth!D21,"  ")</f>
        <v>31.35</v>
      </c>
      <c r="F15" s="87">
        <f>IF(general!$E$111&lt;&gt;0,general!$E$111,"  ")</f>
        <v>5091837</v>
      </c>
      <c r="G15" s="87">
        <f>IF(general!$E$118&lt;&gt;0,general!$E$118,"  ")</f>
        <v>1682353.3103148416</v>
      </c>
      <c r="H15" s="326">
        <f>IF(general!E118&gt;0,ROUND(G15/$F$57*1000,3),"")</f>
        <v>31.248</v>
      </c>
    </row>
    <row r="16" spans="1:8" ht="15.75">
      <c r="A16" s="87" t="str">
        <f>inputPrYr!B18</f>
        <v>Debt Service</v>
      </c>
      <c r="B16" s="87">
        <f>IF('DebtSvs-library'!C33&lt;&gt;0,'DebtSvs-library'!C33,"  ")</f>
        <v>2057596</v>
      </c>
      <c r="C16" s="326">
        <f>IF(inputPrYr!D85&gt;0,inputPrYr!D85,"  ")</f>
        <v>9.107</v>
      </c>
      <c r="D16" s="87">
        <f>IF('DebtSvs-library'!D33&lt;&gt;0,'DebtSvs-library'!D33,"  ")</f>
        <v>2101912</v>
      </c>
      <c r="E16" s="326">
        <f>IF(inputOth!D22&gt;0,inputOth!D22,"  ")</f>
        <v>9.209</v>
      </c>
      <c r="F16" s="87">
        <f>IF('DebtSvs-library'!E33&lt;&gt;0,'DebtSvs-library'!E33,"  ")</f>
        <v>2064335</v>
      </c>
      <c r="G16" s="87">
        <f>IF('DebtSvs-library'!E40&lt;&gt;0,'DebtSvs-library'!E40,"  ")</f>
        <v>489387</v>
      </c>
      <c r="H16" s="326">
        <f>IF('DebtSvs-library'!E40&gt;0,ROUND(G16/$F$57*1000,3),"  ")</f>
        <v>9.09</v>
      </c>
    </row>
    <row r="17" spans="1:8" ht="15.75">
      <c r="A17" s="87" t="str">
        <f>IF(inputPrYr!$B19&gt;"  ",(inputPrYr!$B19),"  ")</f>
        <v>Library</v>
      </c>
      <c r="B17" s="87">
        <f>IF('DebtSvs-library'!C73&lt;&gt;0,'DebtSvs-library'!C73,"  ")</f>
        <v>321508</v>
      </c>
      <c r="C17" s="326">
        <f>IF(inputPrYr!D86&gt;0,inputPrYr!D86,"  ")</f>
        <v>5.261</v>
      </c>
      <c r="D17" s="87">
        <f>IF('DebtSvs-library'!D73&lt;&gt;0,'DebtSvs-library'!D73,"  ")</f>
        <v>325000</v>
      </c>
      <c r="E17" s="326">
        <f>IF(inputOth!D23&gt;0,inputOth!D23,"  ")</f>
        <v>5.252</v>
      </c>
      <c r="F17" s="87">
        <f>IF('DebtSvs-library'!E73&lt;&gt;0,'DebtSvs-library'!E73,"  ")</f>
        <v>330261</v>
      </c>
      <c r="G17" s="87">
        <f>IF('DebtSvs-library'!E80&lt;&gt;0,'DebtSvs-library'!E80,"  ")</f>
        <v>282649</v>
      </c>
      <c r="H17" s="326">
        <f>IF('DebtSvs-library'!E80&lt;&gt;0,ROUND(G17/$F$57*1000,3),"  ")</f>
        <v>5.25</v>
      </c>
    </row>
    <row r="18" spans="1:8" ht="15.75">
      <c r="A18" s="87" t="str">
        <f>IF(inputPrYr!$B21&gt;"  ",(inputPrYr!$B21),"  ")</f>
        <v>Law Enforcement</v>
      </c>
      <c r="B18" s="87">
        <f>IF('levy page9'!$C$33&gt;0,'levy page9'!$C$33,"  ")</f>
        <v>130886</v>
      </c>
      <c r="C18" s="326">
        <f>IF(inputPrYr!D87&gt;0,inputPrYr!D87,"  ")</f>
        <v>2.004</v>
      </c>
      <c r="D18" s="87">
        <f>IF('levy page9'!$D$33&gt;0,'levy page9'!$D$33,"  ")</f>
        <v>170912</v>
      </c>
      <c r="E18" s="326">
        <f>IF(inputOth!D24&gt;0,inputOth!D24,"  ")</f>
        <v>2</v>
      </c>
      <c r="F18" s="87">
        <f>IF('levy page9'!$E$33&gt;0,'levy page9'!$E$33,"  ")</f>
        <v>260536</v>
      </c>
      <c r="G18" s="87">
        <f>IF('levy page9'!$E$40&lt;&gt;0,'levy page9'!$E$40,"  ")</f>
        <v>107676</v>
      </c>
      <c r="H18" s="326">
        <f>IF('levy page9'!E40&lt;&gt;0,ROUND(G18/$F$57*1000,3),"  ")</f>
        <v>2</v>
      </c>
    </row>
    <row r="19" spans="1:8" ht="15.75">
      <c r="A19" s="87" t="str">
        <f>IF(inputPrYr!$B22&gt;"  ",(inputPrYr!$B22),"  ")</f>
        <v>Special Liability</v>
      </c>
      <c r="B19" s="87">
        <f>IF('levy page9'!$C$73&gt;0,'levy page9'!$C$73,"  ")</f>
        <v>36000</v>
      </c>
      <c r="C19" s="326">
        <f>IF(inputPrYr!D88&gt;0,inputPrYr!D88,"  ")</f>
        <v>0.345</v>
      </c>
      <c r="D19" s="87">
        <f>IF('levy page9'!$D$73&gt;0,'levy page9'!$D$73,"  ")</f>
        <v>39000</v>
      </c>
      <c r="E19" s="326">
        <f>IF(inputOth!D25&gt;0,inputOth!D25,"  ")</f>
        <v>0.625</v>
      </c>
      <c r="F19" s="87">
        <f>IF('levy page9'!$E$73&gt;0,'levy page9'!$E$73,"  ")</f>
        <v>50000</v>
      </c>
      <c r="G19" s="87">
        <f>IF('levy page9'!$E$80&lt;&gt;0,'levy page9'!$E$80,"  ")</f>
        <v>45642</v>
      </c>
      <c r="H19" s="326">
        <f>IF('levy page9'!E80&lt;&gt;0,ROUND(G19/$F$57*1000,3),"  ")</f>
        <v>0.848</v>
      </c>
    </row>
    <row r="20" spans="1:8" ht="15.75">
      <c r="A20" s="87" t="str">
        <f>IF(inputPrYr!$B23&gt;"  ",(inputPrYr!$B23),"  ")</f>
        <v>  </v>
      </c>
      <c r="B20" s="87" t="str">
        <f>IF('levy page10'!$C$33&gt;0,'levy page10'!$C$33,"  ")</f>
        <v>  </v>
      </c>
      <c r="C20" s="326" t="str">
        <f>IF(inputPrYr!D89&gt;0,inputPrYr!D89,"  ")</f>
        <v>  </v>
      </c>
      <c r="D20" s="87" t="str">
        <f>IF('levy page10'!$D$33&gt;0,'levy page10'!$D$33,"  ")</f>
        <v>  </v>
      </c>
      <c r="E20" s="326" t="str">
        <f>IF(inputOth!D26&gt;0,inputOth!D26,"  ")</f>
        <v>  </v>
      </c>
      <c r="F20" s="87" t="str">
        <f>IF('levy page10'!$E$33&gt;0,'levy page10'!$E$33,"  ")</f>
        <v>  </v>
      </c>
      <c r="G20" s="87" t="str">
        <f>IF('levy page10'!$E$40&lt;&gt;0,'levy page10'!$E$40,"  ")</f>
        <v>  </v>
      </c>
      <c r="H20" s="326" t="str">
        <f>IF('levy page10'!E40&lt;&gt;0,ROUND(G20/$F$57*1000,3),"  ")</f>
        <v>  </v>
      </c>
    </row>
    <row r="21" spans="1:8" ht="15.75">
      <c r="A21" s="87" t="str">
        <f>IF(inputPrYr!$B24&gt;"  ",(inputPrYr!$B24),"  ")</f>
        <v>  </v>
      </c>
      <c r="B21" s="87" t="str">
        <f>IF('levy page10'!$C$73&gt;0,'levy page10'!$C$73,"  ")</f>
        <v>  </v>
      </c>
      <c r="C21" s="326" t="str">
        <f>IF(inputPrYr!D90&gt;0,inputPrYr!D90,"  ")</f>
        <v>  </v>
      </c>
      <c r="D21" s="87" t="str">
        <f>IF('levy page10'!$D$73&gt;0,'levy page10'!$D$73,"  ")</f>
        <v>  </v>
      </c>
      <c r="E21" s="326" t="str">
        <f>IF(inputOth!D27&gt;0,inputOth!D27,"  ")</f>
        <v>  </v>
      </c>
      <c r="F21" s="87" t="str">
        <f>IF('levy page10'!$E$73&gt;0,'levy page10'!$E$73,"  ")</f>
        <v>  </v>
      </c>
      <c r="G21" s="87" t="str">
        <f>IF('levy page10'!$E$80&lt;&gt;0,'levy page10'!$E$80,"  ")</f>
        <v>  </v>
      </c>
      <c r="H21" s="326" t="str">
        <f>IF('levy page10'!E80&lt;&gt;0,ROUND(G21/$F$57*1000,3),"  ")</f>
        <v>  </v>
      </c>
    </row>
    <row r="22" spans="1:8" ht="15.75">
      <c r="A22" s="87" t="str">
        <f>IF(inputPrYr!$B25&gt;"  ",(inputPrYr!$B25),"  ")</f>
        <v>  </v>
      </c>
      <c r="B22" s="87" t="str">
        <f>IF('levy page11'!$C$33&gt;0,'levy page11'!$C$33,"  ")</f>
        <v>  </v>
      </c>
      <c r="C22" s="326" t="str">
        <f>IF(inputPrYr!D91&gt;0,inputPrYr!D91,"  ")</f>
        <v>  </v>
      </c>
      <c r="D22" s="87" t="str">
        <f>IF('levy page11'!$D$33&gt;0,'levy page11'!$D$33,"  ")</f>
        <v>  </v>
      </c>
      <c r="E22" s="326" t="str">
        <f>IF(inputOth!D28&gt;0,inputOth!D28,"  ")</f>
        <v>  </v>
      </c>
      <c r="F22" s="87" t="str">
        <f>IF('levy page11'!$E$33&gt;0,'levy page11'!$E$33,"  ")</f>
        <v>  </v>
      </c>
      <c r="G22" s="87" t="str">
        <f>IF('levy page11'!$E$40&lt;&gt;0,'levy page11'!$E$40,"  ")</f>
        <v>  </v>
      </c>
      <c r="H22" s="326" t="str">
        <f>IF('levy page11'!E40&lt;&gt;0,ROUND(G22/$F$57*1000,3),"  ")</f>
        <v>  </v>
      </c>
    </row>
    <row r="23" spans="1:8" ht="15.75">
      <c r="A23" s="87" t="str">
        <f>IF(inputPrYr!$B26&gt;"  ",(inputPrYr!$B26),"  ")</f>
        <v>  </v>
      </c>
      <c r="B23" s="87" t="str">
        <f>IF('levy page11'!$C$73&gt;0,'levy page11'!$C$73,"  ")</f>
        <v>  </v>
      </c>
      <c r="C23" s="326" t="str">
        <f>IF(inputPrYr!D92&gt;0,inputPrYr!D92,"  ")</f>
        <v>  </v>
      </c>
      <c r="D23" s="87" t="str">
        <f>IF('levy page11'!$D$73&gt;0,'levy page11'!$D$73,"  ")</f>
        <v>  </v>
      </c>
      <c r="E23" s="326" t="str">
        <f>IF(inputOth!D29&gt;0,inputOth!D29,"  ")</f>
        <v>  </v>
      </c>
      <c r="F23" s="87" t="str">
        <f>IF('levy page11'!$E$73&gt;0,'levy page11'!$E$73,"  ")</f>
        <v>  </v>
      </c>
      <c r="G23" s="87" t="str">
        <f>IF('levy page11'!$E$80&lt;&gt;0,'levy page11'!$E$80,"  ")</f>
        <v>  </v>
      </c>
      <c r="H23" s="326" t="str">
        <f>IF('levy page11'!E80&lt;&gt;0,ROUND(G23/$F$57*1000,3),"  ")</f>
        <v>  </v>
      </c>
    </row>
    <row r="24" spans="1:8" ht="15.75">
      <c r="A24" s="87" t="str">
        <f>IF(inputPrYr!$B27&gt;"  ",(inputPrYr!$B27),"  ")</f>
        <v>  </v>
      </c>
      <c r="B24" s="87" t="str">
        <f>IF('levy page12'!$C$33&gt;0,'levy page12'!$C$33,"  ")</f>
        <v>  </v>
      </c>
      <c r="C24" s="326" t="str">
        <f>IF(inputPrYr!D93&gt;0,inputPrYr!D93,"  ")</f>
        <v>  </v>
      </c>
      <c r="D24" s="87" t="str">
        <f>IF('levy page12'!$D$33&gt;0,'levy page12'!$D$33,"  ")</f>
        <v>  </v>
      </c>
      <c r="E24" s="326" t="str">
        <f>IF(inputOth!D30&gt;0,inputOth!D30,"  ")</f>
        <v>  </v>
      </c>
      <c r="F24" s="87" t="str">
        <f>IF('levy page12'!$E$33&gt;0,'levy page12'!$E$33,"  ")</f>
        <v>  </v>
      </c>
      <c r="G24" s="87" t="str">
        <f>IF('levy page12'!$E$40&lt;&gt;0,'levy page12'!$E$40,"  ")</f>
        <v>  </v>
      </c>
      <c r="H24" s="326" t="str">
        <f>IF('levy page12'!E40&lt;&gt;0,ROUND(G24/$F$57*1000,3),"  ")</f>
        <v>  </v>
      </c>
    </row>
    <row r="25" spans="1:8" ht="15.75">
      <c r="A25" s="87" t="str">
        <f>IF(inputPrYr!$B28&gt;"  ",(inputPrYr!$B28),"  ")</f>
        <v>  </v>
      </c>
      <c r="B25" s="87" t="str">
        <f>IF('levy page12'!$C$73&gt;0,'levy page12'!$C$73,"  ")</f>
        <v>  </v>
      </c>
      <c r="C25" s="326" t="str">
        <f>IF(inputPrYr!D94&gt;0,inputPrYr!D94,"  ")</f>
        <v>  </v>
      </c>
      <c r="D25" s="87" t="str">
        <f>IF('levy page12'!$D$73&gt;0,'levy page12'!$D$73,"  ")</f>
        <v>  </v>
      </c>
      <c r="E25" s="326" t="str">
        <f>IF(inputOth!D31&gt;0,inputOth!D31,"  ")</f>
        <v>  </v>
      </c>
      <c r="F25" s="87" t="str">
        <f>IF('levy page12'!$E$73&gt;0,'levy page12'!$E$73,"  ")</f>
        <v>  </v>
      </c>
      <c r="G25" s="87" t="str">
        <f>IF('levy page12'!$E$80&lt;&gt;0,'levy page12'!$E$80,"  ")</f>
        <v>  </v>
      </c>
      <c r="H25" s="326" t="str">
        <f>IF('levy page12'!E80&lt;&gt;0,ROUND(G25/$F$57*1000,3),"  ")</f>
        <v>  </v>
      </c>
    </row>
    <row r="26" spans="1:8" ht="15.75">
      <c r="A26" s="87" t="str">
        <f>IF(inputPrYr!$B29&gt;"  ",(inputPrYr!$B29),"  ")</f>
        <v>  </v>
      </c>
      <c r="B26" s="87" t="str">
        <f>IF('levy page13'!$C$33&gt;0,'levy page13'!$C$33,"  ")</f>
        <v>  </v>
      </c>
      <c r="C26" s="326" t="str">
        <f>IF(inputPrYr!D95&gt;0,inputPrYr!D95,"  ")</f>
        <v>  </v>
      </c>
      <c r="D26" s="87" t="str">
        <f>IF('levy page13'!$D$33&gt;0,'levy page13'!$D$33,"  ")</f>
        <v>  </v>
      </c>
      <c r="E26" s="326" t="str">
        <f>IF(inputOth!D32&gt;0,inputOth!D32,"  ")</f>
        <v>  </v>
      </c>
      <c r="F26" s="87" t="str">
        <f>IF('levy page13'!$E$33&gt;0,'levy page13'!$E$33,"  ")</f>
        <v>  </v>
      </c>
      <c r="G26" s="87" t="str">
        <f>IF('levy page13'!$E$40&lt;&gt;0,'levy page13'!$E$40,"  ")</f>
        <v>  </v>
      </c>
      <c r="H26" s="326" t="str">
        <f>IF('levy page13'!E40&lt;&gt;0,ROUND(G26/$F$57*1000,3),"  ")</f>
        <v>  </v>
      </c>
    </row>
    <row r="27" spans="1:8" ht="15.75">
      <c r="A27" s="87" t="str">
        <f>IF(inputPrYr!B30&gt;"  ",(inputPrYr!B30),"  ")</f>
        <v>  </v>
      </c>
      <c r="B27" s="87" t="str">
        <f>IF('levy page13'!$C$73&gt;0,'levy page13'!$C$73,"  ")</f>
        <v>  </v>
      </c>
      <c r="C27" s="326" t="str">
        <f>IF(inputPrYr!D96&gt;0,inputPrYr!D96,"  ")</f>
        <v>  </v>
      </c>
      <c r="D27" s="87" t="str">
        <f>IF('levy page13'!$D$73&gt;0,'levy page13'!$D$73,"  ")</f>
        <v>  </v>
      </c>
      <c r="E27" s="326" t="str">
        <f>IF(inputOth!D33&gt;0,inputOth!D33,"  ")</f>
        <v>  </v>
      </c>
      <c r="F27" s="87" t="str">
        <f>IF('levy page13'!$E$73&gt;0,'levy page13'!$E$73,"  ")</f>
        <v>  </v>
      </c>
      <c r="G27" s="87" t="str">
        <f>IF('levy page13'!$E$80&lt;&gt;0,'levy page13'!$E$80,"  ")</f>
        <v>  </v>
      </c>
      <c r="H27" s="326" t="str">
        <f>IF('levy page13'!E80&lt;&gt;0,ROUND(G27/$F$57*1000,3),"  ")</f>
        <v>  </v>
      </c>
    </row>
    <row r="28" spans="1:8" ht="15.75">
      <c r="A28" s="87" t="str">
        <f>IF(inputPrYr!$B34&gt;"  ",(inputPrYr!$B34),"  ")</f>
        <v>Special Highway</v>
      </c>
      <c r="B28" s="87">
        <f>IF('Sp Hiway'!$C$30&gt;0,'Sp Hiway'!$C$30,"  ")</f>
        <v>467399</v>
      </c>
      <c r="C28" s="65"/>
      <c r="D28" s="87">
        <f>IF('Sp Hiway'!$D$30&gt;0,'Sp Hiway'!$D$30,"  ")</f>
        <v>401460</v>
      </c>
      <c r="E28" s="65"/>
      <c r="F28" s="87">
        <f>IF('Sp Hiway'!$E$30&gt;0,'Sp Hiway'!$E$30,"  ")</f>
        <v>449239</v>
      </c>
      <c r="G28" s="87"/>
      <c r="H28" s="326"/>
    </row>
    <row r="29" spans="1:8" ht="15.75">
      <c r="A29" s="87" t="str">
        <f>IF(inputPrYr!$B35&gt;"  ",(inputPrYr!$B35),"  ")</f>
        <v>Highway Improvement Reserve</v>
      </c>
      <c r="B29" s="87" t="str">
        <f>IF('Sp Hiway'!$C$61&gt;0,'Sp Hiway'!$C$61,"  ")</f>
        <v>  </v>
      </c>
      <c r="C29" s="65"/>
      <c r="D29" s="87" t="str">
        <f>IF('Sp Hiway'!$D$61&gt;0,'Sp Hiway'!$D$61,"  ")</f>
        <v>  </v>
      </c>
      <c r="E29" s="65"/>
      <c r="F29" s="87">
        <f>IF('Sp Hiway'!$E$61&gt;0,'Sp Hiway'!$E$61,"  ")</f>
        <v>113351</v>
      </c>
      <c r="G29" s="87"/>
      <c r="H29" s="326"/>
    </row>
    <row r="30" spans="1:8" ht="15.75">
      <c r="A30" s="87" t="str">
        <f>IF(inputPrYr!$B36&gt;"  ",(inputPrYr!$B36),"  ")</f>
        <v>Office Equipment Repair/Acq</v>
      </c>
      <c r="B30" s="87" t="str">
        <f>IF('no levy page15'!$C$28&gt;0,'no levy page15'!$C$28,"  ")</f>
        <v>  </v>
      </c>
      <c r="C30" s="65"/>
      <c r="D30" s="87">
        <f>IF('no levy page15'!$D$28&gt;0,'no levy page15'!$D$28,"  ")</f>
        <v>2500</v>
      </c>
      <c r="E30" s="65"/>
      <c r="F30" s="87">
        <f>IF('no levy page15'!$E$28&gt;0,'no levy page15'!$E$28,"  ")</f>
        <v>30341</v>
      </c>
      <c r="G30" s="87"/>
      <c r="H30" s="326"/>
    </row>
    <row r="31" spans="1:8" ht="15.75">
      <c r="A31" s="87" t="str">
        <f>IF(inputPrYr!$B37&gt;"  ",(inputPrYr!$B37),"  ")</f>
        <v>Special Parks &amp; Recreation</v>
      </c>
      <c r="B31" s="87">
        <f>IF('no levy page15'!$C$59&gt;0,'no levy page15'!$C$59,"  ")</f>
        <v>9858</v>
      </c>
      <c r="C31" s="65"/>
      <c r="D31" s="87">
        <f>IF('no levy page15'!$D$59&gt;0,'no levy page15'!$D$59,"  ")</f>
        <v>2760</v>
      </c>
      <c r="E31" s="65"/>
      <c r="F31" s="87">
        <f>IF('no levy page15'!$E$59&gt;0,'no levy page15'!$E$59,"  ")</f>
        <v>19781</v>
      </c>
      <c r="G31" s="87"/>
      <c r="H31" s="326"/>
    </row>
    <row r="32" spans="1:8" ht="15.75">
      <c r="A32" s="87" t="str">
        <f>IF(inputPrYr!$B38&gt;"  ",(inputPrYr!$B38),"  ")</f>
        <v>Special Alcohol</v>
      </c>
      <c r="B32" s="87">
        <f>IF('no levy page16'!$C$28&gt;0,'no levy page16'!$C$28,"  ")</f>
        <v>8841</v>
      </c>
      <c r="C32" s="65"/>
      <c r="D32" s="87">
        <f>IF('no levy page16'!$D$28&gt;0,'no levy page16'!$D$28,"  ")</f>
        <v>5000</v>
      </c>
      <c r="E32" s="65"/>
      <c r="F32" s="87">
        <f>IF('no levy page16'!$E$28&gt;0,'no levy page16'!$E$28,"  ")</f>
        <v>53616</v>
      </c>
      <c r="G32" s="65"/>
      <c r="H32" s="65"/>
    </row>
    <row r="33" spans="1:8" ht="15.75">
      <c r="A33" s="87" t="str">
        <f>IF(inputPrYr!$B39&gt;"  ",(inputPrYr!$B39),"  ")</f>
        <v>Stormwater</v>
      </c>
      <c r="B33" s="87">
        <f>IF('no levy page16'!$C$59&gt;0,'no levy page16'!$C$59,"  ")</f>
        <v>133310</v>
      </c>
      <c r="C33" s="65"/>
      <c r="D33" s="87">
        <f>IF('no levy page16'!$D$59&gt;0,'no levy page16'!$D$59,"  ")</f>
        <v>127384</v>
      </c>
      <c r="E33" s="65"/>
      <c r="F33" s="87">
        <f>IF('no levy page16'!$E$59&gt;0,'no levy page16'!$E$59,"  ")</f>
        <v>188725</v>
      </c>
      <c r="G33" s="65"/>
      <c r="H33" s="65"/>
    </row>
    <row r="34" spans="1:8" ht="15.75">
      <c r="A34" s="87" t="str">
        <f>IF(inputPrYr!$B40&gt;"  ",(inputPrYr!$B40),"  ")</f>
        <v>Wastewater Debt Service Res.</v>
      </c>
      <c r="B34" s="87">
        <f>IF('no levy page17'!$C$28&gt;0,'no levy page17'!$C$28,"  ")</f>
        <v>463565</v>
      </c>
      <c r="C34" s="65"/>
      <c r="D34" s="87">
        <f>IF('no levy page17'!$D$28&gt;0,'no levy page17'!$D$28,"  ")</f>
        <v>465021</v>
      </c>
      <c r="E34" s="65"/>
      <c r="F34" s="87">
        <f>IF('no levy page17'!$E$28&gt;0,'no levy page17'!$E$28,"  ")</f>
        <v>459882</v>
      </c>
      <c r="G34" s="65"/>
      <c r="H34" s="65"/>
    </row>
    <row r="35" spans="1:8" ht="15.75">
      <c r="A35" s="87" t="str">
        <f>IF(inputPrYr!$B41&gt;"  ",(inputPrYr!$B41),"  ")</f>
        <v>Sp. Park Improvement Res.</v>
      </c>
      <c r="B35" s="87">
        <f>IF('no levy page17'!$C$59&gt;0,'no levy page17'!$C$59,"  ")</f>
        <v>30977</v>
      </c>
      <c r="C35" s="65"/>
      <c r="D35" s="87">
        <f>IF('no levy page17'!$D$59&gt;0,'no levy page17'!$D$59,"  ")</f>
        <v>36210</v>
      </c>
      <c r="E35" s="65"/>
      <c r="F35" s="87">
        <f>IF('no levy page17'!$E$59&gt;0,'no levy page17'!$E$59,"  ")</f>
        <v>104973</v>
      </c>
      <c r="G35" s="65"/>
      <c r="H35" s="65"/>
    </row>
    <row r="36" spans="1:8" ht="15.75">
      <c r="A36" s="87" t="str">
        <f>IF(inputPrYr!$B42&gt;"  ",(inputPrYr!$B42),"  ")</f>
        <v>Water/Wastewater Surplus</v>
      </c>
      <c r="B36" s="87" t="str">
        <f>IF('no levy page18'!$C$28&gt;0,'no levy page18'!$C$28,"  ")</f>
        <v>  </v>
      </c>
      <c r="C36" s="65"/>
      <c r="D36" s="87" t="str">
        <f>IF('no levy page18'!$D$28&gt;0,'no levy page18'!$D$28,"  ")</f>
        <v>  </v>
      </c>
      <c r="E36" s="65"/>
      <c r="F36" s="87">
        <f>IF('no levy page18'!$E$28&gt;0,'no levy page18'!$E$28,"  ")</f>
        <v>220141</v>
      </c>
      <c r="G36" s="65"/>
      <c r="H36" s="65"/>
    </row>
    <row r="37" spans="1:8" ht="15.75">
      <c r="A37" s="87" t="str">
        <f>IF(inputPrYr!$B43&gt;"  ",(inputPrYr!$B43),"  ")</f>
        <v>Equipment Reserve</v>
      </c>
      <c r="B37" s="87">
        <f>IF('no levy page18'!$C$59&gt;0,'no levy page18'!$C$59,"  ")</f>
        <v>7959</v>
      </c>
      <c r="C37" s="65"/>
      <c r="D37" s="87">
        <f>IF('no levy page18'!$D$59&gt;0,'no levy page18'!$D$59,"  ")</f>
        <v>110000</v>
      </c>
      <c r="E37" s="65"/>
      <c r="F37" s="87">
        <f>IF('no levy page18'!$E$59&gt;0,'no levy page18'!$E$59,"  ")</f>
        <v>421502</v>
      </c>
      <c r="G37" s="65"/>
      <c r="H37" s="65"/>
    </row>
    <row r="38" spans="1:8" ht="15.75">
      <c r="A38" s="87" t="str">
        <f>IF(inputPrYr!$B44&gt;"  ",(inputPrYr!$B44),"  ")</f>
        <v>Risk Management Reserve</v>
      </c>
      <c r="B38" s="87">
        <f>IF('no levy page19'!$C$28&gt;0,'no levy page19'!$C$28,"  ")</f>
        <v>496253</v>
      </c>
      <c r="C38" s="65"/>
      <c r="D38" s="87">
        <f>IF('no levy page19'!$D$28&gt;0,'no levy page19'!$D$28,"  ")</f>
        <v>520628</v>
      </c>
      <c r="E38" s="65"/>
      <c r="F38" s="87">
        <f>IF('no levy page19'!$E$28&gt;0,'no levy page19'!$E$28,"  ")</f>
        <v>675449</v>
      </c>
      <c r="G38" s="65"/>
      <c r="H38" s="65"/>
    </row>
    <row r="39" spans="1:8" ht="15.75">
      <c r="A39" s="87" t="str">
        <f>IF(inputPrYr!$B45&gt;"  ",(inputPrYr!$B45),"  ")</f>
        <v>Transient Guest Tax</v>
      </c>
      <c r="B39" s="87" t="str">
        <f>IF('no levy page19'!$C$59&gt;0,'no levy page19'!$C$59,"  ")</f>
        <v>  </v>
      </c>
      <c r="C39" s="65"/>
      <c r="D39" s="87">
        <f>IF('no levy page19'!$D$59&gt;0,'no levy page19'!$D$59,"  ")</f>
        <v>9000</v>
      </c>
      <c r="E39" s="65"/>
      <c r="F39" s="87">
        <f>IF('no levy page19'!$E$59&gt;0,'no levy page19'!$E$59,"  ")</f>
        <v>44909</v>
      </c>
      <c r="G39" s="65"/>
      <c r="H39" s="65"/>
    </row>
    <row r="40" spans="1:8" ht="15.75">
      <c r="A40" s="87" t="str">
        <f>IF(inputPrYr!$B46&gt;"  ",(inputPrYr!$B46),"  ")</f>
        <v>Municipal Pool</v>
      </c>
      <c r="B40" s="87">
        <f>IF('no levy page20'!$C$29&gt;0,'no levy page20'!$C$29,"  ")</f>
        <v>99470</v>
      </c>
      <c r="C40" s="65"/>
      <c r="D40" s="87">
        <f>IF('no levy page20'!$D$29&gt;0,'no levy page20'!$D$29,"  ")</f>
        <v>105616</v>
      </c>
      <c r="E40" s="65"/>
      <c r="F40" s="87">
        <f>IF('no levy page20'!$E$29&gt;0,'no levy page20'!$E$29,"  ")</f>
        <v>102800</v>
      </c>
      <c r="G40" s="65"/>
      <c r="H40" s="65"/>
    </row>
    <row r="41" spans="1:13" ht="15.75">
      <c r="A41" s="87" t="str">
        <f>IF(inputPrYr!$B47&gt;"  ",(inputPrYr!$B47),"  ")</f>
        <v>  </v>
      </c>
      <c r="B41" s="87" t="str">
        <f>IF('no levy page20'!$C$60&gt;0,'no levy page20'!$C$60,"  ")</f>
        <v>  </v>
      </c>
      <c r="C41" s="65"/>
      <c r="D41" s="87" t="str">
        <f>IF('no levy page20'!$D$60&gt;0,'no levy page20'!$D$60,"  ")</f>
        <v>  </v>
      </c>
      <c r="E41" s="65"/>
      <c r="F41" s="87" t="str">
        <f>IF('no levy page20'!$E$60&gt;0,'no levy page20'!$E$60,"  ")</f>
        <v>  </v>
      </c>
      <c r="G41" s="65"/>
      <c r="H41" s="65"/>
      <c r="J41" s="814" t="str">
        <f>CONCATENATE("Estimated Value Of One Mill For ",H2,"")</f>
        <v>Estimated Value Of One Mill For 2013</v>
      </c>
      <c r="K41" s="819"/>
      <c r="L41" s="819"/>
      <c r="M41" s="820"/>
    </row>
    <row r="42" spans="1:13" ht="15.75">
      <c r="A42" s="87" t="str">
        <f>IF(inputPrYr!$B48&gt;"  ",(inputPrYr!$B48),"  ")</f>
        <v>  </v>
      </c>
      <c r="B42" s="87" t="str">
        <f>IF('no levy page21'!$C$28&gt;0,'no levy page21'!$C$28,"  ")</f>
        <v>  </v>
      </c>
      <c r="C42" s="65"/>
      <c r="D42" s="87" t="str">
        <f>IF('no levy page21'!$D$28&gt;0,'no levy page21'!$D$28,"  ")</f>
        <v>  </v>
      </c>
      <c r="E42" s="65"/>
      <c r="F42" s="87" t="str">
        <f>IF('no levy page21'!$E$28&gt;0,'no levy page21'!$E$28,"  ")</f>
        <v>  </v>
      </c>
      <c r="G42" s="65"/>
      <c r="H42" s="65"/>
      <c r="J42" s="508"/>
      <c r="K42" s="509"/>
      <c r="L42" s="509"/>
      <c r="M42" s="510"/>
    </row>
    <row r="43" spans="1:13" ht="15.75">
      <c r="A43" s="87" t="str">
        <f>IF(inputPrYr!$B49&gt;"  ",(inputPrYr!$B49),"  ")</f>
        <v>  </v>
      </c>
      <c r="B43" s="87" t="str">
        <f>IF('no levy page21'!$C$59&gt;0,'no levy page21'!$C$59,"  ")</f>
        <v>  </v>
      </c>
      <c r="C43" s="65"/>
      <c r="D43" s="87" t="str">
        <f>IF('no levy page21'!$D$59&gt;0,'no levy page21'!$D$59,"  ")</f>
        <v>  </v>
      </c>
      <c r="E43" s="65"/>
      <c r="F43" s="87" t="str">
        <f>IF('no levy page21'!$E$59&gt;0,'no levy page21'!$E$59,"  ")</f>
        <v>  </v>
      </c>
      <c r="G43" s="65"/>
      <c r="H43" s="65"/>
      <c r="J43" s="511" t="s">
        <v>352</v>
      </c>
      <c r="K43" s="512"/>
      <c r="L43" s="512"/>
      <c r="M43" s="513">
        <f>ROUND(F57/1000,0)</f>
        <v>53838</v>
      </c>
    </row>
    <row r="44" spans="1:8" ht="15.75">
      <c r="A44" s="87" t="str">
        <f>IF(inputPrYr!$B51&gt;"  ",(inputPrYr!$B51),"  ")</f>
        <v>Water/Wastewater</v>
      </c>
      <c r="B44" s="87">
        <f>IF(SinNoLevy22!$C$59&gt;0,SinNoLevy22!$C$59,"  ")</f>
        <v>2608505</v>
      </c>
      <c r="C44" s="65"/>
      <c r="D44" s="87">
        <f>IF(SinNoLevy22!$D$59&gt;0,SinNoLevy22!$D$59,"  ")</f>
        <v>2576597</v>
      </c>
      <c r="E44" s="65"/>
      <c r="F44" s="87">
        <f>IF(SinNoLevy22!$E$59&gt;0,SinNoLevy22!$E$59,"  ")</f>
        <v>3275095</v>
      </c>
      <c r="G44" s="65"/>
      <c r="H44" s="65"/>
    </row>
    <row r="45" spans="1:13" ht="15.75">
      <c r="A45" s="87" t="str">
        <f>IF(inputPrYr!$B52&gt;"  ",(inputPrYr!$B52),"  ")</f>
        <v>Recreation</v>
      </c>
      <c r="B45" s="87">
        <f>IF(SinNoLevy23!$C$47&gt;0,SinNoLevy23!$C$47,"  ")</f>
        <v>520322</v>
      </c>
      <c r="C45" s="65"/>
      <c r="D45" s="87">
        <f>IF(SinNoLevy23!$D$47&gt;0,SinNoLevy23!$D$47,"  ")</f>
        <v>545800</v>
      </c>
      <c r="E45" s="65"/>
      <c r="F45" s="87">
        <f>IF(SinNoLevy23!$E$47&gt;0,SinNoLevy23!$E$47,"  ")</f>
        <v>563249</v>
      </c>
      <c r="G45" s="65"/>
      <c r="H45" s="65"/>
      <c r="J45" s="814" t="str">
        <f>CONCATENATE("Want The Mill Rate The Same As For ",H2-1,"?")</f>
        <v>Want The Mill Rate The Same As For 2012?</v>
      </c>
      <c r="K45" s="819"/>
      <c r="L45" s="819"/>
      <c r="M45" s="820"/>
    </row>
    <row r="46" spans="1:13" ht="15.75">
      <c r="A46" s="87" t="str">
        <f>IF(inputPrYr!$B53&gt;"  ",(inputPrYr!$B53),"  ")</f>
        <v>Capital Improvements</v>
      </c>
      <c r="B46" s="87">
        <f>IF(SinNoLevy24!$C$47&gt;0,SinNoLevy24!$C$47,"  ")</f>
        <v>888619</v>
      </c>
      <c r="C46" s="65"/>
      <c r="D46" s="87">
        <f>IF(SinNoLevy24!$D$47&gt;0,SinNoLevy24!$D$47,"  ")</f>
        <v>824392</v>
      </c>
      <c r="E46" s="65"/>
      <c r="F46" s="87">
        <f>IF(SinNoLevy24!$E$47&gt;0,SinNoLevy24!$E$47,"  ")</f>
        <v>1017967</v>
      </c>
      <c r="G46" s="65"/>
      <c r="H46" s="65"/>
      <c r="J46" s="515"/>
      <c r="K46" s="509"/>
      <c r="L46" s="509"/>
      <c r="M46" s="516"/>
    </row>
    <row r="47" spans="1:13" ht="15.75">
      <c r="A47" s="87" t="str">
        <f>IF(inputPrYr!$B54&gt;"  ",(inputPrYr!$B54),"  ")</f>
        <v>  </v>
      </c>
      <c r="B47" s="87" t="str">
        <f>IF(SinNoLevy25!$C$47&gt;0,SinNoLevy25!$C$47,"  ")</f>
        <v>  </v>
      </c>
      <c r="C47" s="65"/>
      <c r="D47" s="87" t="str">
        <f>IF(SinNoLevy25!$D$47&gt;0,SinNoLevy25!$D$47,"  ")</f>
        <v>  </v>
      </c>
      <c r="E47" s="65"/>
      <c r="F47" s="87" t="str">
        <f>IF(SinNoLevy25!$E$47&gt;0,SinNoLevy25!$E$47,"  ")</f>
        <v>  </v>
      </c>
      <c r="G47" s="65"/>
      <c r="H47" s="65"/>
      <c r="J47" s="515" t="str">
        <f>CONCATENATE("",H2-1," Mill Rate Was:")</f>
        <v>2012 Mill Rate Was:</v>
      </c>
      <c r="K47" s="509"/>
      <c r="L47" s="509"/>
      <c r="M47" s="517">
        <f>E52</f>
        <v>48.436</v>
      </c>
    </row>
    <row r="48" spans="1:13" ht="15.75">
      <c r="A48" s="87" t="str">
        <f>IF(inputPrYr!$B57&gt;"  ",(NonBudA!$A3),"  ")</f>
        <v>  </v>
      </c>
      <c r="B48" s="87" t="str">
        <f>IF(NonBudA!$K$28&gt;0,NonBudA!$K$28,"  ")</f>
        <v>  </v>
      </c>
      <c r="C48" s="65"/>
      <c r="D48" s="87"/>
      <c r="E48" s="65"/>
      <c r="F48" s="87"/>
      <c r="G48" s="65"/>
      <c r="H48" s="65"/>
      <c r="J48" s="518" t="str">
        <f>CONCATENATE("",H2," Tax Levy Fund Expenditures Must Be")</f>
        <v>2013 Tax Levy Fund Expenditures Must Be</v>
      </c>
      <c r="K48" s="519"/>
      <c r="L48" s="519"/>
      <c r="M48" s="516"/>
    </row>
    <row r="49" spans="1:13" ht="15.75">
      <c r="A49" s="87" t="str">
        <f>IF(inputPrYr!$B63&gt;"  ",(NonBudB!$A3),"  ")</f>
        <v>  </v>
      </c>
      <c r="B49" s="87" t="str">
        <f>IF(NonBudB!$K$28&gt;0,NonBudB!$K$28,"  ")</f>
        <v>  </v>
      </c>
      <c r="C49" s="65"/>
      <c r="D49" s="87"/>
      <c r="E49" s="65"/>
      <c r="F49" s="87"/>
      <c r="G49" s="65"/>
      <c r="H49" s="65"/>
      <c r="J49" s="518">
        <f>IF(M49&gt;0,"Increased By:","")</f>
      </c>
      <c r="K49" s="519"/>
      <c r="L49" s="519"/>
      <c r="M49" s="590">
        <f>IF(M56&lt;0,M56*-1,0)</f>
        <v>0</v>
      </c>
    </row>
    <row r="50" spans="1:13" ht="15.75">
      <c r="A50" s="87" t="str">
        <f>IF(inputPrYr!$B69&gt;"  ",(NonBudC!$A3),"  ")</f>
        <v>  </v>
      </c>
      <c r="B50" s="87" t="str">
        <f>IF(NonBudC!$K$28&gt;0,NonBudC!$K$28,"  ")</f>
        <v>  </v>
      </c>
      <c r="C50" s="65"/>
      <c r="D50" s="87"/>
      <c r="E50" s="65"/>
      <c r="F50" s="87"/>
      <c r="G50" s="65"/>
      <c r="H50" s="65"/>
      <c r="J50" s="591" t="str">
        <f>IF(M50&lt;0,"Reduced By:","")</f>
        <v>Reduced By:</v>
      </c>
      <c r="K50" s="592"/>
      <c r="L50" s="592"/>
      <c r="M50" s="593">
        <f>IF(M56&gt;0,M56*-1,0)</f>
        <v>-13.31031484156847</v>
      </c>
    </row>
    <row r="51" spans="1:13" ht="16.5" thickBot="1">
      <c r="A51" s="87" t="str">
        <f>IF(inputPrYr!$B75&gt;"  ",(NonBudD!$A3),"  ")</f>
        <v>  </v>
      </c>
      <c r="B51" s="528" t="str">
        <f>IF(NonBudD!$K$28&gt;0,NonBudD!$K$28,"  ")</f>
        <v>  </v>
      </c>
      <c r="C51" s="529"/>
      <c r="D51" s="528"/>
      <c r="E51" s="529"/>
      <c r="F51" s="528"/>
      <c r="G51" s="529"/>
      <c r="H51" s="529"/>
      <c r="J51" s="522"/>
      <c r="K51" s="522"/>
      <c r="L51" s="522"/>
      <c r="M51" s="522"/>
    </row>
    <row r="52" spans="1:13" ht="15.75">
      <c r="A52" s="143" t="s">
        <v>363</v>
      </c>
      <c r="B52" s="558">
        <f>SUM(B15:B51)</f>
        <v>13140284</v>
      </c>
      <c r="C52" s="559">
        <f>SUM(C15:C27)</f>
        <v>48.421</v>
      </c>
      <c r="D52" s="558">
        <f>SUM(D15:D51)</f>
        <v>13172946</v>
      </c>
      <c r="E52" s="559">
        <f>SUM(E15:E27)</f>
        <v>48.436</v>
      </c>
      <c r="F52" s="558">
        <f>SUM(F15:F51)</f>
        <v>15537989</v>
      </c>
      <c r="G52" s="558">
        <f>SUM(G15:G51)</f>
        <v>2607707.3103148416</v>
      </c>
      <c r="H52" s="559">
        <f>SUM(H15:H27)</f>
        <v>48.436</v>
      </c>
      <c r="J52" s="814" t="str">
        <f>CONCATENATE("Impact On Keeping The Same Mill Rate As For ",H2-1,"")</f>
        <v>Impact On Keeping The Same Mill Rate As For 2012</v>
      </c>
      <c r="K52" s="817"/>
      <c r="L52" s="817"/>
      <c r="M52" s="818"/>
    </row>
    <row r="53" spans="1:13" ht="15.75">
      <c r="A53" s="52" t="s">
        <v>635</v>
      </c>
      <c r="B53" s="488">
        <f>transfers!D26</f>
        <v>1862824.64</v>
      </c>
      <c r="C53" s="557"/>
      <c r="D53" s="488">
        <f>transfers!E26</f>
        <v>1797008.189685159</v>
      </c>
      <c r="E53" s="339"/>
      <c r="F53" s="488">
        <f>transfers!F26</f>
        <v>2056197.6700000002</v>
      </c>
      <c r="G53" s="555"/>
      <c r="H53" s="339"/>
      <c r="I53" s="525"/>
      <c r="J53" s="515"/>
      <c r="K53" s="509"/>
      <c r="L53" s="509"/>
      <c r="M53" s="516"/>
    </row>
    <row r="54" spans="1:13" ht="16.5" thickBot="1">
      <c r="A54" s="52" t="s">
        <v>636</v>
      </c>
      <c r="B54" s="336">
        <f>B52-B53</f>
        <v>11277459.36</v>
      </c>
      <c r="C54" s="47"/>
      <c r="D54" s="336">
        <f>D52-D53</f>
        <v>11375937.810314842</v>
      </c>
      <c r="E54" s="47"/>
      <c r="F54" s="336">
        <f>F52-F53</f>
        <v>13481791.33</v>
      </c>
      <c r="G54" s="47"/>
      <c r="H54" s="47"/>
      <c r="J54" s="515" t="str">
        <f>CONCATENATE("",H2," Ad Valorem Tax Revenue:")</f>
        <v>2013 Ad Valorem Tax Revenue:</v>
      </c>
      <c r="K54" s="509"/>
      <c r="L54" s="509"/>
      <c r="M54" s="510">
        <f>G52</f>
        <v>2607707.3103148416</v>
      </c>
    </row>
    <row r="55" spans="1:13" ht="16.5" thickTop="1">
      <c r="A55" s="52" t="s">
        <v>637</v>
      </c>
      <c r="B55" s="488">
        <f>inputPrYr!$E$99</f>
        <v>2602263</v>
      </c>
      <c r="C55" s="197"/>
      <c r="D55" s="488">
        <f>inputPrYr!$E$31</f>
        <v>2622287</v>
      </c>
      <c r="E55" s="197"/>
      <c r="F55" s="327" t="s">
        <v>598</v>
      </c>
      <c r="G55" s="47"/>
      <c r="H55" s="47"/>
      <c r="J55" s="515" t="str">
        <f>CONCATENATE("",H2-1," Ad Valorem Tax Revenue:")</f>
        <v>2012 Ad Valorem Tax Revenue:</v>
      </c>
      <c r="K55" s="509"/>
      <c r="L55" s="509"/>
      <c r="M55" s="523">
        <f>ROUND(F57*M47/1000,0)</f>
        <v>2607694</v>
      </c>
    </row>
    <row r="56" spans="1:13" ht="15.75">
      <c r="A56" s="52" t="s">
        <v>638</v>
      </c>
      <c r="B56" s="199"/>
      <c r="C56" s="47"/>
      <c r="D56" s="489"/>
      <c r="E56" s="201"/>
      <c r="F56" s="152"/>
      <c r="G56" s="47"/>
      <c r="H56" s="47"/>
      <c r="J56" s="520" t="s">
        <v>353</v>
      </c>
      <c r="K56" s="521"/>
      <c r="L56" s="521"/>
      <c r="M56" s="513">
        <f>SUM(M54-M55)</f>
        <v>13.31031484156847</v>
      </c>
    </row>
    <row r="57" spans="1:13" ht="15.75">
      <c r="A57" s="52" t="s">
        <v>639</v>
      </c>
      <c r="B57" s="488">
        <f>inputPrYr!$E$100</f>
        <v>53742913</v>
      </c>
      <c r="C57" s="76"/>
      <c r="D57" s="488">
        <f>inputOth!$E$36</f>
        <v>54139668</v>
      </c>
      <c r="E57" s="76"/>
      <c r="F57" s="488">
        <f>inputOth!$E$7</f>
        <v>53837928</v>
      </c>
      <c r="G57" s="47"/>
      <c r="H57" s="47"/>
      <c r="J57" s="514"/>
      <c r="K57" s="514"/>
      <c r="L57" s="514"/>
      <c r="M57" s="522"/>
    </row>
    <row r="58" spans="1:13" ht="15.75">
      <c r="A58" s="52" t="s">
        <v>640</v>
      </c>
      <c r="B58" s="47"/>
      <c r="C58" s="47"/>
      <c r="D58" s="47"/>
      <c r="E58" s="47"/>
      <c r="F58" s="47"/>
      <c r="G58" s="47"/>
      <c r="H58" s="47"/>
      <c r="J58" s="814" t="s">
        <v>354</v>
      </c>
      <c r="K58" s="815"/>
      <c r="L58" s="815"/>
      <c r="M58" s="816"/>
    </row>
    <row r="59" spans="1:13" ht="15.75">
      <c r="A59" s="52" t="s">
        <v>641</v>
      </c>
      <c r="B59" s="328">
        <f>$H$2-3</f>
        <v>2010</v>
      </c>
      <c r="C59" s="47"/>
      <c r="D59" s="328">
        <f>$H$2-2</f>
        <v>2011</v>
      </c>
      <c r="E59" s="47"/>
      <c r="F59" s="328">
        <f>$H$2-1</f>
        <v>2012</v>
      </c>
      <c r="G59" s="47"/>
      <c r="H59" s="47"/>
      <c r="J59" s="515"/>
      <c r="K59" s="509"/>
      <c r="L59" s="509"/>
      <c r="M59" s="516"/>
    </row>
    <row r="60" spans="1:13" ht="13.5" customHeight="1">
      <c r="A60" s="52" t="s">
        <v>642</v>
      </c>
      <c r="B60" s="239">
        <f>inputPrYr!$D$104</f>
        <v>16415000</v>
      </c>
      <c r="C60" s="172"/>
      <c r="D60" s="239">
        <f>inputPrYr!$E$104</f>
        <v>19165000</v>
      </c>
      <c r="E60" s="172"/>
      <c r="F60" s="239">
        <f>debt!$G$20</f>
        <v>17722000</v>
      </c>
      <c r="G60" s="47"/>
      <c r="H60" s="47"/>
      <c r="J60" s="515" t="str">
        <f>CONCATENATE("Current ",H2," Estimated Mill Rate:")</f>
        <v>Current 2013 Estimated Mill Rate:</v>
      </c>
      <c r="K60" s="509"/>
      <c r="L60" s="509"/>
      <c r="M60" s="517">
        <f>H52</f>
        <v>48.436</v>
      </c>
    </row>
    <row r="61" spans="1:13" ht="15.75">
      <c r="A61" s="52" t="s">
        <v>643</v>
      </c>
      <c r="B61" s="488">
        <f>inputPrYr!$D$105</f>
        <v>2400000</v>
      </c>
      <c r="C61" s="172"/>
      <c r="D61" s="488">
        <f>inputPrYr!$E$105</f>
        <v>2095000</v>
      </c>
      <c r="E61" s="172"/>
      <c r="F61" s="239">
        <f>debt!$G$32</f>
        <v>1780000</v>
      </c>
      <c r="G61" s="47"/>
      <c r="H61" s="47"/>
      <c r="J61" s="515" t="str">
        <f>CONCATENATE("Desired ",H2," Mill Rate:")</f>
        <v>Desired 2013 Mill Rate:</v>
      </c>
      <c r="K61" s="509"/>
      <c r="L61" s="509"/>
      <c r="M61" s="507">
        <v>0</v>
      </c>
    </row>
    <row r="62" spans="1:13" ht="18.75" customHeight="1">
      <c r="A62" s="47" t="s">
        <v>661</v>
      </c>
      <c r="B62" s="488">
        <f>inputPrYr!$D$106</f>
        <v>2420500</v>
      </c>
      <c r="C62" s="172"/>
      <c r="D62" s="488">
        <f>inputPrYr!$E$106</f>
        <v>0</v>
      </c>
      <c r="E62" s="172"/>
      <c r="F62" s="239">
        <f>debt!$G$42</f>
        <v>0</v>
      </c>
      <c r="G62" s="47"/>
      <c r="H62" s="47"/>
      <c r="J62" s="515" t="str">
        <f>CONCATENATE("",H2," Ad Valorem Tax:")</f>
        <v>2013 Ad Valorem Tax:</v>
      </c>
      <c r="K62" s="509"/>
      <c r="L62" s="509"/>
      <c r="M62" s="523">
        <f>ROUND(F57*M61/1000,0)</f>
        <v>0</v>
      </c>
    </row>
    <row r="63" spans="1:13" ht="18.75" customHeight="1">
      <c r="A63" s="52" t="s">
        <v>739</v>
      </c>
      <c r="B63" s="488">
        <f>inputPrYr!$D$107</f>
        <v>527049</v>
      </c>
      <c r="C63" s="172"/>
      <c r="D63" s="488">
        <f>inputPrYr!$E$107</f>
        <v>464549</v>
      </c>
      <c r="E63" s="172"/>
      <c r="F63" s="239">
        <f>lpform!$G$28</f>
        <v>402049</v>
      </c>
      <c r="G63" s="47"/>
      <c r="H63" s="47"/>
      <c r="J63" s="520" t="str">
        <f>CONCATENATE("",H2," Tax Levy Fund Exp. Changed By:")</f>
        <v>2013 Tax Levy Fund Exp. Changed By:</v>
      </c>
      <c r="K63" s="521"/>
      <c r="L63" s="521"/>
      <c r="M63" s="513">
        <f>IF(M61=0,0,(M62-G52))</f>
        <v>0</v>
      </c>
    </row>
    <row r="64" spans="1:8" ht="18.75" customHeight="1" thickBot="1">
      <c r="A64" s="52" t="s">
        <v>644</v>
      </c>
      <c r="B64" s="564">
        <f>SUM(B60:B63)</f>
        <v>21762549</v>
      </c>
      <c r="C64" s="172"/>
      <c r="D64" s="564">
        <f>SUM(D60:D63)</f>
        <v>21724549</v>
      </c>
      <c r="E64" s="172"/>
      <c r="F64" s="564">
        <f>SUM(F60:F63)</f>
        <v>19904049</v>
      </c>
      <c r="G64" s="47"/>
      <c r="H64" s="47"/>
    </row>
    <row r="65" spans="1:8" ht="18.75" customHeight="1" thickTop="1">
      <c r="A65" s="52" t="s">
        <v>645</v>
      </c>
      <c r="B65" s="47"/>
      <c r="C65" s="47"/>
      <c r="D65" s="47"/>
      <c r="E65" s="47"/>
      <c r="F65" s="47"/>
      <c r="G65" s="47"/>
      <c r="H65" s="47"/>
    </row>
    <row r="66" spans="1:8" ht="15.75">
      <c r="A66" s="47"/>
      <c r="B66" s="47"/>
      <c r="C66" s="47"/>
      <c r="D66" s="47"/>
      <c r="E66" s="47"/>
      <c r="F66" s="47"/>
      <c r="G66" s="47"/>
      <c r="H66" s="47"/>
    </row>
    <row r="67" spans="1:8" ht="15.75">
      <c r="A67" s="813" t="str">
        <f>inputBudSum!B3</f>
        <v>Janie Cox</v>
      </c>
      <c r="B67" s="813"/>
      <c r="C67" s="76"/>
      <c r="D67" s="47"/>
      <c r="E67" s="47"/>
      <c r="F67" s="47"/>
      <c r="G67" s="47"/>
      <c r="H67" s="47"/>
    </row>
    <row r="68" spans="1:8" ht="15.75">
      <c r="A68" s="169" t="s">
        <v>790</v>
      </c>
      <c r="B68" s="620" t="str">
        <f>inputBudSum!B5</f>
        <v>City Clerk/Treasurer</v>
      </c>
      <c r="C68" s="47"/>
      <c r="D68" s="47"/>
      <c r="E68" s="47"/>
      <c r="F68" s="47"/>
      <c r="G68" s="47"/>
      <c r="H68" s="47"/>
    </row>
    <row r="69" spans="1:8" ht="15.75">
      <c r="A69" s="47"/>
      <c r="B69" s="47"/>
      <c r="C69" s="47"/>
      <c r="D69" s="47"/>
      <c r="E69" s="47"/>
      <c r="F69" s="47"/>
      <c r="G69" s="47"/>
      <c r="H69" s="47"/>
    </row>
    <row r="70" spans="1:8" ht="15.75">
      <c r="A70" s="47"/>
      <c r="B70" s="47"/>
      <c r="C70" s="136" t="s">
        <v>620</v>
      </c>
      <c r="D70" s="280">
        <v>21</v>
      </c>
      <c r="E70" s="47"/>
      <c r="F70" s="47"/>
      <c r="G70" s="47"/>
      <c r="H70" s="47"/>
    </row>
  </sheetData>
  <sheetProtection sheet="1"/>
  <mergeCells count="11">
    <mergeCell ref="J58:M58"/>
    <mergeCell ref="J52:M52"/>
    <mergeCell ref="J45:M45"/>
    <mergeCell ref="J41:M41"/>
    <mergeCell ref="A5:H5"/>
    <mergeCell ref="A1:H1"/>
    <mergeCell ref="A4:H4"/>
    <mergeCell ref="A6:H6"/>
    <mergeCell ref="A7:H7"/>
    <mergeCell ref="A3:H3"/>
    <mergeCell ref="A67:B67"/>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Haysville</v>
      </c>
      <c r="B1" s="47"/>
      <c r="C1" s="47"/>
      <c r="D1" s="47"/>
      <c r="E1" s="47"/>
      <c r="F1" s="47">
        <f>inputPrYr!C5</f>
        <v>2013</v>
      </c>
    </row>
    <row r="2" spans="1:6" ht="15.75">
      <c r="A2" s="47"/>
      <c r="B2" s="47"/>
      <c r="C2" s="47"/>
      <c r="D2" s="47"/>
      <c r="E2" s="47"/>
      <c r="F2" s="47"/>
    </row>
    <row r="3" spans="1:6" ht="15.75">
      <c r="A3" s="47"/>
      <c r="B3" s="779" t="str">
        <f>CONCATENATE("",F1," Neighborhood Revitalization Rebate")</f>
        <v>2013 Neighborhood Revitalization Rebate</v>
      </c>
      <c r="C3" s="823"/>
      <c r="D3" s="823"/>
      <c r="E3" s="823"/>
      <c r="F3" s="47"/>
    </row>
    <row r="4" spans="1:6" ht="15.75">
      <c r="A4" s="47"/>
      <c r="B4" s="47"/>
      <c r="C4" s="47"/>
      <c r="D4" s="47"/>
      <c r="E4" s="47"/>
      <c r="F4" s="47"/>
    </row>
    <row r="5" spans="1:6" ht="51.75" customHeight="1">
      <c r="A5" s="47"/>
      <c r="B5" s="330" t="str">
        <f>CONCATENATE("Budgeted Funds         for ",F1,"")</f>
        <v>Budgeted Funds         for 2013</v>
      </c>
      <c r="C5" s="330" t="str">
        <f>CONCATENATE("",F1-1," Ad Valorem before Rebate**")</f>
        <v>2012 Ad Valorem before Rebate**</v>
      </c>
      <c r="D5" s="331" t="str">
        <f>CONCATENATE("",F1-1," Mil Rate before Rebate")</f>
        <v>2012 Mil Rate before Rebate</v>
      </c>
      <c r="E5" s="332" t="str">
        <f>CONCATENATE("Estimate ",F1," NR Rebate")</f>
        <v>Estimate 2013 NR Rebate</v>
      </c>
      <c r="F5" s="98"/>
    </row>
    <row r="6" spans="1:6" ht="15.75">
      <c r="A6" s="47"/>
      <c r="B6" s="64" t="str">
        <f>inputPrYr!B17</f>
        <v>General</v>
      </c>
      <c r="C6" s="333"/>
      <c r="D6" s="334">
        <f>IF(C6&gt;0,C6/$D$24,"")</f>
      </c>
      <c r="E6" s="239">
        <f aca="true" t="shared" si="0" ref="E6:E17">IF(C6&gt;0,ROUND(D6*$D$28,0),"")</f>
      </c>
      <c r="F6" s="98"/>
    </row>
    <row r="7" spans="1:6" ht="15.75">
      <c r="A7" s="47"/>
      <c r="B7" s="64" t="str">
        <f>inputPrYr!B18</f>
        <v>Debt Service</v>
      </c>
      <c r="C7" s="333"/>
      <c r="D7" s="334">
        <f aca="true" t="shared" si="1" ref="D7:D17">IF(C7&gt;0,C7/$D$24,"")</f>
      </c>
      <c r="E7" s="239">
        <f t="shared" si="0"/>
      </c>
      <c r="F7" s="98"/>
    </row>
    <row r="8" spans="1:6" ht="15.75">
      <c r="A8" s="47"/>
      <c r="B8" s="87" t="str">
        <f>inputPrYr!B19</f>
        <v>Library</v>
      </c>
      <c r="C8" s="333"/>
      <c r="D8" s="334">
        <f t="shared" si="1"/>
      </c>
      <c r="E8" s="239">
        <f t="shared" si="0"/>
      </c>
      <c r="F8" s="98"/>
    </row>
    <row r="9" spans="1:6" ht="15.75">
      <c r="A9" s="47"/>
      <c r="B9" s="87" t="str">
        <f>inputPrYr!B21</f>
        <v>Law Enforcement</v>
      </c>
      <c r="C9" s="333"/>
      <c r="D9" s="334">
        <f t="shared" si="1"/>
      </c>
      <c r="E9" s="239">
        <f t="shared" si="0"/>
      </c>
      <c r="F9" s="98"/>
    </row>
    <row r="10" spans="1:6" ht="15.75">
      <c r="A10" s="47"/>
      <c r="B10" s="87" t="str">
        <f>inputPrYr!B22</f>
        <v>Special Liability</v>
      </c>
      <c r="C10" s="333"/>
      <c r="D10" s="334">
        <f t="shared" si="1"/>
      </c>
      <c r="E10" s="239">
        <f t="shared" si="0"/>
      </c>
      <c r="F10" s="98"/>
    </row>
    <row r="11" spans="1:6" ht="15.75">
      <c r="A11" s="47"/>
      <c r="B11" s="87">
        <f>inputPrYr!B23</f>
        <v>0</v>
      </c>
      <c r="C11" s="333"/>
      <c r="D11" s="334">
        <f t="shared" si="1"/>
      </c>
      <c r="E11" s="239">
        <f t="shared" si="0"/>
      </c>
      <c r="F11" s="98"/>
    </row>
    <row r="12" spans="1:6" ht="15.75">
      <c r="A12" s="47"/>
      <c r="B12" s="87">
        <f>inputPrYr!B24</f>
        <v>0</v>
      </c>
      <c r="C12" s="335"/>
      <c r="D12" s="334">
        <f t="shared" si="1"/>
      </c>
      <c r="E12" s="239">
        <f t="shared" si="0"/>
      </c>
      <c r="F12" s="98"/>
    </row>
    <row r="13" spans="1:6" ht="15.75">
      <c r="A13" s="47"/>
      <c r="B13" s="87">
        <f>inputPrYr!B25</f>
        <v>0</v>
      </c>
      <c r="C13" s="335"/>
      <c r="D13" s="334">
        <f t="shared" si="1"/>
      </c>
      <c r="E13" s="239">
        <f t="shared" si="0"/>
      </c>
      <c r="F13" s="98"/>
    </row>
    <row r="14" spans="1:6" ht="15.75">
      <c r="A14" s="47"/>
      <c r="B14" s="87">
        <f>inputPrYr!B26</f>
        <v>0</v>
      </c>
      <c r="C14" s="335"/>
      <c r="D14" s="334">
        <f t="shared" si="1"/>
      </c>
      <c r="E14" s="239">
        <f t="shared" si="0"/>
      </c>
      <c r="F14" s="98"/>
    </row>
    <row r="15" spans="1:6" ht="15.75">
      <c r="A15" s="47"/>
      <c r="B15" s="87">
        <f>inputPrYr!B27</f>
        <v>0</v>
      </c>
      <c r="C15" s="335"/>
      <c r="D15" s="334">
        <f t="shared" si="1"/>
      </c>
      <c r="E15" s="239">
        <f t="shared" si="0"/>
      </c>
      <c r="F15" s="98"/>
    </row>
    <row r="16" spans="1:6" ht="15.75">
      <c r="A16" s="47"/>
      <c r="B16" s="87">
        <f>inputPrYr!B28</f>
        <v>0</v>
      </c>
      <c r="C16" s="335"/>
      <c r="D16" s="334">
        <f t="shared" si="1"/>
      </c>
      <c r="E16" s="239">
        <f t="shared" si="0"/>
      </c>
      <c r="F16" s="98"/>
    </row>
    <row r="17" spans="1:6" ht="15.75">
      <c r="A17" s="47"/>
      <c r="B17" s="87">
        <f>inputPrYr!B29</f>
        <v>0</v>
      </c>
      <c r="C17" s="335"/>
      <c r="D17" s="334">
        <f t="shared" si="1"/>
      </c>
      <c r="E17" s="239">
        <f t="shared" si="0"/>
      </c>
      <c r="F17" s="98"/>
    </row>
    <row r="18" spans="1:6" ht="15.75">
      <c r="A18" s="47"/>
      <c r="B18" s="87">
        <f>inputPrYr!B30</f>
        <v>0</v>
      </c>
      <c r="C18" s="335"/>
      <c r="D18" s="334">
        <f>IF(C18&gt;0,C18/$D$24,"")</f>
      </c>
      <c r="E18" s="239">
        <f>IF(C18&gt;0,ROUND(D18*$D$28,0),"")</f>
      </c>
      <c r="F18" s="98"/>
    </row>
    <row r="19" spans="1:6" ht="16.5" thickBot="1">
      <c r="A19" s="47"/>
      <c r="B19" s="65" t="s">
        <v>604</v>
      </c>
      <c r="C19" s="336">
        <f>SUM(C6:C18)</f>
        <v>0</v>
      </c>
      <c r="D19" s="337">
        <f>SUM(D6:D17)</f>
        <v>0</v>
      </c>
      <c r="E19" s="336">
        <f>SUM(E6:E17)</f>
        <v>0</v>
      </c>
      <c r="F19" s="98"/>
    </row>
    <row r="20" spans="1:6" ht="16.5" thickTop="1">
      <c r="A20" s="47"/>
      <c r="B20" s="47"/>
      <c r="C20" s="47"/>
      <c r="D20" s="47"/>
      <c r="E20" s="47"/>
      <c r="F20" s="98"/>
    </row>
    <row r="21" spans="1:6" ht="15.75">
      <c r="A21" s="47"/>
      <c r="B21" s="47"/>
      <c r="C21" s="47"/>
      <c r="D21" s="47"/>
      <c r="E21" s="47"/>
      <c r="F21" s="98"/>
    </row>
    <row r="22" spans="1:6" ht="15.75">
      <c r="A22" s="824" t="str">
        <f>CONCATENATE("",F1-1," July 1 Valuation:")</f>
        <v>2012 July 1 Valuation:</v>
      </c>
      <c r="B22" s="800"/>
      <c r="C22" s="824"/>
      <c r="D22" s="329">
        <f>inputOth!E7</f>
        <v>53837928</v>
      </c>
      <c r="E22" s="47"/>
      <c r="F22" s="98"/>
    </row>
    <row r="23" spans="1:6" ht="15.75">
      <c r="A23" s="47"/>
      <c r="B23" s="47"/>
      <c r="C23" s="47"/>
      <c r="D23" s="47"/>
      <c r="E23" s="47"/>
      <c r="F23" s="98"/>
    </row>
    <row r="24" spans="1:6" ht="15.75">
      <c r="A24" s="47"/>
      <c r="B24" s="824" t="s">
        <v>879</v>
      </c>
      <c r="C24" s="824"/>
      <c r="D24" s="338">
        <f>IF(D22&gt;0,(D22*0.001),"")</f>
        <v>53837.928</v>
      </c>
      <c r="E24" s="47"/>
      <c r="F24" s="98"/>
    </row>
    <row r="25" spans="1:6" ht="15.75">
      <c r="A25" s="47"/>
      <c r="B25" s="136"/>
      <c r="C25" s="136"/>
      <c r="D25" s="339"/>
      <c r="E25" s="47"/>
      <c r="F25" s="98"/>
    </row>
    <row r="26" spans="1:6" ht="15.75">
      <c r="A26" s="822" t="s">
        <v>880</v>
      </c>
      <c r="B26" s="769"/>
      <c r="C26" s="769"/>
      <c r="D26" s="340">
        <f>inputOth!E17</f>
        <v>902097</v>
      </c>
      <c r="E26" s="68"/>
      <c r="F26" s="68"/>
    </row>
    <row r="27" spans="1:6" ht="15">
      <c r="A27" s="68"/>
      <c r="B27" s="68"/>
      <c r="C27" s="68"/>
      <c r="D27" s="341"/>
      <c r="E27" s="68"/>
      <c r="F27" s="68"/>
    </row>
    <row r="28" spans="1:6" ht="15.75">
      <c r="A28" s="68"/>
      <c r="B28" s="822" t="s">
        <v>881</v>
      </c>
      <c r="C28" s="800"/>
      <c r="D28" s="342">
        <f>IF(D26&gt;0,(D26*0.001),"")</f>
        <v>902.097</v>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71"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71" t="s">
        <v>228</v>
      </c>
      <c r="B33" s="68"/>
      <c r="C33" s="68"/>
      <c r="D33" s="68"/>
      <c r="E33" s="68"/>
      <c r="F33" s="68"/>
    </row>
    <row r="34" spans="1:6" ht="15.75">
      <c r="A34" s="371"/>
      <c r="B34" s="68"/>
      <c r="C34" s="68"/>
      <c r="D34" s="68"/>
      <c r="E34" s="68"/>
      <c r="F34" s="68"/>
    </row>
    <row r="35" spans="1:6" ht="15.75">
      <c r="A35" s="371"/>
      <c r="B35" s="68"/>
      <c r="C35" s="68"/>
      <c r="D35" s="68"/>
      <c r="E35" s="68"/>
      <c r="F35" s="68"/>
    </row>
    <row r="36" spans="1:6" ht="15.75">
      <c r="A36" s="371"/>
      <c r="B36" s="68"/>
      <c r="C36" s="68"/>
      <c r="D36" s="68"/>
      <c r="E36" s="68"/>
      <c r="F36" s="68"/>
    </row>
    <row r="37" spans="1:6" ht="15.75">
      <c r="A37" s="371"/>
      <c r="B37" s="68"/>
      <c r="C37" s="68"/>
      <c r="D37" s="68"/>
      <c r="E37" s="68"/>
      <c r="F37" s="68"/>
    </row>
    <row r="38" spans="1:6" ht="15">
      <c r="A38" s="68"/>
      <c r="B38" s="68"/>
      <c r="C38" s="68"/>
      <c r="D38" s="68"/>
      <c r="E38" s="68"/>
      <c r="F38" s="68"/>
    </row>
    <row r="39" spans="1:6" ht="15.75">
      <c r="A39" s="68"/>
      <c r="B39" s="187" t="s">
        <v>628</v>
      </c>
      <c r="C39" s="280"/>
      <c r="D39" s="68"/>
      <c r="E39" s="68"/>
      <c r="F39" s="68"/>
    </row>
    <row r="40" spans="1:6" ht="15.75">
      <c r="A40" s="98"/>
      <c r="B40" s="47"/>
      <c r="C40" s="47"/>
      <c r="D40" s="343"/>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H13" sqref="H13"/>
    </sheetView>
  </sheetViews>
  <sheetFormatPr defaultColWidth="8.796875" defaultRowHeight="15"/>
  <cols>
    <col min="1" max="1" width="13.796875" style="0" customWidth="1"/>
    <col min="2" max="2" width="16.09765625" style="0" customWidth="1"/>
  </cols>
  <sheetData>
    <row r="1" ht="15">
      <c r="J1" s="610" t="s">
        <v>424</v>
      </c>
    </row>
    <row r="2" spans="1:10" ht="54" customHeight="1">
      <c r="A2" s="762" t="s">
        <v>943</v>
      </c>
      <c r="B2" s="763"/>
      <c r="C2" s="763"/>
      <c r="D2" s="763"/>
      <c r="E2" s="763"/>
      <c r="F2" s="763"/>
      <c r="J2" s="610" t="s">
        <v>425</v>
      </c>
    </row>
    <row r="3" spans="1:10" ht="15.75">
      <c r="A3" s="1" t="s">
        <v>426</v>
      </c>
      <c r="B3" s="611" t="s">
        <v>55</v>
      </c>
      <c r="C3" s="611"/>
      <c r="J3" s="610" t="s">
        <v>427</v>
      </c>
    </row>
    <row r="4" spans="1:10" ht="15.75">
      <c r="A4" s="1"/>
      <c r="B4" s="612"/>
      <c r="J4" s="610" t="s">
        <v>428</v>
      </c>
    </row>
    <row r="5" spans="1:10" ht="15.75">
      <c r="A5" s="1" t="s">
        <v>355</v>
      </c>
      <c r="B5" s="611" t="s">
        <v>56</v>
      </c>
      <c r="J5" s="610" t="s">
        <v>429</v>
      </c>
    </row>
    <row r="6" spans="1:10" ht="15.75">
      <c r="A6" s="350"/>
      <c r="B6" s="350"/>
      <c r="C6" s="350"/>
      <c r="D6" s="351" t="s">
        <v>430</v>
      </c>
      <c r="E6" s="350"/>
      <c r="F6" s="350"/>
      <c r="J6" s="610" t="s">
        <v>431</v>
      </c>
    </row>
    <row r="7" spans="1:10" ht="15.75">
      <c r="A7" s="351" t="s">
        <v>944</v>
      </c>
      <c r="B7" s="611" t="s">
        <v>57</v>
      </c>
      <c r="C7" s="352"/>
      <c r="D7" s="351" t="str">
        <f>IF(B7="","",CONCATENATE("Latest date for notice to be published in your newspaper: ",G18," ",G22,", ",G23))</f>
        <v>Latest date for notice to be published in your newspaper: August 3, 2012</v>
      </c>
      <c r="E7" s="350"/>
      <c r="F7" s="350"/>
      <c r="J7" s="610" t="s">
        <v>432</v>
      </c>
    </row>
    <row r="8" spans="1:10" ht="15.75">
      <c r="A8" s="351"/>
      <c r="B8" s="353"/>
      <c r="C8" s="354"/>
      <c r="D8" s="351"/>
      <c r="E8" s="350"/>
      <c r="F8" s="350"/>
      <c r="J8" s="610" t="s">
        <v>433</v>
      </c>
    </row>
    <row r="9" spans="1:10" ht="15.75">
      <c r="A9" s="351" t="s">
        <v>945</v>
      </c>
      <c r="B9" s="611" t="s">
        <v>58</v>
      </c>
      <c r="C9" s="355"/>
      <c r="D9" s="351"/>
      <c r="E9" s="350"/>
      <c r="F9" s="350"/>
      <c r="J9" s="610" t="s">
        <v>434</v>
      </c>
    </row>
    <row r="10" spans="1:10" ht="15.75">
      <c r="A10" s="351"/>
      <c r="B10" s="351"/>
      <c r="C10" s="351"/>
      <c r="D10" s="351"/>
      <c r="E10" s="350"/>
      <c r="F10" s="350"/>
      <c r="J10" s="610" t="s">
        <v>435</v>
      </c>
    </row>
    <row r="11" spans="1:10" ht="15.75">
      <c r="A11" s="351" t="s">
        <v>946</v>
      </c>
      <c r="B11" s="613" t="s">
        <v>59</v>
      </c>
      <c r="C11" s="613"/>
      <c r="D11" s="613"/>
      <c r="E11" s="614"/>
      <c r="F11" s="350"/>
      <c r="J11" s="610" t="s">
        <v>436</v>
      </c>
    </row>
    <row r="12" spans="1:10" ht="15.75">
      <c r="A12" s="351"/>
      <c r="B12" s="351"/>
      <c r="C12" s="351"/>
      <c r="D12" s="351"/>
      <c r="E12" s="350"/>
      <c r="F12" s="350"/>
      <c r="J12" s="610" t="s">
        <v>437</v>
      </c>
    </row>
    <row r="13" spans="1:6" ht="15.75">
      <c r="A13" s="351"/>
      <c r="B13" s="351"/>
      <c r="C13" s="351"/>
      <c r="D13" s="351"/>
      <c r="E13" s="350"/>
      <c r="F13" s="350"/>
    </row>
    <row r="14" spans="1:6" ht="15.75">
      <c r="A14" s="351" t="s">
        <v>947</v>
      </c>
      <c r="B14" s="613" t="s">
        <v>60</v>
      </c>
      <c r="C14" s="613"/>
      <c r="D14" s="613"/>
      <c r="E14" s="614"/>
      <c r="F14" s="350"/>
    </row>
    <row r="17" spans="1:6" ht="15.75">
      <c r="A17" s="764" t="s">
        <v>948</v>
      </c>
      <c r="B17" s="764"/>
      <c r="C17" s="351"/>
      <c r="D17" s="351"/>
      <c r="E17" s="351"/>
      <c r="F17" s="350"/>
    </row>
    <row r="18" spans="1:7" ht="15.75">
      <c r="A18" s="351"/>
      <c r="B18" s="351"/>
      <c r="C18" s="351"/>
      <c r="D18" s="351"/>
      <c r="E18" s="351"/>
      <c r="F18" s="350"/>
      <c r="G18" s="610" t="str">
        <f ca="1">IF(B7="","",INDIRECT(G19))</f>
        <v>August</v>
      </c>
    </row>
    <row r="19" spans="1:7" ht="15.75">
      <c r="A19" s="351" t="s">
        <v>355</v>
      </c>
      <c r="B19" s="351" t="s">
        <v>356</v>
      </c>
      <c r="C19" s="351"/>
      <c r="D19" s="351"/>
      <c r="E19" s="351"/>
      <c r="F19" s="350"/>
      <c r="G19" s="615" t="str">
        <f>IF(B7="","",CONCATENATE("J",G21))</f>
        <v>J8</v>
      </c>
    </row>
    <row r="20" spans="1:7" ht="15.75">
      <c r="A20" s="351"/>
      <c r="B20" s="351"/>
      <c r="C20" s="351"/>
      <c r="D20" s="351"/>
      <c r="E20" s="351"/>
      <c r="F20" s="350"/>
      <c r="G20" s="616">
        <f>B7-10</f>
        <v>41124</v>
      </c>
    </row>
    <row r="21" spans="1:7" ht="15.75">
      <c r="A21" s="351" t="s">
        <v>944</v>
      </c>
      <c r="B21" s="353" t="s">
        <v>949</v>
      </c>
      <c r="C21" s="351"/>
      <c r="D21" s="351"/>
      <c r="E21" s="351"/>
      <c r="G21" s="617">
        <f>IF(B7="","",MONTH(G20))</f>
        <v>8</v>
      </c>
    </row>
    <row r="22" spans="1:7" ht="15.75">
      <c r="A22" s="351"/>
      <c r="B22" s="351"/>
      <c r="C22" s="351"/>
      <c r="D22" s="351"/>
      <c r="E22" s="351"/>
      <c r="G22" s="618">
        <f>IF(B7="","",DAY(G20))</f>
        <v>3</v>
      </c>
    </row>
    <row r="23" spans="1:7" ht="15.75">
      <c r="A23" s="351" t="s">
        <v>945</v>
      </c>
      <c r="B23" s="351" t="s">
        <v>950</v>
      </c>
      <c r="C23" s="351"/>
      <c r="D23" s="351"/>
      <c r="E23" s="351"/>
      <c r="G23" s="619">
        <f>IF(B7="","",YEAR(G20))</f>
        <v>2012</v>
      </c>
    </row>
    <row r="24" spans="1:5" ht="15.75">
      <c r="A24" s="351"/>
      <c r="B24" s="351"/>
      <c r="C24" s="351"/>
      <c r="D24" s="351"/>
      <c r="E24" s="351"/>
    </row>
    <row r="25" spans="1:5" ht="15.75">
      <c r="A25" s="351" t="s">
        <v>946</v>
      </c>
      <c r="B25" s="351" t="s">
        <v>951</v>
      </c>
      <c r="C25" s="351"/>
      <c r="D25" s="351"/>
      <c r="E25" s="351"/>
    </row>
    <row r="26" spans="1:5" ht="15.75">
      <c r="A26" s="351"/>
      <c r="B26" s="351"/>
      <c r="C26" s="351"/>
      <c r="D26" s="351"/>
      <c r="E26" s="351"/>
    </row>
    <row r="27" spans="1:5" ht="15.75">
      <c r="A27" s="351" t="s">
        <v>947</v>
      </c>
      <c r="B27" s="351" t="s">
        <v>951</v>
      </c>
      <c r="C27" s="351"/>
      <c r="D27" s="351"/>
      <c r="E27" s="35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825" t="s">
        <v>741</v>
      </c>
      <c r="B1" s="825"/>
      <c r="C1" s="825"/>
      <c r="D1" s="825"/>
      <c r="E1" s="825"/>
      <c r="F1" s="825"/>
      <c r="G1" s="825"/>
    </row>
    <row r="2" spans="1:7" ht="16.5" customHeight="1">
      <c r="A2" s="825"/>
      <c r="B2" s="825"/>
      <c r="C2" s="825"/>
      <c r="D2" s="825"/>
      <c r="E2" s="825"/>
      <c r="F2" s="825"/>
      <c r="G2" s="825"/>
    </row>
    <row r="3" spans="1:7" ht="16.5" customHeight="1">
      <c r="A3" s="826"/>
      <c r="B3" s="826"/>
      <c r="C3" s="826"/>
      <c r="D3" s="826"/>
      <c r="E3" s="826"/>
      <c r="F3" s="826"/>
      <c r="G3" s="826"/>
    </row>
    <row r="4" spans="1:7" ht="16.5" customHeight="1">
      <c r="A4" s="827" t="str">
        <f>CONCATENATE("AN ORDINANCE ATTESTING TO AN INCREASE IN TAX REVENUES FOR BUDGET YEAR ",inputPrYr!C5," FOR THE ",(inputPrYr!$D$2))</f>
        <v>AN ORDINANCE ATTESTING TO AN INCREASE IN TAX REVENUES FOR BUDGET YEAR 2013 FOR THE City of Haysville</v>
      </c>
      <c r="B4" s="827"/>
      <c r="C4" s="827"/>
      <c r="D4" s="827"/>
      <c r="E4" s="827"/>
      <c r="F4" s="827"/>
      <c r="G4" s="827"/>
    </row>
    <row r="5" spans="1:7" ht="16.5" customHeight="1">
      <c r="A5" s="827"/>
      <c r="B5" s="827"/>
      <c r="C5" s="827"/>
      <c r="D5" s="827"/>
      <c r="E5" s="827"/>
      <c r="F5" s="827"/>
      <c r="G5" s="827"/>
    </row>
    <row r="6" spans="1:7" ht="16.5" customHeight="1">
      <c r="A6" s="825"/>
      <c r="B6" s="825"/>
      <c r="C6" s="825"/>
      <c r="D6" s="825"/>
      <c r="E6" s="825"/>
      <c r="F6" s="825"/>
      <c r="G6" s="825"/>
    </row>
    <row r="7" spans="1:14" ht="16.5" customHeight="1">
      <c r="A7" s="827" t="str">
        <f>CONCATENATE("WHEREAS, the ",(inputPrYr!$D$2)," must continue to provide services to protect the health, safety, and welfare of the citizens of this community; and")</f>
        <v>WHEREAS, the City of Haysville must continue to provide services to protect the health, safety, and welfare of the citizens of this community; and</v>
      </c>
      <c r="B7" s="827"/>
      <c r="C7" s="827"/>
      <c r="D7" s="827"/>
      <c r="E7" s="827"/>
      <c r="F7" s="827"/>
      <c r="G7" s="827"/>
      <c r="H7" s="24"/>
      <c r="I7" s="24"/>
      <c r="J7" s="24"/>
      <c r="K7" s="24"/>
      <c r="L7" s="24"/>
      <c r="M7" s="24"/>
      <c r="N7" s="24"/>
    </row>
    <row r="8" spans="1:14" ht="16.5" customHeight="1">
      <c r="A8" s="827"/>
      <c r="B8" s="827"/>
      <c r="C8" s="827"/>
      <c r="D8" s="827"/>
      <c r="E8" s="827"/>
      <c r="F8" s="827"/>
      <c r="G8" s="827"/>
      <c r="H8" s="24"/>
      <c r="I8" s="24"/>
      <c r="J8" s="24"/>
      <c r="K8" s="24"/>
      <c r="L8" s="24"/>
      <c r="M8" s="24"/>
      <c r="N8" s="24"/>
    </row>
    <row r="9" spans="1:7" ht="16.5" customHeight="1">
      <c r="A9" s="25"/>
      <c r="B9" s="25"/>
      <c r="C9" s="25"/>
      <c r="D9" s="25"/>
      <c r="E9" s="25"/>
      <c r="F9" s="25"/>
      <c r="G9" s="25"/>
    </row>
    <row r="10" spans="1:7" ht="16.5" customHeight="1">
      <c r="A10" s="827" t="s">
        <v>742</v>
      </c>
      <c r="B10" s="827"/>
      <c r="C10" s="827"/>
      <c r="D10" s="827"/>
      <c r="E10" s="827"/>
      <c r="F10" s="827"/>
      <c r="G10" s="827"/>
    </row>
    <row r="11" spans="1:7" ht="16.5" customHeight="1">
      <c r="A11" s="827"/>
      <c r="B11" s="827"/>
      <c r="C11" s="827"/>
      <c r="D11" s="827"/>
      <c r="E11" s="827"/>
      <c r="F11" s="827"/>
      <c r="G11" s="827"/>
    </row>
    <row r="12" spans="1:7" ht="16.5" customHeight="1">
      <c r="A12" s="25"/>
      <c r="B12" s="25"/>
      <c r="C12" s="25"/>
      <c r="D12" s="25"/>
      <c r="E12" s="25"/>
      <c r="F12" s="25"/>
      <c r="G12" s="25"/>
    </row>
    <row r="13" spans="1:14" ht="16.5" customHeight="1">
      <c r="A13" s="827" t="str">
        <f>CONCATENATE("NOW THEREFORE, be it ordained by the Governing Body of the ",(inputPrYr!$D$2),":")</f>
        <v>NOW THEREFORE, be it ordained by the Governing Body of the City of Haysville:</v>
      </c>
      <c r="B13" s="827"/>
      <c r="C13" s="827"/>
      <c r="D13" s="827"/>
      <c r="E13" s="827"/>
      <c r="F13" s="827"/>
      <c r="G13" s="827"/>
      <c r="H13" s="24"/>
      <c r="I13" s="24"/>
      <c r="J13" s="24"/>
      <c r="K13" s="24"/>
      <c r="L13" s="24"/>
      <c r="M13" s="24"/>
      <c r="N13" s="24"/>
    </row>
    <row r="14" spans="1:14" ht="16.5" customHeight="1">
      <c r="A14" s="827"/>
      <c r="B14" s="827"/>
      <c r="C14" s="827"/>
      <c r="D14" s="827"/>
      <c r="E14" s="827"/>
      <c r="F14" s="827"/>
      <c r="G14" s="827"/>
      <c r="H14" s="24"/>
      <c r="I14" s="24"/>
      <c r="J14" s="24"/>
      <c r="K14" s="24"/>
      <c r="L14" s="24"/>
      <c r="M14" s="24"/>
      <c r="N14" s="24"/>
    </row>
    <row r="15" spans="1:14" ht="16.5" customHeight="1">
      <c r="A15" s="82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Haysville  has scheduled a public hearing and has prepared the proposed budget necessary to fund city services from January 1, 2013 until December 31, 2013.</v>
      </c>
      <c r="B15" s="827"/>
      <c r="C15" s="827"/>
      <c r="D15" s="827"/>
      <c r="E15" s="827"/>
      <c r="F15" s="827"/>
      <c r="G15" s="827"/>
      <c r="H15" s="24"/>
      <c r="I15" s="24"/>
      <c r="J15" s="24"/>
      <c r="K15" s="24"/>
      <c r="L15" s="24"/>
      <c r="M15" s="24"/>
      <c r="N15" s="24"/>
    </row>
    <row r="16" spans="1:14" ht="16.5" customHeight="1">
      <c r="A16" s="827"/>
      <c r="B16" s="827"/>
      <c r="C16" s="827"/>
      <c r="D16" s="827"/>
      <c r="E16" s="827"/>
      <c r="F16" s="827"/>
      <c r="G16" s="827"/>
      <c r="H16" s="24"/>
      <c r="I16" s="24"/>
      <c r="J16" s="24"/>
      <c r="K16" s="24"/>
      <c r="L16" s="24"/>
      <c r="M16" s="24"/>
      <c r="N16" s="24"/>
    </row>
    <row r="17" spans="1:14" ht="16.5" customHeight="1">
      <c r="A17" s="827"/>
      <c r="B17" s="827"/>
      <c r="C17" s="827"/>
      <c r="D17" s="827"/>
      <c r="E17" s="827"/>
      <c r="F17" s="827"/>
      <c r="G17" s="827"/>
      <c r="H17" s="24"/>
      <c r="I17" s="24"/>
      <c r="J17" s="24"/>
      <c r="K17" s="24"/>
      <c r="L17" s="24"/>
      <c r="M17" s="24"/>
      <c r="N17" s="24"/>
    </row>
    <row r="18" spans="1:7" ht="16.5" customHeight="1">
      <c r="A18" s="24"/>
      <c r="B18" s="24"/>
      <c r="C18" s="24"/>
      <c r="D18" s="24"/>
      <c r="E18" s="24"/>
      <c r="F18" s="24"/>
      <c r="G18" s="24"/>
    </row>
    <row r="19" spans="1:7" ht="16.5" customHeight="1">
      <c r="A19" s="829" t="s">
        <v>816</v>
      </c>
      <c r="B19" s="829"/>
      <c r="C19" s="829"/>
      <c r="D19" s="829"/>
      <c r="E19" s="829"/>
      <c r="F19" s="829"/>
      <c r="G19" s="829"/>
    </row>
    <row r="20" spans="1:7" ht="16.5" customHeight="1">
      <c r="A20" s="829" t="s">
        <v>817</v>
      </c>
      <c r="B20" s="829"/>
      <c r="C20" s="829"/>
      <c r="D20" s="829"/>
      <c r="E20" s="829"/>
      <c r="F20" s="829"/>
      <c r="G20" s="829"/>
    </row>
    <row r="21" spans="1:7" ht="16.5" customHeight="1">
      <c r="A21" s="829" t="str">
        <f>CONCATENATE("necessary to budget property tax revenues in an amount exceeding the levy in the ",inputPrYr!C5-1,"")</f>
        <v>necessary to budget property tax revenues in an amount exceeding the levy in the 2012</v>
      </c>
      <c r="B21" s="829"/>
      <c r="C21" s="829"/>
      <c r="D21" s="829"/>
      <c r="E21" s="829"/>
      <c r="F21" s="829"/>
      <c r="G21" s="829"/>
    </row>
    <row r="22" spans="1:7" ht="16.5" customHeight="1">
      <c r="A22" s="26" t="s">
        <v>818</v>
      </c>
      <c r="B22" s="26"/>
      <c r="C22" s="26"/>
      <c r="D22" s="26"/>
      <c r="E22" s="26"/>
      <c r="F22" s="26"/>
      <c r="G22" s="26"/>
    </row>
    <row r="23" spans="1:7" ht="16.5" customHeight="1">
      <c r="A23" s="24"/>
      <c r="B23" s="24"/>
      <c r="C23" s="24"/>
      <c r="D23" s="24"/>
      <c r="E23" s="24"/>
      <c r="F23" s="24"/>
      <c r="G23" s="24"/>
    </row>
    <row r="24" spans="1:7" ht="16.5" customHeight="1">
      <c r="A24" s="827" t="s">
        <v>743</v>
      </c>
      <c r="B24" s="827"/>
      <c r="C24" s="827"/>
      <c r="D24" s="827"/>
      <c r="E24" s="827"/>
      <c r="F24" s="827"/>
      <c r="G24" s="827"/>
    </row>
    <row r="25" spans="1:7" ht="16.5" customHeight="1">
      <c r="A25" s="827"/>
      <c r="B25" s="827"/>
      <c r="C25" s="827"/>
      <c r="D25" s="827"/>
      <c r="E25" s="827"/>
      <c r="F25" s="827"/>
      <c r="G25" s="827"/>
    </row>
    <row r="26" spans="1:7" ht="16.5" customHeight="1">
      <c r="A26" s="24"/>
      <c r="B26" s="24"/>
      <c r="C26" s="24"/>
      <c r="D26" s="24"/>
      <c r="E26" s="24"/>
      <c r="F26" s="24"/>
      <c r="G26" s="24"/>
    </row>
    <row r="27" spans="1:7" ht="16.5" customHeight="1">
      <c r="A27" s="827" t="str">
        <f>CONCATENATE("Passed and approved by the Governing Body on this ______ day of __________, ",inputPrYr!C5-1,".")</f>
        <v>Passed and approved by the Governing Body on this ______ day of __________, 2012.</v>
      </c>
      <c r="B27" s="827"/>
      <c r="C27" s="827"/>
      <c r="D27" s="827"/>
      <c r="E27" s="827"/>
      <c r="F27" s="827"/>
      <c r="G27" s="827"/>
    </row>
    <row r="28" spans="1:7" ht="16.5" customHeight="1">
      <c r="A28" s="827"/>
      <c r="B28" s="827"/>
      <c r="C28" s="827"/>
      <c r="D28" s="827"/>
      <c r="E28" s="827"/>
      <c r="F28" s="827"/>
      <c r="G28" s="827"/>
    </row>
    <row r="29" ht="16.5" customHeight="1"/>
    <row r="30" spans="1:7" ht="16.5" customHeight="1">
      <c r="A30" s="828" t="s">
        <v>744</v>
      </c>
      <c r="B30" s="828"/>
      <c r="C30" s="828"/>
      <c r="D30" s="828"/>
      <c r="E30" s="828"/>
      <c r="F30" s="828"/>
      <c r="G30" s="828"/>
    </row>
    <row r="31" spans="1:7" ht="16.5" customHeight="1">
      <c r="A31" s="828" t="s">
        <v>749</v>
      </c>
      <c r="B31" s="828"/>
      <c r="C31" s="828"/>
      <c r="D31" s="828"/>
      <c r="E31" s="828"/>
      <c r="F31" s="828"/>
      <c r="G31" s="828"/>
    </row>
    <row r="32" ht="16.5" customHeight="1">
      <c r="A32" s="1" t="s">
        <v>745</v>
      </c>
    </row>
    <row r="33" ht="16.5" customHeight="1">
      <c r="B33" s="1" t="s">
        <v>746</v>
      </c>
    </row>
    <row r="34" ht="16.5" customHeight="1"/>
    <row r="35" ht="16.5" customHeight="1"/>
    <row r="36" ht="16.5" customHeight="1">
      <c r="A36" s="1" t="s">
        <v>747</v>
      </c>
    </row>
    <row r="37" ht="16.5" customHeight="1"/>
    <row r="38" ht="16.5" customHeight="1"/>
    <row r="39" ht="16.5" customHeight="1"/>
    <row r="40" ht="16.5" customHeight="1">
      <c r="A40" s="1" t="s">
        <v>748</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8" t="s">
        <v>956</v>
      </c>
      <c r="B3" s="358"/>
      <c r="C3" s="358"/>
      <c r="D3" s="358"/>
      <c r="E3" s="358"/>
      <c r="F3" s="358"/>
      <c r="G3" s="358"/>
      <c r="H3" s="358"/>
      <c r="I3" s="358"/>
      <c r="J3" s="358"/>
      <c r="K3" s="358"/>
      <c r="L3" s="358"/>
    </row>
    <row r="5" ht="15">
      <c r="A5" s="359" t="s">
        <v>957</v>
      </c>
    </row>
    <row r="6" ht="15">
      <c r="A6" s="359" t="str">
        <f>CONCATENATE(inputPrYr!C5-2," 'total expenditures' exceed your ",inputPrYr!C5-2," 'budget authority.'")</f>
        <v>2011 'total expenditures' exceed your 2011 'budget authority.'</v>
      </c>
    </row>
    <row r="7" ht="15">
      <c r="A7" s="359"/>
    </row>
    <row r="8" ht="15">
      <c r="A8" s="359" t="s">
        <v>958</v>
      </c>
    </row>
    <row r="9" ht="15">
      <c r="A9" s="359" t="s">
        <v>959</v>
      </c>
    </row>
    <row r="10" ht="15">
      <c r="A10" s="359" t="s">
        <v>960</v>
      </c>
    </row>
    <row r="11" ht="15">
      <c r="A11" s="359"/>
    </row>
    <row r="12" ht="15">
      <c r="A12" s="359"/>
    </row>
    <row r="13" ht="15">
      <c r="A13" s="360" t="s">
        <v>961</v>
      </c>
    </row>
    <row r="15" ht="15">
      <c r="A15" s="359" t="s">
        <v>962</v>
      </c>
    </row>
    <row r="16" ht="15">
      <c r="A16" s="359" t="str">
        <f>CONCATENATE("(i.e. an audit has not been completed, or the ",inputPrYr!C5," adopted")</f>
        <v>(i.e. an audit has not been completed, or the 2013 adopted</v>
      </c>
    </row>
    <row r="17" ht="15">
      <c r="A17" s="359" t="s">
        <v>963</v>
      </c>
    </row>
    <row r="18" ht="15">
      <c r="A18" s="359" t="s">
        <v>964</v>
      </c>
    </row>
    <row r="19" ht="15">
      <c r="A19" s="359" t="s">
        <v>965</v>
      </c>
    </row>
    <row r="21" ht="15">
      <c r="A21" s="360" t="s">
        <v>966</v>
      </c>
    </row>
    <row r="22" ht="15">
      <c r="A22" s="360"/>
    </row>
    <row r="23" ht="15">
      <c r="A23" s="359" t="s">
        <v>967</v>
      </c>
    </row>
    <row r="24" ht="15">
      <c r="A24" s="359" t="s">
        <v>968</v>
      </c>
    </row>
    <row r="25" ht="15">
      <c r="A25" s="359" t="str">
        <f>CONCATENATE("particular fund.  If your ",inputPrYr!C5-2," budget was amended, did you")</f>
        <v>particular fund.  If your 2011 budget was amended, did you</v>
      </c>
    </row>
    <row r="26" ht="15">
      <c r="A26" s="359" t="s">
        <v>969</v>
      </c>
    </row>
    <row r="27" ht="15">
      <c r="A27" s="359"/>
    </row>
    <row r="28" ht="15">
      <c r="A28" s="359" t="str">
        <f>CONCATENATE("Next, look to see if any of your ",inputPrYr!C5-2," expenditures can be")</f>
        <v>Next, look to see if any of your 2011 expenditures can be</v>
      </c>
    </row>
    <row r="29" ht="15">
      <c r="A29" s="359" t="s">
        <v>970</v>
      </c>
    </row>
    <row r="30" ht="15">
      <c r="A30" s="359" t="s">
        <v>971</v>
      </c>
    </row>
    <row r="31" ht="15">
      <c r="A31" s="359" t="s">
        <v>972</v>
      </c>
    </row>
    <row r="32" ht="15">
      <c r="A32" s="359"/>
    </row>
    <row r="33" ht="15">
      <c r="A33" s="359" t="str">
        <f>CONCATENATE("Additionally, do your ",inputPrYr!C5-2," receipts contain a reimbursement")</f>
        <v>Additionally, do your 2011 receipts contain a reimbursement</v>
      </c>
    </row>
    <row r="34" ht="15">
      <c r="A34" s="359" t="s">
        <v>973</v>
      </c>
    </row>
    <row r="35" ht="15">
      <c r="A35" s="359" t="s">
        <v>974</v>
      </c>
    </row>
    <row r="36" ht="15">
      <c r="A36" s="359"/>
    </row>
    <row r="37" ht="15">
      <c r="A37" s="359" t="s">
        <v>975</v>
      </c>
    </row>
    <row r="38" ht="15">
      <c r="A38" s="359" t="s">
        <v>976</v>
      </c>
    </row>
    <row r="39" ht="15">
      <c r="A39" s="359" t="s">
        <v>977</v>
      </c>
    </row>
    <row r="40" ht="15">
      <c r="A40" s="359" t="s">
        <v>978</v>
      </c>
    </row>
    <row r="41" ht="15">
      <c r="A41" s="359" t="s">
        <v>979</v>
      </c>
    </row>
    <row r="42" ht="15">
      <c r="A42" s="359" t="s">
        <v>980</v>
      </c>
    </row>
    <row r="43" ht="15">
      <c r="A43" s="359" t="s">
        <v>981</v>
      </c>
    </row>
    <row r="44" ht="15">
      <c r="A44" s="359" t="s">
        <v>982</v>
      </c>
    </row>
    <row r="45" ht="15">
      <c r="A45" s="359"/>
    </row>
    <row r="46" ht="15">
      <c r="A46" s="359" t="s">
        <v>983</v>
      </c>
    </row>
    <row r="47" ht="15">
      <c r="A47" s="359" t="s">
        <v>984</v>
      </c>
    </row>
    <row r="48" ht="15">
      <c r="A48" s="359" t="s">
        <v>985</v>
      </c>
    </row>
    <row r="49" ht="15">
      <c r="A49" s="359"/>
    </row>
    <row r="50" ht="15">
      <c r="A50" s="359" t="s">
        <v>986</v>
      </c>
    </row>
    <row r="51" ht="15">
      <c r="A51" s="359" t="s">
        <v>987</v>
      </c>
    </row>
    <row r="52" ht="15">
      <c r="A52" s="359" t="s">
        <v>988</v>
      </c>
    </row>
    <row r="53" ht="15">
      <c r="A53" s="359"/>
    </row>
    <row r="54" ht="15">
      <c r="A54" s="360" t="s">
        <v>989</v>
      </c>
    </row>
    <row r="55" ht="15">
      <c r="A55" s="359"/>
    </row>
    <row r="56" ht="15">
      <c r="A56" s="359" t="s">
        <v>112</v>
      </c>
    </row>
    <row r="57" ht="15">
      <c r="A57" s="359" t="s">
        <v>113</v>
      </c>
    </row>
    <row r="58" ht="15">
      <c r="A58" s="359" t="s">
        <v>114</v>
      </c>
    </row>
    <row r="59" ht="15">
      <c r="A59" s="359" t="s">
        <v>115</v>
      </c>
    </row>
    <row r="60" ht="15">
      <c r="A60" s="359" t="s">
        <v>116</v>
      </c>
    </row>
    <row r="61" ht="15">
      <c r="A61" s="359" t="s">
        <v>117</v>
      </c>
    </row>
    <row r="62" ht="15">
      <c r="A62" s="359" t="s">
        <v>118</v>
      </c>
    </row>
    <row r="63" ht="15">
      <c r="A63" s="359" t="s">
        <v>119</v>
      </c>
    </row>
    <row r="64" ht="15">
      <c r="A64" s="359" t="s">
        <v>120</v>
      </c>
    </row>
    <row r="65" ht="15">
      <c r="A65" s="359" t="s">
        <v>121</v>
      </c>
    </row>
    <row r="66" ht="15">
      <c r="A66" s="359" t="s">
        <v>122</v>
      </c>
    </row>
    <row r="67" ht="15">
      <c r="A67" s="359" t="s">
        <v>123</v>
      </c>
    </row>
    <row r="68" ht="15">
      <c r="A68" s="359" t="s">
        <v>124</v>
      </c>
    </row>
    <row r="69" ht="15">
      <c r="A69" s="359"/>
    </row>
    <row r="70" ht="15">
      <c r="A70" s="359" t="s">
        <v>125</v>
      </c>
    </row>
    <row r="71" ht="15">
      <c r="A71" s="359" t="s">
        <v>126</v>
      </c>
    </row>
    <row r="72" ht="15">
      <c r="A72" s="359" t="s">
        <v>127</v>
      </c>
    </row>
    <row r="73" ht="15">
      <c r="A73" s="359"/>
    </row>
    <row r="74" ht="15">
      <c r="A74" s="360" t="str">
        <f>CONCATENATE("What if the ",inputPrYr!C5-2," financial records have been closed?")</f>
        <v>What if the 2011 financial records have been closed?</v>
      </c>
    </row>
    <row r="76" ht="15">
      <c r="A76" s="359" t="s">
        <v>128</v>
      </c>
    </row>
    <row r="77" ht="15">
      <c r="A77" s="359" t="str">
        <f>CONCATENATE("(i.e. an audit for ",inputPrYr!C5-2," has been completed, or the ",inputPrYr!C5)</f>
        <v>(i.e. an audit for 2011 has been completed, or the 2013</v>
      </c>
    </row>
    <row r="78" ht="15">
      <c r="A78" s="359" t="s">
        <v>129</v>
      </c>
    </row>
    <row r="79" ht="15">
      <c r="A79" s="359" t="s">
        <v>130</v>
      </c>
    </row>
    <row r="80" ht="15">
      <c r="A80" s="359"/>
    </row>
    <row r="81" ht="15">
      <c r="A81" s="359" t="s">
        <v>131</v>
      </c>
    </row>
    <row r="82" ht="15">
      <c r="A82" s="359" t="s">
        <v>132</v>
      </c>
    </row>
    <row r="83" ht="15">
      <c r="A83" s="359" t="s">
        <v>133</v>
      </c>
    </row>
    <row r="84" ht="15">
      <c r="A84" s="359"/>
    </row>
    <row r="85" ht="15">
      <c r="A85" s="359" t="s">
        <v>134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58" t="s">
        <v>135</v>
      </c>
      <c r="B3" s="358"/>
      <c r="C3" s="358"/>
      <c r="D3" s="358"/>
      <c r="E3" s="358"/>
      <c r="F3" s="358"/>
      <c r="G3" s="358"/>
      <c r="H3" s="361"/>
      <c r="I3" s="361"/>
      <c r="J3" s="361"/>
    </row>
    <row r="5" ht="15">
      <c r="A5" s="359" t="s">
        <v>136</v>
      </c>
    </row>
    <row r="6" ht="15">
      <c r="A6" t="str">
        <f>CONCATENATE(inputPrYr!C5-2," expenditures show that you finished the year with a ")</f>
        <v>2011 expenditures show that you finished the year with a </v>
      </c>
    </row>
    <row r="7" ht="15">
      <c r="A7" t="s">
        <v>137</v>
      </c>
    </row>
    <row r="9" ht="15">
      <c r="A9" t="s">
        <v>138</v>
      </c>
    </row>
    <row r="10" ht="15">
      <c r="A10" t="s">
        <v>139</v>
      </c>
    </row>
    <row r="11" ht="15">
      <c r="A11" t="s">
        <v>140</v>
      </c>
    </row>
    <row r="13" ht="15">
      <c r="A13" s="360" t="s">
        <v>141</v>
      </c>
    </row>
    <row r="14" ht="15">
      <c r="A14" s="360"/>
    </row>
    <row r="15" ht="15">
      <c r="A15" s="359" t="s">
        <v>142</v>
      </c>
    </row>
    <row r="16" ht="15">
      <c r="A16" s="359" t="s">
        <v>143</v>
      </c>
    </row>
    <row r="17" ht="15">
      <c r="A17" s="359" t="s">
        <v>144</v>
      </c>
    </row>
    <row r="18" ht="15">
      <c r="A18" s="359"/>
    </row>
    <row r="19" ht="15">
      <c r="A19" s="360" t="s">
        <v>145</v>
      </c>
    </row>
    <row r="20" ht="15">
      <c r="A20" s="360"/>
    </row>
    <row r="21" ht="15">
      <c r="A21" s="359" t="s">
        <v>146</v>
      </c>
    </row>
    <row r="22" ht="15">
      <c r="A22" s="359" t="s">
        <v>147</v>
      </c>
    </row>
    <row r="23" ht="15">
      <c r="A23" s="359" t="s">
        <v>148</v>
      </c>
    </row>
    <row r="24" ht="15">
      <c r="A24" s="359"/>
    </row>
    <row r="25" ht="15">
      <c r="A25" s="360" t="s">
        <v>149</v>
      </c>
    </row>
    <row r="26" ht="15">
      <c r="A26" s="360"/>
    </row>
    <row r="27" ht="15">
      <c r="A27" s="359" t="s">
        <v>150</v>
      </c>
    </row>
    <row r="28" ht="15">
      <c r="A28" s="359" t="s">
        <v>151</v>
      </c>
    </row>
    <row r="29" ht="15">
      <c r="A29" s="359" t="s">
        <v>152</v>
      </c>
    </row>
    <row r="30" ht="15">
      <c r="A30" s="359"/>
    </row>
    <row r="31" ht="15">
      <c r="A31" s="360" t="s">
        <v>153</v>
      </c>
    </row>
    <row r="32" ht="15">
      <c r="A32" s="360"/>
    </row>
    <row r="33" spans="1:8" ht="15">
      <c r="A33" s="359" t="str">
        <f>CONCATENATE("If your financial records for ",inputPrYr!C5-2," are not closed")</f>
        <v>If your financial records for 2011 are not closed</v>
      </c>
      <c r="B33" s="359"/>
      <c r="C33" s="359"/>
      <c r="D33" s="359"/>
      <c r="E33" s="359"/>
      <c r="F33" s="359"/>
      <c r="G33" s="359"/>
      <c r="H33" s="359"/>
    </row>
    <row r="34" spans="1:8" ht="15">
      <c r="A34" s="359" t="str">
        <f>CONCATENATE("(i.e. an audit has not been completed, or the ",inputPrYr!C5," adopted ")</f>
        <v>(i.e. an audit has not been completed, or the 2013 adopted </v>
      </c>
      <c r="B34" s="359"/>
      <c r="C34" s="359"/>
      <c r="D34" s="359"/>
      <c r="E34" s="359"/>
      <c r="F34" s="359"/>
      <c r="G34" s="359"/>
      <c r="H34" s="359"/>
    </row>
    <row r="35" spans="1:8" ht="15">
      <c r="A35" s="359" t="s">
        <v>154</v>
      </c>
      <c r="B35" s="359"/>
      <c r="C35" s="359"/>
      <c r="D35" s="359"/>
      <c r="E35" s="359"/>
      <c r="F35" s="359"/>
      <c r="G35" s="359"/>
      <c r="H35" s="359"/>
    </row>
    <row r="36" spans="1:8" ht="15">
      <c r="A36" s="359" t="s">
        <v>155</v>
      </c>
      <c r="B36" s="359"/>
      <c r="C36" s="359"/>
      <c r="D36" s="359"/>
      <c r="E36" s="359"/>
      <c r="F36" s="359"/>
      <c r="G36" s="359"/>
      <c r="H36" s="359"/>
    </row>
    <row r="37" spans="1:8" ht="15">
      <c r="A37" s="359" t="s">
        <v>156</v>
      </c>
      <c r="B37" s="359"/>
      <c r="C37" s="359"/>
      <c r="D37" s="359"/>
      <c r="E37" s="359"/>
      <c r="F37" s="359"/>
      <c r="G37" s="359"/>
      <c r="H37" s="359"/>
    </row>
    <row r="38" spans="1:8" ht="15">
      <c r="A38" s="359" t="s">
        <v>157</v>
      </c>
      <c r="B38" s="359"/>
      <c r="C38" s="359"/>
      <c r="D38" s="359"/>
      <c r="E38" s="359"/>
      <c r="F38" s="359"/>
      <c r="G38" s="359"/>
      <c r="H38" s="359"/>
    </row>
    <row r="39" spans="1:8" ht="15">
      <c r="A39" s="359" t="s">
        <v>158</v>
      </c>
      <c r="B39" s="359"/>
      <c r="C39" s="359"/>
      <c r="D39" s="359"/>
      <c r="E39" s="359"/>
      <c r="F39" s="359"/>
      <c r="G39" s="359"/>
      <c r="H39" s="359"/>
    </row>
    <row r="40" spans="1:8" ht="15">
      <c r="A40" s="359"/>
      <c r="B40" s="359"/>
      <c r="C40" s="359"/>
      <c r="D40" s="359"/>
      <c r="E40" s="359"/>
      <c r="F40" s="359"/>
      <c r="G40" s="359"/>
      <c r="H40" s="359"/>
    </row>
    <row r="41" spans="1:8" ht="15">
      <c r="A41" s="359" t="s">
        <v>159</v>
      </c>
      <c r="B41" s="359"/>
      <c r="C41" s="359"/>
      <c r="D41" s="359"/>
      <c r="E41" s="359"/>
      <c r="F41" s="359"/>
      <c r="G41" s="359"/>
      <c r="H41" s="359"/>
    </row>
    <row r="42" spans="1:8" ht="15">
      <c r="A42" s="359" t="s">
        <v>160</v>
      </c>
      <c r="B42" s="359"/>
      <c r="C42" s="359"/>
      <c r="D42" s="359"/>
      <c r="E42" s="359"/>
      <c r="F42" s="359"/>
      <c r="G42" s="359"/>
      <c r="H42" s="359"/>
    </row>
    <row r="43" spans="1:8" ht="15">
      <c r="A43" s="359" t="s">
        <v>161</v>
      </c>
      <c r="B43" s="359"/>
      <c r="C43" s="359"/>
      <c r="D43" s="359"/>
      <c r="E43" s="359"/>
      <c r="F43" s="359"/>
      <c r="G43" s="359"/>
      <c r="H43" s="359"/>
    </row>
    <row r="44" spans="1:8" ht="15">
      <c r="A44" s="359" t="s">
        <v>162</v>
      </c>
      <c r="B44" s="359"/>
      <c r="C44" s="359"/>
      <c r="D44" s="359"/>
      <c r="E44" s="359"/>
      <c r="F44" s="359"/>
      <c r="G44" s="359"/>
      <c r="H44" s="359"/>
    </row>
    <row r="45" spans="1:8" ht="15">
      <c r="A45" s="359"/>
      <c r="B45" s="359"/>
      <c r="C45" s="359"/>
      <c r="D45" s="359"/>
      <c r="E45" s="359"/>
      <c r="F45" s="359"/>
      <c r="G45" s="359"/>
      <c r="H45" s="359"/>
    </row>
    <row r="46" spans="1:8" ht="15">
      <c r="A46" s="359" t="s">
        <v>163</v>
      </c>
      <c r="B46" s="359"/>
      <c r="C46" s="359"/>
      <c r="D46" s="359"/>
      <c r="E46" s="359"/>
      <c r="F46" s="359"/>
      <c r="G46" s="359"/>
      <c r="H46" s="359"/>
    </row>
    <row r="47" spans="1:8" ht="15">
      <c r="A47" s="359" t="s">
        <v>164</v>
      </c>
      <c r="B47" s="359"/>
      <c r="C47" s="359"/>
      <c r="D47" s="359"/>
      <c r="E47" s="359"/>
      <c r="F47" s="359"/>
      <c r="G47" s="359"/>
      <c r="H47" s="359"/>
    </row>
    <row r="48" spans="1:8" ht="15">
      <c r="A48" s="359" t="s">
        <v>165</v>
      </c>
      <c r="B48" s="359"/>
      <c r="C48" s="359"/>
      <c r="D48" s="359"/>
      <c r="E48" s="359"/>
      <c r="F48" s="359"/>
      <c r="G48" s="359"/>
      <c r="H48" s="359"/>
    </row>
    <row r="49" spans="1:8" ht="15">
      <c r="A49" s="359" t="s">
        <v>166</v>
      </c>
      <c r="B49" s="359"/>
      <c r="C49" s="359"/>
      <c r="D49" s="359"/>
      <c r="E49" s="359"/>
      <c r="F49" s="359"/>
      <c r="G49" s="359"/>
      <c r="H49" s="359"/>
    </row>
    <row r="50" spans="1:8" ht="15">
      <c r="A50" s="359" t="s">
        <v>167</v>
      </c>
      <c r="B50" s="359"/>
      <c r="C50" s="359"/>
      <c r="D50" s="359"/>
      <c r="E50" s="359"/>
      <c r="F50" s="359"/>
      <c r="G50" s="359"/>
      <c r="H50" s="359"/>
    </row>
    <row r="51" spans="1:8" ht="15">
      <c r="A51" s="359"/>
      <c r="B51" s="359"/>
      <c r="C51" s="359"/>
      <c r="D51" s="359"/>
      <c r="E51" s="359"/>
      <c r="F51" s="359"/>
      <c r="G51" s="359"/>
      <c r="H51" s="359"/>
    </row>
    <row r="52" spans="1:8" ht="15">
      <c r="A52" s="360" t="s">
        <v>168</v>
      </c>
      <c r="B52" s="360"/>
      <c r="C52" s="360"/>
      <c r="D52" s="360"/>
      <c r="E52" s="360"/>
      <c r="F52" s="360"/>
      <c r="G52" s="360"/>
      <c r="H52" s="359"/>
    </row>
    <row r="53" spans="1:8" ht="15">
      <c r="A53" s="360" t="s">
        <v>169</v>
      </c>
      <c r="B53" s="360"/>
      <c r="C53" s="360"/>
      <c r="D53" s="360"/>
      <c r="E53" s="360"/>
      <c r="F53" s="360"/>
      <c r="G53" s="360"/>
      <c r="H53" s="359"/>
    </row>
    <row r="54" spans="1:8" ht="15">
      <c r="A54" s="359"/>
      <c r="B54" s="359"/>
      <c r="C54" s="359"/>
      <c r="D54" s="359"/>
      <c r="E54" s="359"/>
      <c r="F54" s="359"/>
      <c r="G54" s="359"/>
      <c r="H54" s="359"/>
    </row>
    <row r="55" spans="1:8" ht="15">
      <c r="A55" s="359" t="s">
        <v>170</v>
      </c>
      <c r="B55" s="359"/>
      <c r="C55" s="359"/>
      <c r="D55" s="359"/>
      <c r="E55" s="359"/>
      <c r="F55" s="359"/>
      <c r="G55" s="359"/>
      <c r="H55" s="359"/>
    </row>
    <row r="56" spans="1:8" ht="15">
      <c r="A56" s="359" t="s">
        <v>171</v>
      </c>
      <c r="B56" s="359"/>
      <c r="C56" s="359"/>
      <c r="D56" s="359"/>
      <c r="E56" s="359"/>
      <c r="F56" s="359"/>
      <c r="G56" s="359"/>
      <c r="H56" s="359"/>
    </row>
    <row r="57" spans="1:8" ht="15">
      <c r="A57" s="359" t="s">
        <v>172</v>
      </c>
      <c r="B57" s="359"/>
      <c r="C57" s="359"/>
      <c r="D57" s="359"/>
      <c r="E57" s="359"/>
      <c r="F57" s="359"/>
      <c r="G57" s="359"/>
      <c r="H57" s="359"/>
    </row>
    <row r="58" spans="1:8" ht="15">
      <c r="A58" s="359" t="s">
        <v>173</v>
      </c>
      <c r="B58" s="359"/>
      <c r="C58" s="359"/>
      <c r="D58" s="359"/>
      <c r="E58" s="359"/>
      <c r="F58" s="359"/>
      <c r="G58" s="359"/>
      <c r="H58" s="359"/>
    </row>
    <row r="59" spans="1:8" ht="15">
      <c r="A59" s="359"/>
      <c r="B59" s="359"/>
      <c r="C59" s="359"/>
      <c r="D59" s="359"/>
      <c r="E59" s="359"/>
      <c r="F59" s="359"/>
      <c r="G59" s="359"/>
      <c r="H59" s="359"/>
    </row>
    <row r="60" spans="1:8" ht="15">
      <c r="A60" s="359" t="s">
        <v>174</v>
      </c>
      <c r="B60" s="359"/>
      <c r="C60" s="359"/>
      <c r="D60" s="359"/>
      <c r="E60" s="359"/>
      <c r="F60" s="359"/>
      <c r="G60" s="359"/>
      <c r="H60" s="359"/>
    </row>
    <row r="61" spans="1:8" ht="15">
      <c r="A61" s="359" t="s">
        <v>175</v>
      </c>
      <c r="B61" s="359"/>
      <c r="C61" s="359"/>
      <c r="D61" s="359"/>
      <c r="E61" s="359"/>
      <c r="F61" s="359"/>
      <c r="G61" s="359"/>
      <c r="H61" s="359"/>
    </row>
    <row r="62" spans="1:8" ht="15">
      <c r="A62" s="359" t="s">
        <v>176</v>
      </c>
      <c r="B62" s="359"/>
      <c r="C62" s="359"/>
      <c r="D62" s="359"/>
      <c r="E62" s="359"/>
      <c r="F62" s="359"/>
      <c r="G62" s="359"/>
      <c r="H62" s="359"/>
    </row>
    <row r="63" spans="1:8" ht="15">
      <c r="A63" s="359" t="s">
        <v>177</v>
      </c>
      <c r="B63" s="359"/>
      <c r="C63" s="359"/>
      <c r="D63" s="359"/>
      <c r="E63" s="359"/>
      <c r="F63" s="359"/>
      <c r="G63" s="359"/>
      <c r="H63" s="359"/>
    </row>
    <row r="64" spans="1:8" ht="15">
      <c r="A64" s="359" t="s">
        <v>178</v>
      </c>
      <c r="B64" s="359"/>
      <c r="C64" s="359"/>
      <c r="D64" s="359"/>
      <c r="E64" s="359"/>
      <c r="F64" s="359"/>
      <c r="G64" s="359"/>
      <c r="H64" s="359"/>
    </row>
    <row r="65" spans="1:8" ht="15">
      <c r="A65" s="359" t="s">
        <v>179</v>
      </c>
      <c r="B65" s="359"/>
      <c r="C65" s="359"/>
      <c r="D65" s="359"/>
      <c r="E65" s="359"/>
      <c r="F65" s="359"/>
      <c r="G65" s="359"/>
      <c r="H65" s="359"/>
    </row>
    <row r="66" spans="1:8" ht="15">
      <c r="A66" s="359"/>
      <c r="B66" s="359"/>
      <c r="C66" s="359"/>
      <c r="D66" s="359"/>
      <c r="E66" s="359"/>
      <c r="F66" s="359"/>
      <c r="G66" s="359"/>
      <c r="H66" s="359"/>
    </row>
    <row r="67" spans="1:8" ht="15">
      <c r="A67" s="359" t="s">
        <v>180</v>
      </c>
      <c r="B67" s="359"/>
      <c r="C67" s="359"/>
      <c r="D67" s="359"/>
      <c r="E67" s="359"/>
      <c r="F67" s="359"/>
      <c r="G67" s="359"/>
      <c r="H67" s="359"/>
    </row>
    <row r="68" spans="1:8" ht="15">
      <c r="A68" s="359" t="s">
        <v>181</v>
      </c>
      <c r="B68" s="359"/>
      <c r="C68" s="359"/>
      <c r="D68" s="359"/>
      <c r="E68" s="359"/>
      <c r="F68" s="359"/>
      <c r="G68" s="359"/>
      <c r="H68" s="359"/>
    </row>
    <row r="69" spans="1:8" ht="15">
      <c r="A69" s="359" t="s">
        <v>182</v>
      </c>
      <c r="B69" s="359"/>
      <c r="C69" s="359"/>
      <c r="D69" s="359"/>
      <c r="E69" s="359"/>
      <c r="F69" s="359"/>
      <c r="G69" s="359"/>
      <c r="H69" s="359"/>
    </row>
    <row r="70" spans="1:8" ht="15">
      <c r="A70" s="359" t="s">
        <v>183</v>
      </c>
      <c r="B70" s="359"/>
      <c r="C70" s="359"/>
      <c r="D70" s="359"/>
      <c r="E70" s="359"/>
      <c r="F70" s="359"/>
      <c r="G70" s="359"/>
      <c r="H70" s="359"/>
    </row>
    <row r="71" spans="1:8" ht="15">
      <c r="A71" s="359" t="s">
        <v>184</v>
      </c>
      <c r="B71" s="359"/>
      <c r="C71" s="359"/>
      <c r="D71" s="359"/>
      <c r="E71" s="359"/>
      <c r="F71" s="359"/>
      <c r="G71" s="359"/>
      <c r="H71" s="359"/>
    </row>
    <row r="72" spans="1:8" ht="15">
      <c r="A72" s="359" t="s">
        <v>185</v>
      </c>
      <c r="B72" s="359"/>
      <c r="C72" s="359"/>
      <c r="D72" s="359"/>
      <c r="E72" s="359"/>
      <c r="F72" s="359"/>
      <c r="G72" s="359"/>
      <c r="H72" s="359"/>
    </row>
    <row r="73" spans="1:8" ht="15">
      <c r="A73" s="359" t="s">
        <v>186</v>
      </c>
      <c r="B73" s="359"/>
      <c r="C73" s="359"/>
      <c r="D73" s="359"/>
      <c r="E73" s="359"/>
      <c r="F73" s="359"/>
      <c r="G73" s="359"/>
      <c r="H73" s="359"/>
    </row>
    <row r="74" spans="1:8" ht="15">
      <c r="A74" s="359"/>
      <c r="B74" s="359"/>
      <c r="C74" s="359"/>
      <c r="D74" s="359"/>
      <c r="E74" s="359"/>
      <c r="F74" s="359"/>
      <c r="G74" s="359"/>
      <c r="H74" s="359"/>
    </row>
    <row r="75" spans="1:8" ht="15">
      <c r="A75" s="359" t="s">
        <v>187</v>
      </c>
      <c r="B75" s="359"/>
      <c r="C75" s="359"/>
      <c r="D75" s="359"/>
      <c r="E75" s="359"/>
      <c r="F75" s="359"/>
      <c r="G75" s="359"/>
      <c r="H75" s="359"/>
    </row>
    <row r="76" spans="1:8" ht="15">
      <c r="A76" s="359" t="s">
        <v>188</v>
      </c>
      <c r="B76" s="359"/>
      <c r="C76" s="359"/>
      <c r="D76" s="359"/>
      <c r="E76" s="359"/>
      <c r="F76" s="359"/>
      <c r="G76" s="359"/>
      <c r="H76" s="359"/>
    </row>
    <row r="77" spans="1:8" ht="15">
      <c r="A77" s="359" t="s">
        <v>189</v>
      </c>
      <c r="B77" s="359"/>
      <c r="C77" s="359"/>
      <c r="D77" s="359"/>
      <c r="E77" s="359"/>
      <c r="F77" s="359"/>
      <c r="G77" s="359"/>
      <c r="H77" s="359"/>
    </row>
    <row r="78" spans="1:8" ht="15">
      <c r="A78" s="359"/>
      <c r="B78" s="359"/>
      <c r="C78" s="359"/>
      <c r="D78" s="359"/>
      <c r="E78" s="359"/>
      <c r="F78" s="359"/>
      <c r="G78" s="359"/>
      <c r="H78" s="359"/>
    </row>
    <row r="79" ht="15">
      <c r="A79" s="359" t="s">
        <v>134</v>
      </c>
    </row>
    <row r="80" ht="15">
      <c r="A80" s="360"/>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1" ht="15">
      <c r="A91"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3" ht="15">
      <c r="A103" s="359"/>
    </row>
    <row r="104" ht="15">
      <c r="A104" s="359"/>
    </row>
    <row r="105" ht="15">
      <c r="A105" s="359"/>
    </row>
    <row r="107" ht="15">
      <c r="A107" s="360"/>
    </row>
    <row r="108" ht="15">
      <c r="A108" s="360"/>
    </row>
    <row r="109" ht="15">
      <c r="A109" s="36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8" t="s">
        <v>190</v>
      </c>
      <c r="B3" s="358"/>
      <c r="C3" s="358"/>
      <c r="D3" s="358"/>
      <c r="E3" s="358"/>
      <c r="F3" s="358"/>
      <c r="G3" s="358"/>
      <c r="H3" s="358"/>
      <c r="I3" s="358"/>
      <c r="J3" s="358"/>
      <c r="K3" s="358"/>
      <c r="L3" s="358"/>
    </row>
    <row r="4" spans="1:12" ht="15">
      <c r="A4" s="358"/>
      <c r="B4" s="358"/>
      <c r="C4" s="358"/>
      <c r="D4" s="358"/>
      <c r="E4" s="358"/>
      <c r="F4" s="358"/>
      <c r="G4" s="358"/>
      <c r="H4" s="358"/>
      <c r="I4" s="358"/>
      <c r="J4" s="358"/>
      <c r="K4" s="358"/>
      <c r="L4" s="358"/>
    </row>
    <row r="5" spans="1:12" ht="15">
      <c r="A5" s="359" t="s">
        <v>957</v>
      </c>
      <c r="I5" s="358"/>
      <c r="J5" s="358"/>
      <c r="K5" s="358"/>
      <c r="L5" s="358"/>
    </row>
    <row r="6" spans="1:12" ht="15">
      <c r="A6" s="359" t="str">
        <f>CONCATENATE("estimated ",inputPrYr!C5-1," 'total expenditures' exceed your ",inputPrYr!C5-1,"")</f>
        <v>estimated 2012 'total expenditures' exceed your 2012</v>
      </c>
      <c r="I6" s="358"/>
      <c r="J6" s="358"/>
      <c r="K6" s="358"/>
      <c r="L6" s="358"/>
    </row>
    <row r="7" spans="1:12" ht="15">
      <c r="A7" s="362" t="s">
        <v>191</v>
      </c>
      <c r="I7" s="358"/>
      <c r="J7" s="358"/>
      <c r="K7" s="358"/>
      <c r="L7" s="358"/>
    </row>
    <row r="8" spans="1:12" ht="15">
      <c r="A8" s="359"/>
      <c r="I8" s="358"/>
      <c r="J8" s="358"/>
      <c r="K8" s="358"/>
      <c r="L8" s="358"/>
    </row>
    <row r="9" spans="1:12" ht="15">
      <c r="A9" s="359" t="s">
        <v>192</v>
      </c>
      <c r="I9" s="358"/>
      <c r="J9" s="358"/>
      <c r="K9" s="358"/>
      <c r="L9" s="358"/>
    </row>
    <row r="10" spans="1:12" ht="15">
      <c r="A10" s="359" t="s">
        <v>193</v>
      </c>
      <c r="I10" s="358"/>
      <c r="J10" s="358"/>
      <c r="K10" s="358"/>
      <c r="L10" s="358"/>
    </row>
    <row r="11" spans="1:12" ht="15">
      <c r="A11" s="359" t="s">
        <v>194</v>
      </c>
      <c r="I11" s="358"/>
      <c r="J11" s="358"/>
      <c r="K11" s="358"/>
      <c r="L11" s="358"/>
    </row>
    <row r="12" spans="1:12" ht="15">
      <c r="A12" s="359" t="s">
        <v>195</v>
      </c>
      <c r="I12" s="358"/>
      <c r="J12" s="358"/>
      <c r="K12" s="358"/>
      <c r="L12" s="358"/>
    </row>
    <row r="13" spans="1:12" ht="15">
      <c r="A13" s="359" t="s">
        <v>196</v>
      </c>
      <c r="I13" s="358"/>
      <c r="J13" s="358"/>
      <c r="K13" s="358"/>
      <c r="L13" s="358"/>
    </row>
    <row r="14" spans="1:12" ht="15">
      <c r="A14" s="358"/>
      <c r="B14" s="358"/>
      <c r="C14" s="358"/>
      <c r="D14" s="358"/>
      <c r="E14" s="358"/>
      <c r="F14" s="358"/>
      <c r="G14" s="358"/>
      <c r="H14" s="358"/>
      <c r="I14" s="358"/>
      <c r="J14" s="358"/>
      <c r="K14" s="358"/>
      <c r="L14" s="358"/>
    </row>
    <row r="15" ht="15">
      <c r="A15" s="360" t="s">
        <v>197</v>
      </c>
    </row>
    <row r="16" ht="15">
      <c r="A16" s="360" t="s">
        <v>198</v>
      </c>
    </row>
    <row r="17" ht="15">
      <c r="A17" s="360"/>
    </row>
    <row r="18" spans="1:7" ht="15">
      <c r="A18" s="359" t="s">
        <v>199</v>
      </c>
      <c r="B18" s="359"/>
      <c r="C18" s="359"/>
      <c r="D18" s="359"/>
      <c r="E18" s="359"/>
      <c r="F18" s="359"/>
      <c r="G18" s="359"/>
    </row>
    <row r="19" spans="1:7" ht="15">
      <c r="A19" s="359" t="str">
        <f>CONCATENATE("your ",inputPrYr!C5-1," numbers to see what steps might be necessary to")</f>
        <v>your 2012 numbers to see what steps might be necessary to</v>
      </c>
      <c r="B19" s="359"/>
      <c r="C19" s="359"/>
      <c r="D19" s="359"/>
      <c r="E19" s="359"/>
      <c r="F19" s="359"/>
      <c r="G19" s="359"/>
    </row>
    <row r="20" spans="1:7" ht="15">
      <c r="A20" s="359" t="s">
        <v>200</v>
      </c>
      <c r="B20" s="359"/>
      <c r="C20" s="359"/>
      <c r="D20" s="359"/>
      <c r="E20" s="359"/>
      <c r="F20" s="359"/>
      <c r="G20" s="359"/>
    </row>
    <row r="21" spans="1:7" ht="15">
      <c r="A21" s="359" t="s">
        <v>201</v>
      </c>
      <c r="B21" s="359"/>
      <c r="C21" s="359"/>
      <c r="D21" s="359"/>
      <c r="E21" s="359"/>
      <c r="F21" s="359"/>
      <c r="G21" s="359"/>
    </row>
    <row r="22" ht="15">
      <c r="A22" s="359"/>
    </row>
    <row r="23" ht="15">
      <c r="A23" s="360" t="s">
        <v>202</v>
      </c>
    </row>
    <row r="24" ht="15">
      <c r="A24" s="360"/>
    </row>
    <row r="25" ht="15">
      <c r="A25" s="359" t="s">
        <v>203</v>
      </c>
    </row>
    <row r="26" spans="1:6" ht="15">
      <c r="A26" s="359" t="s">
        <v>204</v>
      </c>
      <c r="B26" s="359"/>
      <c r="C26" s="359"/>
      <c r="D26" s="359"/>
      <c r="E26" s="359"/>
      <c r="F26" s="359"/>
    </row>
    <row r="27" spans="1:6" ht="15">
      <c r="A27" s="359" t="s">
        <v>205</v>
      </c>
      <c r="B27" s="359"/>
      <c r="C27" s="359"/>
      <c r="D27" s="359"/>
      <c r="E27" s="359"/>
      <c r="F27" s="359"/>
    </row>
    <row r="28" spans="1:6" ht="15">
      <c r="A28" s="359" t="s">
        <v>206</v>
      </c>
      <c r="B28" s="359"/>
      <c r="C28" s="359"/>
      <c r="D28" s="359"/>
      <c r="E28" s="359"/>
      <c r="F28" s="359"/>
    </row>
    <row r="29" spans="1:6" ht="15">
      <c r="A29" s="359"/>
      <c r="B29" s="359"/>
      <c r="C29" s="359"/>
      <c r="D29" s="359"/>
      <c r="E29" s="359"/>
      <c r="F29" s="359"/>
    </row>
    <row r="30" spans="1:7" ht="15">
      <c r="A30" s="360" t="s">
        <v>207</v>
      </c>
      <c r="B30" s="360"/>
      <c r="C30" s="360"/>
      <c r="D30" s="360"/>
      <c r="E30" s="360"/>
      <c r="F30" s="360"/>
      <c r="G30" s="360"/>
    </row>
    <row r="31" spans="1:7" ht="15">
      <c r="A31" s="360" t="s">
        <v>208</v>
      </c>
      <c r="B31" s="360"/>
      <c r="C31" s="360"/>
      <c r="D31" s="360"/>
      <c r="E31" s="360"/>
      <c r="F31" s="360"/>
      <c r="G31" s="360"/>
    </row>
    <row r="32" spans="1:6" ht="15">
      <c r="A32" s="359"/>
      <c r="B32" s="359"/>
      <c r="C32" s="359"/>
      <c r="D32" s="359"/>
      <c r="E32" s="359"/>
      <c r="F32" s="359"/>
    </row>
    <row r="33" spans="1:6" ht="15">
      <c r="A33" s="357" t="str">
        <f>CONCATENATE("Well, let's look to see if any of your ",inputPrYr!C5-1," expenditures can")</f>
        <v>Well, let's look to see if any of your 2012 expenditures can</v>
      </c>
      <c r="B33" s="359"/>
      <c r="C33" s="359"/>
      <c r="D33" s="359"/>
      <c r="E33" s="359"/>
      <c r="F33" s="359"/>
    </row>
    <row r="34" spans="1:6" ht="15">
      <c r="A34" s="357" t="s">
        <v>209</v>
      </c>
      <c r="B34" s="359"/>
      <c r="C34" s="359"/>
      <c r="D34" s="359"/>
      <c r="E34" s="359"/>
      <c r="F34" s="359"/>
    </row>
    <row r="35" spans="1:6" ht="15">
      <c r="A35" s="357" t="s">
        <v>971</v>
      </c>
      <c r="B35" s="359"/>
      <c r="C35" s="359"/>
      <c r="D35" s="359"/>
      <c r="E35" s="359"/>
      <c r="F35" s="359"/>
    </row>
    <row r="36" spans="1:6" ht="15">
      <c r="A36" s="357" t="s">
        <v>972</v>
      </c>
      <c r="B36" s="359"/>
      <c r="C36" s="359"/>
      <c r="D36" s="359"/>
      <c r="E36" s="359"/>
      <c r="F36" s="359"/>
    </row>
    <row r="37" spans="1:6" ht="15">
      <c r="A37" s="357"/>
      <c r="B37" s="359"/>
      <c r="C37" s="359"/>
      <c r="D37" s="359"/>
      <c r="E37" s="359"/>
      <c r="F37" s="359"/>
    </row>
    <row r="38" spans="1:6" ht="15">
      <c r="A38" s="357" t="str">
        <f>CONCATENATE("Additionally, do your ",inputPrYr!C5-1," receipts contain a reimbursement")</f>
        <v>Additionally, do your 2012 receipts contain a reimbursement</v>
      </c>
      <c r="B38" s="359"/>
      <c r="C38" s="359"/>
      <c r="D38" s="359"/>
      <c r="E38" s="359"/>
      <c r="F38" s="359"/>
    </row>
    <row r="39" spans="1:6" ht="15">
      <c r="A39" s="357" t="s">
        <v>973</v>
      </c>
      <c r="B39" s="359"/>
      <c r="C39" s="359"/>
      <c r="D39" s="359"/>
      <c r="E39" s="359"/>
      <c r="F39" s="359"/>
    </row>
    <row r="40" spans="1:6" ht="15">
      <c r="A40" s="357" t="s">
        <v>974</v>
      </c>
      <c r="B40" s="359"/>
      <c r="C40" s="359"/>
      <c r="D40" s="359"/>
      <c r="E40" s="359"/>
      <c r="F40" s="359"/>
    </row>
    <row r="41" spans="1:6" ht="15">
      <c r="A41" s="357"/>
      <c r="B41" s="359"/>
      <c r="C41" s="359"/>
      <c r="D41" s="359"/>
      <c r="E41" s="359"/>
      <c r="F41" s="359"/>
    </row>
    <row r="42" spans="1:6" ht="15">
      <c r="A42" s="357" t="s">
        <v>975</v>
      </c>
      <c r="B42" s="359"/>
      <c r="C42" s="359"/>
      <c r="D42" s="359"/>
      <c r="E42" s="359"/>
      <c r="F42" s="359"/>
    </row>
    <row r="43" spans="1:6" ht="15">
      <c r="A43" s="357" t="s">
        <v>976</v>
      </c>
      <c r="B43" s="359"/>
      <c r="C43" s="359"/>
      <c r="D43" s="359"/>
      <c r="E43" s="359"/>
      <c r="F43" s="359"/>
    </row>
    <row r="44" spans="1:6" ht="15">
      <c r="A44" s="357" t="s">
        <v>977</v>
      </c>
      <c r="B44" s="359"/>
      <c r="C44" s="359"/>
      <c r="D44" s="359"/>
      <c r="E44" s="359"/>
      <c r="F44" s="359"/>
    </row>
    <row r="45" spans="1:6" ht="15">
      <c r="A45" s="357" t="s">
        <v>210</v>
      </c>
      <c r="B45" s="359"/>
      <c r="C45" s="359"/>
      <c r="D45" s="359"/>
      <c r="E45" s="359"/>
      <c r="F45" s="359"/>
    </row>
    <row r="46" spans="1:6" ht="15">
      <c r="A46" s="357" t="s">
        <v>979</v>
      </c>
      <c r="B46" s="359"/>
      <c r="C46" s="359"/>
      <c r="D46" s="359"/>
      <c r="E46" s="359"/>
      <c r="F46" s="359"/>
    </row>
    <row r="47" spans="1:6" ht="15">
      <c r="A47" s="357" t="s">
        <v>211</v>
      </c>
      <c r="B47" s="359"/>
      <c r="C47" s="359"/>
      <c r="D47" s="359"/>
      <c r="E47" s="359"/>
      <c r="F47" s="359"/>
    </row>
    <row r="48" spans="1:6" ht="15">
      <c r="A48" s="357" t="s">
        <v>212</v>
      </c>
      <c r="B48" s="359"/>
      <c r="C48" s="359"/>
      <c r="D48" s="359"/>
      <c r="E48" s="359"/>
      <c r="F48" s="359"/>
    </row>
    <row r="49" spans="1:6" ht="15">
      <c r="A49" s="357" t="s">
        <v>982</v>
      </c>
      <c r="B49" s="359"/>
      <c r="C49" s="359"/>
      <c r="D49" s="359"/>
      <c r="E49" s="359"/>
      <c r="F49" s="359"/>
    </row>
    <row r="50" spans="1:6" ht="15">
      <c r="A50" s="357"/>
      <c r="B50" s="359"/>
      <c r="C50" s="359"/>
      <c r="D50" s="359"/>
      <c r="E50" s="359"/>
      <c r="F50" s="359"/>
    </row>
    <row r="51" spans="1:6" ht="15">
      <c r="A51" s="357" t="s">
        <v>983</v>
      </c>
      <c r="B51" s="359"/>
      <c r="C51" s="359"/>
      <c r="D51" s="359"/>
      <c r="E51" s="359"/>
      <c r="F51" s="359"/>
    </row>
    <row r="52" spans="1:6" ht="15">
      <c r="A52" s="357" t="s">
        <v>984</v>
      </c>
      <c r="B52" s="359"/>
      <c r="C52" s="359"/>
      <c r="D52" s="359"/>
      <c r="E52" s="359"/>
      <c r="F52" s="359"/>
    </row>
    <row r="53" spans="1:6" ht="15">
      <c r="A53" s="357" t="s">
        <v>985</v>
      </c>
      <c r="B53" s="359"/>
      <c r="C53" s="359"/>
      <c r="D53" s="359"/>
      <c r="E53" s="359"/>
      <c r="F53" s="359"/>
    </row>
    <row r="54" spans="1:6" ht="15">
      <c r="A54" s="357"/>
      <c r="B54" s="359"/>
      <c r="C54" s="359"/>
      <c r="D54" s="359"/>
      <c r="E54" s="359"/>
      <c r="F54" s="359"/>
    </row>
    <row r="55" spans="1:6" ht="15">
      <c r="A55" s="357" t="s">
        <v>213</v>
      </c>
      <c r="B55" s="359"/>
      <c r="C55" s="359"/>
      <c r="D55" s="359"/>
      <c r="E55" s="359"/>
      <c r="F55" s="359"/>
    </row>
    <row r="56" spans="1:6" ht="15">
      <c r="A56" s="357" t="s">
        <v>214</v>
      </c>
      <c r="B56" s="359"/>
      <c r="C56" s="359"/>
      <c r="D56" s="359"/>
      <c r="E56" s="359"/>
      <c r="F56" s="359"/>
    </row>
    <row r="57" spans="1:6" ht="15">
      <c r="A57" s="357" t="s">
        <v>215</v>
      </c>
      <c r="B57" s="359"/>
      <c r="C57" s="359"/>
      <c r="D57" s="359"/>
      <c r="E57" s="359"/>
      <c r="F57" s="359"/>
    </row>
    <row r="58" spans="1:6" ht="15">
      <c r="A58" s="357" t="s">
        <v>216</v>
      </c>
      <c r="B58" s="359"/>
      <c r="C58" s="359"/>
      <c r="D58" s="359"/>
      <c r="E58" s="359"/>
      <c r="F58" s="359"/>
    </row>
    <row r="59" spans="1:6" ht="15">
      <c r="A59" s="357" t="s">
        <v>217</v>
      </c>
      <c r="B59" s="359"/>
      <c r="C59" s="359"/>
      <c r="D59" s="359"/>
      <c r="E59" s="359"/>
      <c r="F59" s="359"/>
    </row>
    <row r="60" spans="1:6" ht="15">
      <c r="A60" s="357"/>
      <c r="B60" s="359"/>
      <c r="C60" s="359"/>
      <c r="D60" s="359"/>
      <c r="E60" s="359"/>
      <c r="F60" s="359"/>
    </row>
    <row r="61" spans="1:6" ht="15">
      <c r="A61" s="356" t="s">
        <v>218</v>
      </c>
      <c r="B61" s="359"/>
      <c r="C61" s="359"/>
      <c r="D61" s="359"/>
      <c r="E61" s="359"/>
      <c r="F61" s="359"/>
    </row>
    <row r="62" spans="1:6" ht="15">
      <c r="A62" s="356" t="s">
        <v>219</v>
      </c>
      <c r="B62" s="359"/>
      <c r="C62" s="359"/>
      <c r="D62" s="359"/>
      <c r="E62" s="359"/>
      <c r="F62" s="359"/>
    </row>
    <row r="63" spans="1:6" ht="15">
      <c r="A63" s="356" t="s">
        <v>220</v>
      </c>
      <c r="B63" s="359"/>
      <c r="C63" s="359"/>
      <c r="D63" s="359"/>
      <c r="E63" s="359"/>
      <c r="F63" s="359"/>
    </row>
    <row r="64" ht="15">
      <c r="A64" s="356" t="s">
        <v>998</v>
      </c>
    </row>
    <row r="65" ht="15">
      <c r="A65" s="356" t="s">
        <v>999</v>
      </c>
    </row>
    <row r="66" ht="15">
      <c r="A66" s="356" t="s">
        <v>1000</v>
      </c>
    </row>
    <row r="68" ht="15">
      <c r="A68" s="359" t="s">
        <v>1001</v>
      </c>
    </row>
    <row r="69" ht="15">
      <c r="A69" s="359" t="s">
        <v>1002</v>
      </c>
    </row>
    <row r="70" ht="15">
      <c r="A70" s="359" t="s">
        <v>1003</v>
      </c>
    </row>
    <row r="71" ht="15">
      <c r="A71" s="359" t="s">
        <v>1004</v>
      </c>
    </row>
    <row r="72" ht="15">
      <c r="A72" s="359" t="s">
        <v>1005</v>
      </c>
    </row>
    <row r="73" ht="15">
      <c r="A73" s="359" t="s">
        <v>1006</v>
      </c>
    </row>
    <row r="75" ht="15">
      <c r="A75" s="359" t="s">
        <v>134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8" t="s">
        <v>1007</v>
      </c>
      <c r="B3" s="358"/>
      <c r="C3" s="358"/>
      <c r="D3" s="358"/>
      <c r="E3" s="358"/>
      <c r="F3" s="358"/>
      <c r="G3" s="358"/>
    </row>
    <row r="4" spans="1:7" ht="15">
      <c r="A4" s="358"/>
      <c r="B4" s="358"/>
      <c r="C4" s="358"/>
      <c r="D4" s="358"/>
      <c r="E4" s="358"/>
      <c r="F4" s="358"/>
      <c r="G4" s="358"/>
    </row>
    <row r="5" ht="15">
      <c r="A5" s="359" t="s">
        <v>136</v>
      </c>
    </row>
    <row r="6" ht="15">
      <c r="A6" s="359" t="str">
        <f>CONCATENATE(inputPrYr!C5," estimated expenditures show that at the end of this year")</f>
        <v>2013 estimated expenditures show that at the end of this year</v>
      </c>
    </row>
    <row r="7" ht="15">
      <c r="A7" s="359" t="s">
        <v>1008</v>
      </c>
    </row>
    <row r="8" ht="15">
      <c r="A8" s="359" t="s">
        <v>1009</v>
      </c>
    </row>
    <row r="10" ht="15">
      <c r="A10" t="s">
        <v>138</v>
      </c>
    </row>
    <row r="11" ht="15">
      <c r="A11" t="s">
        <v>139</v>
      </c>
    </row>
    <row r="12" ht="15">
      <c r="A12" t="s">
        <v>140</v>
      </c>
    </row>
    <row r="13" spans="1:7" ht="15">
      <c r="A13" s="358"/>
      <c r="B13" s="358"/>
      <c r="C13" s="358"/>
      <c r="D13" s="358"/>
      <c r="E13" s="358"/>
      <c r="F13" s="358"/>
      <c r="G13" s="358"/>
    </row>
    <row r="14" ht="15">
      <c r="A14" s="360" t="s">
        <v>1010</v>
      </c>
    </row>
    <row r="15" ht="15">
      <c r="A15" s="359"/>
    </row>
    <row r="16" ht="15">
      <c r="A16" s="359" t="s">
        <v>1011</v>
      </c>
    </row>
    <row r="17" ht="15">
      <c r="A17" s="359" t="s">
        <v>1012</v>
      </c>
    </row>
    <row r="18" ht="15">
      <c r="A18" s="359" t="s">
        <v>1013</v>
      </c>
    </row>
    <row r="19" ht="15">
      <c r="A19" s="359"/>
    </row>
    <row r="20" ht="15">
      <c r="A20" s="359" t="s">
        <v>1014</v>
      </c>
    </row>
    <row r="21" ht="15">
      <c r="A21" s="359" t="s">
        <v>1015</v>
      </c>
    </row>
    <row r="22" ht="15">
      <c r="A22" s="359" t="s">
        <v>1016</v>
      </c>
    </row>
    <row r="23" ht="15">
      <c r="A23" s="359" t="s">
        <v>1017</v>
      </c>
    </row>
    <row r="24" ht="15">
      <c r="A24" s="359"/>
    </row>
    <row r="25" ht="15">
      <c r="A25" s="360" t="s">
        <v>202</v>
      </c>
    </row>
    <row r="26" ht="15">
      <c r="A26" s="360"/>
    </row>
    <row r="27" ht="15">
      <c r="A27" s="359" t="s">
        <v>203</v>
      </c>
    </row>
    <row r="28" spans="1:6" ht="15">
      <c r="A28" s="359" t="s">
        <v>204</v>
      </c>
      <c r="B28" s="359"/>
      <c r="C28" s="359"/>
      <c r="D28" s="359"/>
      <c r="E28" s="359"/>
      <c r="F28" s="359"/>
    </row>
    <row r="29" spans="1:6" ht="15">
      <c r="A29" s="359" t="s">
        <v>205</v>
      </c>
      <c r="B29" s="359"/>
      <c r="C29" s="359"/>
      <c r="D29" s="359"/>
      <c r="E29" s="359"/>
      <c r="F29" s="359"/>
    </row>
    <row r="30" spans="1:6" ht="15">
      <c r="A30" s="359" t="s">
        <v>206</v>
      </c>
      <c r="B30" s="359"/>
      <c r="C30" s="359"/>
      <c r="D30" s="359"/>
      <c r="E30" s="359"/>
      <c r="F30" s="359"/>
    </row>
    <row r="31" ht="15">
      <c r="A31" s="359"/>
    </row>
    <row r="32" spans="1:7" ht="15">
      <c r="A32" s="360" t="s">
        <v>207</v>
      </c>
      <c r="B32" s="360"/>
      <c r="C32" s="360"/>
      <c r="D32" s="360"/>
      <c r="E32" s="360"/>
      <c r="F32" s="360"/>
      <c r="G32" s="360"/>
    </row>
    <row r="33" spans="1:7" ht="15">
      <c r="A33" s="360" t="s">
        <v>208</v>
      </c>
      <c r="B33" s="360"/>
      <c r="C33" s="360"/>
      <c r="D33" s="360"/>
      <c r="E33" s="360"/>
      <c r="F33" s="360"/>
      <c r="G33" s="360"/>
    </row>
    <row r="34" spans="1:7" ht="15">
      <c r="A34" s="360"/>
      <c r="B34" s="360"/>
      <c r="C34" s="360"/>
      <c r="D34" s="360"/>
      <c r="E34" s="360"/>
      <c r="F34" s="360"/>
      <c r="G34" s="360"/>
    </row>
    <row r="35" spans="1:7" ht="15">
      <c r="A35" s="359" t="s">
        <v>1018</v>
      </c>
      <c r="B35" s="359"/>
      <c r="C35" s="359"/>
      <c r="D35" s="359"/>
      <c r="E35" s="359"/>
      <c r="F35" s="359"/>
      <c r="G35" s="359"/>
    </row>
    <row r="36" spans="1:7" ht="15">
      <c r="A36" s="359" t="s">
        <v>1019</v>
      </c>
      <c r="B36" s="359"/>
      <c r="C36" s="359"/>
      <c r="D36" s="359"/>
      <c r="E36" s="359"/>
      <c r="F36" s="359"/>
      <c r="G36" s="359"/>
    </row>
    <row r="37" spans="1:7" ht="15">
      <c r="A37" s="359" t="s">
        <v>1020</v>
      </c>
      <c r="B37" s="359"/>
      <c r="C37" s="359"/>
      <c r="D37" s="359"/>
      <c r="E37" s="359"/>
      <c r="F37" s="359"/>
      <c r="G37" s="359"/>
    </row>
    <row r="38" spans="1:7" ht="15">
      <c r="A38" s="359" t="s">
        <v>1021</v>
      </c>
      <c r="B38" s="359"/>
      <c r="C38" s="359"/>
      <c r="D38" s="359"/>
      <c r="E38" s="359"/>
      <c r="F38" s="359"/>
      <c r="G38" s="359"/>
    </row>
    <row r="39" spans="1:7" ht="15">
      <c r="A39" s="359" t="s">
        <v>1022</v>
      </c>
      <c r="B39" s="359"/>
      <c r="C39" s="359"/>
      <c r="D39" s="359"/>
      <c r="E39" s="359"/>
      <c r="F39" s="359"/>
      <c r="G39" s="359"/>
    </row>
    <row r="40" spans="1:7" ht="15">
      <c r="A40" s="360"/>
      <c r="B40" s="360"/>
      <c r="C40" s="360"/>
      <c r="D40" s="360"/>
      <c r="E40" s="360"/>
      <c r="F40" s="360"/>
      <c r="G40" s="360"/>
    </row>
    <row r="41" spans="1:6" ht="15">
      <c r="A41" s="357" t="str">
        <f>CONCATENATE("So, let's look to see if any of your ",inputPrYr!C5-1," expenditures can")</f>
        <v>So, let's look to see if any of your 2012 expenditures can</v>
      </c>
      <c r="B41" s="359"/>
      <c r="C41" s="359"/>
      <c r="D41" s="359"/>
      <c r="E41" s="359"/>
      <c r="F41" s="359"/>
    </row>
    <row r="42" spans="1:6" ht="15">
      <c r="A42" s="357" t="s">
        <v>209</v>
      </c>
      <c r="B42" s="359"/>
      <c r="C42" s="359"/>
      <c r="D42" s="359"/>
      <c r="E42" s="359"/>
      <c r="F42" s="359"/>
    </row>
    <row r="43" spans="1:6" ht="15">
      <c r="A43" s="357" t="s">
        <v>971</v>
      </c>
      <c r="B43" s="359"/>
      <c r="C43" s="359"/>
      <c r="D43" s="359"/>
      <c r="E43" s="359"/>
      <c r="F43" s="359"/>
    </row>
    <row r="44" spans="1:6" ht="15">
      <c r="A44" s="357" t="s">
        <v>972</v>
      </c>
      <c r="B44" s="359"/>
      <c r="C44" s="359"/>
      <c r="D44" s="359"/>
      <c r="E44" s="359"/>
      <c r="F44" s="359"/>
    </row>
    <row r="45" ht="15">
      <c r="A45" s="359"/>
    </row>
    <row r="46" spans="1:6" ht="15">
      <c r="A46" s="357" t="str">
        <f>CONCATENATE("Additionally, do your ",inputPrYr!C5-1," receipts contain a reimbursement")</f>
        <v>Additionally, do your 2012 receipts contain a reimbursement</v>
      </c>
      <c r="B46" s="359"/>
      <c r="C46" s="359"/>
      <c r="D46" s="359"/>
      <c r="E46" s="359"/>
      <c r="F46" s="359"/>
    </row>
    <row r="47" spans="1:6" ht="15">
      <c r="A47" s="357" t="s">
        <v>973</v>
      </c>
      <c r="B47" s="359"/>
      <c r="C47" s="359"/>
      <c r="D47" s="359"/>
      <c r="E47" s="359"/>
      <c r="F47" s="359"/>
    </row>
    <row r="48" spans="1:6" ht="15">
      <c r="A48" s="357" t="s">
        <v>974</v>
      </c>
      <c r="B48" s="359"/>
      <c r="C48" s="359"/>
      <c r="D48" s="359"/>
      <c r="E48" s="359"/>
      <c r="F48" s="359"/>
    </row>
    <row r="49" spans="1:7" ht="15">
      <c r="A49" s="359"/>
      <c r="B49" s="359"/>
      <c r="C49" s="359"/>
      <c r="D49" s="359"/>
      <c r="E49" s="359"/>
      <c r="F49" s="359"/>
      <c r="G49" s="359"/>
    </row>
    <row r="50" spans="1:7" ht="15">
      <c r="A50" s="359" t="s">
        <v>163</v>
      </c>
      <c r="B50" s="359"/>
      <c r="C50" s="359"/>
      <c r="D50" s="359"/>
      <c r="E50" s="359"/>
      <c r="F50" s="359"/>
      <c r="G50" s="359"/>
    </row>
    <row r="51" spans="1:7" ht="15">
      <c r="A51" s="359" t="s">
        <v>164</v>
      </c>
      <c r="B51" s="359"/>
      <c r="C51" s="359"/>
      <c r="D51" s="359"/>
      <c r="E51" s="359"/>
      <c r="F51" s="359"/>
      <c r="G51" s="359"/>
    </row>
    <row r="52" spans="1:7" ht="15">
      <c r="A52" s="359" t="s">
        <v>165</v>
      </c>
      <c r="B52" s="359"/>
      <c r="C52" s="359"/>
      <c r="D52" s="359"/>
      <c r="E52" s="359"/>
      <c r="F52" s="359"/>
      <c r="G52" s="359"/>
    </row>
    <row r="53" spans="1:7" ht="15">
      <c r="A53" s="359" t="s">
        <v>166</v>
      </c>
      <c r="B53" s="359"/>
      <c r="C53" s="359"/>
      <c r="D53" s="359"/>
      <c r="E53" s="359"/>
      <c r="F53" s="359"/>
      <c r="G53" s="359"/>
    </row>
    <row r="54" spans="1:7" ht="15">
      <c r="A54" s="359" t="s">
        <v>167</v>
      </c>
      <c r="B54" s="359"/>
      <c r="C54" s="359"/>
      <c r="D54" s="359"/>
      <c r="E54" s="359"/>
      <c r="F54" s="359"/>
      <c r="G54" s="359"/>
    </row>
    <row r="55" spans="1:7" ht="15">
      <c r="A55" s="359"/>
      <c r="B55" s="359"/>
      <c r="C55" s="359"/>
      <c r="D55" s="359"/>
      <c r="E55" s="359"/>
      <c r="F55" s="359"/>
      <c r="G55" s="359"/>
    </row>
    <row r="56" spans="1:6" ht="15">
      <c r="A56" s="357" t="s">
        <v>983</v>
      </c>
      <c r="B56" s="359"/>
      <c r="C56" s="359"/>
      <c r="D56" s="359"/>
      <c r="E56" s="359"/>
      <c r="F56" s="359"/>
    </row>
    <row r="57" spans="1:6" ht="15">
      <c r="A57" s="357" t="s">
        <v>984</v>
      </c>
      <c r="B57" s="359"/>
      <c r="C57" s="359"/>
      <c r="D57" s="359"/>
      <c r="E57" s="359"/>
      <c r="F57" s="359"/>
    </row>
    <row r="58" spans="1:6" ht="15">
      <c r="A58" s="357" t="s">
        <v>985</v>
      </c>
      <c r="B58" s="359"/>
      <c r="C58" s="359"/>
      <c r="D58" s="359"/>
      <c r="E58" s="359"/>
      <c r="F58" s="359"/>
    </row>
    <row r="59" spans="1:6" ht="15">
      <c r="A59" s="357"/>
      <c r="B59" s="359"/>
      <c r="C59" s="359"/>
      <c r="D59" s="359"/>
      <c r="E59" s="359"/>
      <c r="F59" s="359"/>
    </row>
    <row r="60" spans="1:7" ht="15">
      <c r="A60" s="359" t="s">
        <v>1023</v>
      </c>
      <c r="B60" s="359"/>
      <c r="C60" s="359"/>
      <c r="D60" s="359"/>
      <c r="E60" s="359"/>
      <c r="F60" s="359"/>
      <c r="G60" s="359"/>
    </row>
    <row r="61" spans="1:7" ht="15">
      <c r="A61" s="359" t="s">
        <v>1024</v>
      </c>
      <c r="B61" s="359"/>
      <c r="C61" s="359"/>
      <c r="D61" s="359"/>
      <c r="E61" s="359"/>
      <c r="F61" s="359"/>
      <c r="G61" s="359"/>
    </row>
    <row r="62" spans="1:7" ht="15">
      <c r="A62" s="359" t="s">
        <v>1025</v>
      </c>
      <c r="B62" s="359"/>
      <c r="C62" s="359"/>
      <c r="D62" s="359"/>
      <c r="E62" s="359"/>
      <c r="F62" s="359"/>
      <c r="G62" s="359"/>
    </row>
    <row r="63" spans="1:7" ht="15">
      <c r="A63" s="359" t="s">
        <v>1026</v>
      </c>
      <c r="B63" s="359"/>
      <c r="C63" s="359"/>
      <c r="D63" s="359"/>
      <c r="E63" s="359"/>
      <c r="F63" s="359"/>
      <c r="G63" s="359"/>
    </row>
    <row r="64" spans="1:7" ht="15">
      <c r="A64" s="359" t="s">
        <v>1027</v>
      </c>
      <c r="B64" s="359"/>
      <c r="C64" s="359"/>
      <c r="D64" s="359"/>
      <c r="E64" s="359"/>
      <c r="F64" s="359"/>
      <c r="G64" s="359"/>
    </row>
    <row r="66" spans="1:6" ht="15">
      <c r="A66" s="357" t="s">
        <v>213</v>
      </c>
      <c r="B66" s="359"/>
      <c r="C66" s="359"/>
      <c r="D66" s="359"/>
      <c r="E66" s="359"/>
      <c r="F66" s="359"/>
    </row>
    <row r="67" spans="1:6" ht="15">
      <c r="A67" s="357" t="s">
        <v>214</v>
      </c>
      <c r="B67" s="359"/>
      <c r="C67" s="359"/>
      <c r="D67" s="359"/>
      <c r="E67" s="359"/>
      <c r="F67" s="359"/>
    </row>
    <row r="68" spans="1:6" ht="15">
      <c r="A68" s="357" t="s">
        <v>215</v>
      </c>
      <c r="B68" s="359"/>
      <c r="C68" s="359"/>
      <c r="D68" s="359"/>
      <c r="E68" s="359"/>
      <c r="F68" s="359"/>
    </row>
    <row r="69" spans="1:6" ht="15">
      <c r="A69" s="357" t="s">
        <v>216</v>
      </c>
      <c r="B69" s="359"/>
      <c r="C69" s="359"/>
      <c r="D69" s="359"/>
      <c r="E69" s="359"/>
      <c r="F69" s="359"/>
    </row>
    <row r="70" spans="1:6" ht="15">
      <c r="A70" s="357" t="s">
        <v>217</v>
      </c>
      <c r="B70" s="359"/>
      <c r="C70" s="359"/>
      <c r="D70" s="359"/>
      <c r="E70" s="359"/>
      <c r="F70" s="359"/>
    </row>
    <row r="71" ht="15">
      <c r="A71" s="359"/>
    </row>
    <row r="72" ht="15">
      <c r="A72" s="359" t="s">
        <v>134</v>
      </c>
    </row>
    <row r="73" ht="15">
      <c r="A73" s="359"/>
    </row>
    <row r="74" ht="15">
      <c r="A74" s="359"/>
    </row>
    <row r="75" ht="15">
      <c r="A75" s="359"/>
    </row>
    <row r="78" ht="15">
      <c r="A78" s="360"/>
    </row>
    <row r="80" ht="15">
      <c r="A80" s="359"/>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2" ht="15">
      <c r="A102" s="359"/>
    </row>
    <row r="103" ht="15">
      <c r="A103" s="359"/>
    </row>
    <row r="104" ht="15">
      <c r="A104" s="359"/>
    </row>
    <row r="105" ht="15">
      <c r="A105" s="359"/>
    </row>
    <row r="106" ht="15">
      <c r="A106" s="35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8" t="s">
        <v>1028</v>
      </c>
      <c r="B3" s="358"/>
      <c r="C3" s="358"/>
      <c r="D3" s="358"/>
      <c r="E3" s="358"/>
      <c r="F3" s="358"/>
      <c r="G3" s="358"/>
    </row>
    <row r="4" spans="1:7" ht="15">
      <c r="A4" s="358" t="s">
        <v>1029</v>
      </c>
      <c r="B4" s="358"/>
      <c r="C4" s="358"/>
      <c r="D4" s="358"/>
      <c r="E4" s="358"/>
      <c r="F4" s="358"/>
      <c r="G4" s="358"/>
    </row>
    <row r="5" spans="1:7" ht="15">
      <c r="A5" s="358"/>
      <c r="B5" s="358"/>
      <c r="C5" s="358"/>
      <c r="D5" s="358"/>
      <c r="E5" s="358"/>
      <c r="F5" s="358"/>
      <c r="G5" s="358"/>
    </row>
    <row r="6" spans="1:7" ht="15">
      <c r="A6" s="358"/>
      <c r="B6" s="358"/>
      <c r="C6" s="358"/>
      <c r="D6" s="358"/>
      <c r="E6" s="358"/>
      <c r="F6" s="358"/>
      <c r="G6" s="358"/>
    </row>
    <row r="7" ht="15">
      <c r="A7" s="359" t="s">
        <v>957</v>
      </c>
    </row>
    <row r="8" ht="15">
      <c r="A8" s="359" t="str">
        <f>CONCATENATE("estimated ",inputPrYr!C5," 'total expenditures' exceed your ",inputPrYr!C5,"")</f>
        <v>estimated 2013 'total expenditures' exceed your 2013</v>
      </c>
    </row>
    <row r="9" ht="15">
      <c r="A9" s="362" t="s">
        <v>1030</v>
      </c>
    </row>
    <row r="10" ht="15">
      <c r="A10" s="359"/>
    </row>
    <row r="11" ht="15">
      <c r="A11" s="359" t="s">
        <v>1031</v>
      </c>
    </row>
    <row r="12" ht="15">
      <c r="A12" s="359" t="s">
        <v>1032</v>
      </c>
    </row>
    <row r="13" ht="15">
      <c r="A13" s="359" t="s">
        <v>1033</v>
      </c>
    </row>
    <row r="14" ht="15">
      <c r="A14" s="359"/>
    </row>
    <row r="15" ht="15">
      <c r="A15" s="360" t="s">
        <v>1034</v>
      </c>
    </row>
    <row r="16" spans="1:7" ht="15">
      <c r="A16" s="358"/>
      <c r="B16" s="358"/>
      <c r="C16" s="358"/>
      <c r="D16" s="358"/>
      <c r="E16" s="358"/>
      <c r="F16" s="358"/>
      <c r="G16" s="358"/>
    </row>
    <row r="17" spans="1:8" ht="15">
      <c r="A17" s="363" t="s">
        <v>1035</v>
      </c>
      <c r="B17" s="364"/>
      <c r="C17" s="364"/>
      <c r="D17" s="364"/>
      <c r="E17" s="364"/>
      <c r="F17" s="364"/>
      <c r="G17" s="364"/>
      <c r="H17" s="364"/>
    </row>
    <row r="18" spans="1:7" ht="15">
      <c r="A18" s="359" t="s">
        <v>1036</v>
      </c>
      <c r="B18" s="365"/>
      <c r="C18" s="365"/>
      <c r="D18" s="365"/>
      <c r="E18" s="365"/>
      <c r="F18" s="365"/>
      <c r="G18" s="365"/>
    </row>
    <row r="19" ht="15">
      <c r="A19" s="359" t="s">
        <v>1037</v>
      </c>
    </row>
    <row r="20" ht="15">
      <c r="A20" s="359" t="s">
        <v>1038</v>
      </c>
    </row>
    <row r="22" ht="15">
      <c r="A22" s="360" t="s">
        <v>1039</v>
      </c>
    </row>
    <row r="24" ht="15">
      <c r="A24" s="359" t="s">
        <v>1040</v>
      </c>
    </row>
    <row r="25" ht="15">
      <c r="A25" s="359" t="s">
        <v>1041</v>
      </c>
    </row>
    <row r="26" ht="15">
      <c r="A26" s="359" t="s">
        <v>1042</v>
      </c>
    </row>
    <row r="28" ht="15">
      <c r="A28" s="360" t="s">
        <v>1043</v>
      </c>
    </row>
    <row r="30" ht="15">
      <c r="A30" t="s">
        <v>1044</v>
      </c>
    </row>
    <row r="31" ht="15">
      <c r="A31" t="s">
        <v>1045</v>
      </c>
    </row>
    <row r="32" ht="15">
      <c r="A32" t="s">
        <v>1046</v>
      </c>
    </row>
    <row r="33" ht="15">
      <c r="A33" s="359" t="s">
        <v>1047</v>
      </c>
    </row>
    <row r="35" ht="15">
      <c r="A35" t="s">
        <v>1048</v>
      </c>
    </row>
    <row r="36" ht="15">
      <c r="A36" t="s">
        <v>1049</v>
      </c>
    </row>
    <row r="37" ht="15">
      <c r="A37" t="s">
        <v>1050</v>
      </c>
    </row>
    <row r="38" ht="15">
      <c r="A38" t="s">
        <v>1051</v>
      </c>
    </row>
    <row r="40" ht="15">
      <c r="A40" t="s">
        <v>1052</v>
      </c>
    </row>
    <row r="41" ht="15">
      <c r="A41" t="s">
        <v>1053</v>
      </c>
    </row>
    <row r="42" ht="15">
      <c r="A42" t="s">
        <v>1054</v>
      </c>
    </row>
    <row r="43" ht="15">
      <c r="A43" t="s">
        <v>1055</v>
      </c>
    </row>
    <row r="44" ht="15">
      <c r="A44" t="s">
        <v>1056</v>
      </c>
    </row>
    <row r="45" ht="15">
      <c r="A45" t="s">
        <v>1057</v>
      </c>
    </row>
    <row r="47" ht="15">
      <c r="A47" t="s">
        <v>1058</v>
      </c>
    </row>
    <row r="48" ht="15">
      <c r="A48" t="s">
        <v>1059</v>
      </c>
    </row>
    <row r="49" ht="15">
      <c r="A49" s="359" t="s">
        <v>1060</v>
      </c>
    </row>
    <row r="50" ht="15">
      <c r="A50" s="359" t="s">
        <v>1061</v>
      </c>
    </row>
    <row r="52" ht="15">
      <c r="A52" t="s">
        <v>134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6"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832" t="s">
        <v>250</v>
      </c>
      <c r="C6" s="840"/>
      <c r="D6" s="840"/>
      <c r="E6" s="840"/>
      <c r="F6" s="840"/>
      <c r="G6" s="840"/>
      <c r="H6" s="840"/>
      <c r="I6" s="840"/>
      <c r="J6" s="840"/>
      <c r="K6" s="840"/>
      <c r="L6" s="439"/>
    </row>
    <row r="7" spans="1:12" ht="40.5" customHeight="1">
      <c r="A7" s="437"/>
      <c r="B7" s="841" t="s">
        <v>251</v>
      </c>
      <c r="C7" s="842"/>
      <c r="D7" s="842"/>
      <c r="E7" s="842"/>
      <c r="F7" s="842"/>
      <c r="G7" s="842"/>
      <c r="H7" s="842"/>
      <c r="I7" s="842"/>
      <c r="J7" s="842"/>
      <c r="K7" s="842"/>
      <c r="L7" s="437"/>
    </row>
    <row r="8" spans="1:12" ht="14.25">
      <c r="A8" s="437"/>
      <c r="B8" s="839" t="s">
        <v>252</v>
      </c>
      <c r="C8" s="839"/>
      <c r="D8" s="839"/>
      <c r="E8" s="839"/>
      <c r="F8" s="839"/>
      <c r="G8" s="839"/>
      <c r="H8" s="839"/>
      <c r="I8" s="839"/>
      <c r="J8" s="839"/>
      <c r="K8" s="839"/>
      <c r="L8" s="437"/>
    </row>
    <row r="9" spans="1:12" ht="14.25">
      <c r="A9" s="437"/>
      <c r="L9" s="437"/>
    </row>
    <row r="10" spans="1:12" ht="14.25">
      <c r="A10" s="437"/>
      <c r="B10" s="839" t="s">
        <v>253</v>
      </c>
      <c r="C10" s="839"/>
      <c r="D10" s="839"/>
      <c r="E10" s="839"/>
      <c r="F10" s="839"/>
      <c r="G10" s="839"/>
      <c r="H10" s="839"/>
      <c r="I10" s="839"/>
      <c r="J10" s="839"/>
      <c r="K10" s="839"/>
      <c r="L10" s="437"/>
    </row>
    <row r="11" spans="1:12" ht="14.25">
      <c r="A11" s="437"/>
      <c r="B11" s="599"/>
      <c r="C11" s="599"/>
      <c r="D11" s="599"/>
      <c r="E11" s="599"/>
      <c r="F11" s="599"/>
      <c r="G11" s="599"/>
      <c r="H11" s="599"/>
      <c r="I11" s="599"/>
      <c r="J11" s="599"/>
      <c r="K11" s="599"/>
      <c r="L11" s="437"/>
    </row>
    <row r="12" spans="1:12" ht="32.25" customHeight="1">
      <c r="A12" s="437"/>
      <c r="B12" s="834" t="s">
        <v>254</v>
      </c>
      <c r="C12" s="834"/>
      <c r="D12" s="834"/>
      <c r="E12" s="834"/>
      <c r="F12" s="834"/>
      <c r="G12" s="834"/>
      <c r="H12" s="834"/>
      <c r="I12" s="834"/>
      <c r="J12" s="834"/>
      <c r="K12" s="834"/>
      <c r="L12" s="437"/>
    </row>
    <row r="13" spans="1:12" ht="14.25">
      <c r="A13" s="437"/>
      <c r="L13" s="437"/>
    </row>
    <row r="14" spans="1:12" ht="14.25">
      <c r="A14" s="437"/>
      <c r="B14" s="440" t="s">
        <v>255</v>
      </c>
      <c r="L14" s="437"/>
    </row>
    <row r="15" spans="1:12" ht="14.25">
      <c r="A15" s="437"/>
      <c r="L15" s="437"/>
    </row>
    <row r="16" spans="1:12" ht="14.25">
      <c r="A16" s="437"/>
      <c r="B16" s="438" t="s">
        <v>256</v>
      </c>
      <c r="L16" s="437"/>
    </row>
    <row r="17" spans="1:12" ht="14.25">
      <c r="A17" s="437"/>
      <c r="B17" s="438" t="s">
        <v>257</v>
      </c>
      <c r="L17" s="437"/>
    </row>
    <row r="18" spans="1:12" ht="14.25">
      <c r="A18" s="437"/>
      <c r="L18" s="437"/>
    </row>
    <row r="19" spans="1:12" ht="14.25">
      <c r="A19" s="437"/>
      <c r="B19" s="440" t="s">
        <v>409</v>
      </c>
      <c r="L19" s="437"/>
    </row>
    <row r="20" spans="1:12" ht="14.25">
      <c r="A20" s="437"/>
      <c r="B20" s="440"/>
      <c r="L20" s="437"/>
    </row>
    <row r="21" spans="1:12" ht="14.25">
      <c r="A21" s="437"/>
      <c r="B21" s="438" t="s">
        <v>410</v>
      </c>
      <c r="L21" s="437"/>
    </row>
    <row r="22" spans="1:12" ht="14.25">
      <c r="A22" s="437"/>
      <c r="L22" s="437"/>
    </row>
    <row r="23" spans="1:12" ht="14.25">
      <c r="A23" s="437"/>
      <c r="B23" s="438" t="s">
        <v>258</v>
      </c>
      <c r="E23" s="438" t="s">
        <v>259</v>
      </c>
      <c r="F23" s="830">
        <v>312000000</v>
      </c>
      <c r="G23" s="830"/>
      <c r="L23" s="437"/>
    </row>
    <row r="24" spans="1:12" ht="14.25">
      <c r="A24" s="437"/>
      <c r="L24" s="437"/>
    </row>
    <row r="25" spans="1:12" ht="14.25">
      <c r="A25" s="437"/>
      <c r="C25" s="837">
        <f>F23</f>
        <v>312000000</v>
      </c>
      <c r="D25" s="837"/>
      <c r="E25" s="438" t="s">
        <v>260</v>
      </c>
      <c r="F25" s="441">
        <v>1000</v>
      </c>
      <c r="G25" s="441" t="s">
        <v>259</v>
      </c>
      <c r="H25" s="600">
        <f>F23/F25</f>
        <v>312000</v>
      </c>
      <c r="L25" s="437"/>
    </row>
    <row r="26" spans="1:12" ht="15" thickBot="1">
      <c r="A26" s="437"/>
      <c r="L26" s="437"/>
    </row>
    <row r="27" spans="1:12" ht="14.25">
      <c r="A27" s="437"/>
      <c r="B27" s="442" t="s">
        <v>255</v>
      </c>
      <c r="C27" s="443"/>
      <c r="D27" s="443"/>
      <c r="E27" s="443"/>
      <c r="F27" s="443"/>
      <c r="G27" s="443"/>
      <c r="H27" s="443"/>
      <c r="I27" s="443"/>
      <c r="J27" s="443"/>
      <c r="K27" s="444"/>
      <c r="L27" s="437"/>
    </row>
    <row r="28" spans="1:12" ht="14.25">
      <c r="A28" s="437"/>
      <c r="B28" s="445">
        <f>F23</f>
        <v>312000000</v>
      </c>
      <c r="C28" s="446" t="s">
        <v>261</v>
      </c>
      <c r="D28" s="446"/>
      <c r="E28" s="446" t="s">
        <v>260</v>
      </c>
      <c r="F28" s="597">
        <v>1000</v>
      </c>
      <c r="G28" s="597" t="s">
        <v>259</v>
      </c>
      <c r="H28" s="447">
        <f>B28/F28</f>
        <v>312000</v>
      </c>
      <c r="I28" s="446" t="s">
        <v>262</v>
      </c>
      <c r="J28" s="446"/>
      <c r="K28" s="448"/>
      <c r="L28" s="437"/>
    </row>
    <row r="29" spans="1:12" ht="15" thickBot="1">
      <c r="A29" s="437"/>
      <c r="B29" s="449"/>
      <c r="C29" s="450"/>
      <c r="D29" s="450"/>
      <c r="E29" s="450"/>
      <c r="F29" s="450"/>
      <c r="G29" s="450"/>
      <c r="H29" s="450"/>
      <c r="I29" s="450"/>
      <c r="J29" s="450"/>
      <c r="K29" s="451"/>
      <c r="L29" s="437"/>
    </row>
    <row r="30" spans="1:12" ht="40.5" customHeight="1">
      <c r="A30" s="437"/>
      <c r="B30" s="838" t="s">
        <v>251</v>
      </c>
      <c r="C30" s="838"/>
      <c r="D30" s="838"/>
      <c r="E30" s="838"/>
      <c r="F30" s="838"/>
      <c r="G30" s="838"/>
      <c r="H30" s="838"/>
      <c r="I30" s="838"/>
      <c r="J30" s="838"/>
      <c r="K30" s="838"/>
      <c r="L30" s="437"/>
    </row>
    <row r="31" spans="1:12" ht="14.25">
      <c r="A31" s="437"/>
      <c r="B31" s="839" t="s">
        <v>263</v>
      </c>
      <c r="C31" s="839"/>
      <c r="D31" s="839"/>
      <c r="E31" s="839"/>
      <c r="F31" s="839"/>
      <c r="G31" s="839"/>
      <c r="H31" s="839"/>
      <c r="I31" s="839"/>
      <c r="J31" s="839"/>
      <c r="K31" s="839"/>
      <c r="L31" s="437"/>
    </row>
    <row r="32" spans="1:12" ht="14.25">
      <c r="A32" s="437"/>
      <c r="L32" s="437"/>
    </row>
    <row r="33" spans="1:12" ht="14.25">
      <c r="A33" s="437"/>
      <c r="B33" s="839" t="s">
        <v>264</v>
      </c>
      <c r="C33" s="839"/>
      <c r="D33" s="839"/>
      <c r="E33" s="839"/>
      <c r="F33" s="839"/>
      <c r="G33" s="839"/>
      <c r="H33" s="839"/>
      <c r="I33" s="839"/>
      <c r="J33" s="839"/>
      <c r="K33" s="839"/>
      <c r="L33" s="437"/>
    </row>
    <row r="34" spans="1:12" ht="14.25">
      <c r="A34" s="437"/>
      <c r="L34" s="437"/>
    </row>
    <row r="35" spans="1:12" ht="89.25" customHeight="1">
      <c r="A35" s="437"/>
      <c r="B35" s="834" t="s">
        <v>265</v>
      </c>
      <c r="C35" s="836"/>
      <c r="D35" s="836"/>
      <c r="E35" s="836"/>
      <c r="F35" s="836"/>
      <c r="G35" s="836"/>
      <c r="H35" s="836"/>
      <c r="I35" s="836"/>
      <c r="J35" s="836"/>
      <c r="K35" s="836"/>
      <c r="L35" s="437"/>
    </row>
    <row r="36" spans="1:12" ht="14.25">
      <c r="A36" s="437"/>
      <c r="L36" s="437"/>
    </row>
    <row r="37" spans="1:12" ht="14.25">
      <c r="A37" s="437"/>
      <c r="B37" s="440" t="s">
        <v>266</v>
      </c>
      <c r="L37" s="437"/>
    </row>
    <row r="38" spans="1:12" ht="14.25">
      <c r="A38" s="437"/>
      <c r="L38" s="437"/>
    </row>
    <row r="39" spans="1:12" ht="14.25">
      <c r="A39" s="437"/>
      <c r="B39" s="438" t="s">
        <v>267</v>
      </c>
      <c r="L39" s="437"/>
    </row>
    <row r="40" spans="1:12" ht="14.25">
      <c r="A40" s="437"/>
      <c r="L40" s="437"/>
    </row>
    <row r="41" spans="1:12" ht="14.25">
      <c r="A41" s="437"/>
      <c r="C41" s="846">
        <v>312000000</v>
      </c>
      <c r="D41" s="846"/>
      <c r="E41" s="438" t="s">
        <v>260</v>
      </c>
      <c r="F41" s="441">
        <v>1000</v>
      </c>
      <c r="G41" s="441" t="s">
        <v>259</v>
      </c>
      <c r="H41" s="452">
        <f>C41/F41</f>
        <v>312000</v>
      </c>
      <c r="L41" s="437"/>
    </row>
    <row r="42" spans="1:12" ht="14.25">
      <c r="A42" s="437"/>
      <c r="L42" s="437"/>
    </row>
    <row r="43" spans="1:12" ht="14.25">
      <c r="A43" s="437"/>
      <c r="B43" s="438" t="s">
        <v>268</v>
      </c>
      <c r="L43" s="437"/>
    </row>
    <row r="44" spans="1:12" ht="14.25">
      <c r="A44" s="437"/>
      <c r="L44" s="437"/>
    </row>
    <row r="45" spans="1:12" ht="14.25">
      <c r="A45" s="437"/>
      <c r="B45" s="438" t="s">
        <v>269</v>
      </c>
      <c r="L45" s="437"/>
    </row>
    <row r="46" spans="1:12" ht="15" thickBot="1">
      <c r="A46" s="437"/>
      <c r="L46" s="437"/>
    </row>
    <row r="47" spans="1:12" ht="14.25">
      <c r="A47" s="437"/>
      <c r="B47" s="453" t="s">
        <v>255</v>
      </c>
      <c r="C47" s="443"/>
      <c r="D47" s="443"/>
      <c r="E47" s="443"/>
      <c r="F47" s="443"/>
      <c r="G47" s="443"/>
      <c r="H47" s="443"/>
      <c r="I47" s="443"/>
      <c r="J47" s="443"/>
      <c r="K47" s="444"/>
      <c r="L47" s="437"/>
    </row>
    <row r="48" spans="1:12" ht="14.25">
      <c r="A48" s="437"/>
      <c r="B48" s="847">
        <v>312000000</v>
      </c>
      <c r="C48" s="830"/>
      <c r="D48" s="446" t="s">
        <v>270</v>
      </c>
      <c r="E48" s="446" t="s">
        <v>260</v>
      </c>
      <c r="F48" s="597">
        <v>1000</v>
      </c>
      <c r="G48" s="597" t="s">
        <v>259</v>
      </c>
      <c r="H48" s="447">
        <f>B48/F48</f>
        <v>312000</v>
      </c>
      <c r="I48" s="446" t="s">
        <v>271</v>
      </c>
      <c r="J48" s="446"/>
      <c r="K48" s="448"/>
      <c r="L48" s="437"/>
    </row>
    <row r="49" spans="1:12" ht="14.25">
      <c r="A49" s="437"/>
      <c r="B49" s="454"/>
      <c r="C49" s="446"/>
      <c r="D49" s="446"/>
      <c r="E49" s="446"/>
      <c r="F49" s="446"/>
      <c r="G49" s="446"/>
      <c r="H49" s="446"/>
      <c r="I49" s="446"/>
      <c r="J49" s="446"/>
      <c r="K49" s="448"/>
      <c r="L49" s="437"/>
    </row>
    <row r="50" spans="1:12" ht="14.25">
      <c r="A50" s="437"/>
      <c r="B50" s="455">
        <v>50000</v>
      </c>
      <c r="C50" s="446" t="s">
        <v>272</v>
      </c>
      <c r="D50" s="446"/>
      <c r="E50" s="446" t="s">
        <v>260</v>
      </c>
      <c r="F50" s="447">
        <f>H48</f>
        <v>312000</v>
      </c>
      <c r="G50" s="848" t="s">
        <v>273</v>
      </c>
      <c r="H50" s="849"/>
      <c r="I50" s="597" t="s">
        <v>259</v>
      </c>
      <c r="J50" s="456">
        <f>B50/F50</f>
        <v>0.16025641025641027</v>
      </c>
      <c r="K50" s="448"/>
      <c r="L50" s="437"/>
    </row>
    <row r="51" spans="1:15" ht="15" thickBot="1">
      <c r="A51" s="437"/>
      <c r="B51" s="449"/>
      <c r="C51" s="450"/>
      <c r="D51" s="450"/>
      <c r="E51" s="450"/>
      <c r="F51" s="450"/>
      <c r="G51" s="450"/>
      <c r="H51" s="450"/>
      <c r="I51" s="850" t="s">
        <v>274</v>
      </c>
      <c r="J51" s="850"/>
      <c r="K51" s="851"/>
      <c r="L51" s="437"/>
      <c r="O51" s="580"/>
    </row>
    <row r="52" spans="1:12" ht="40.5" customHeight="1">
      <c r="A52" s="437"/>
      <c r="B52" s="838" t="s">
        <v>251</v>
      </c>
      <c r="C52" s="838"/>
      <c r="D52" s="838"/>
      <c r="E52" s="838"/>
      <c r="F52" s="838"/>
      <c r="G52" s="838"/>
      <c r="H52" s="838"/>
      <c r="I52" s="838"/>
      <c r="J52" s="838"/>
      <c r="K52" s="838"/>
      <c r="L52" s="437"/>
    </row>
    <row r="53" spans="1:12" ht="14.25">
      <c r="A53" s="437"/>
      <c r="B53" s="839" t="s">
        <v>1068</v>
      </c>
      <c r="C53" s="839"/>
      <c r="D53" s="839"/>
      <c r="E53" s="839"/>
      <c r="F53" s="839"/>
      <c r="G53" s="839"/>
      <c r="H53" s="839"/>
      <c r="I53" s="839"/>
      <c r="J53" s="839"/>
      <c r="K53" s="839"/>
      <c r="L53" s="437"/>
    </row>
    <row r="54" spans="1:12" ht="14.25">
      <c r="A54" s="437"/>
      <c r="B54" s="599"/>
      <c r="C54" s="599"/>
      <c r="D54" s="599"/>
      <c r="E54" s="599"/>
      <c r="F54" s="599"/>
      <c r="G54" s="599"/>
      <c r="H54" s="599"/>
      <c r="I54" s="599"/>
      <c r="J54" s="599"/>
      <c r="K54" s="599"/>
      <c r="L54" s="437"/>
    </row>
    <row r="55" spans="1:12" ht="14.25">
      <c r="A55" s="437"/>
      <c r="B55" s="832" t="s">
        <v>1069</v>
      </c>
      <c r="C55" s="832"/>
      <c r="D55" s="832"/>
      <c r="E55" s="832"/>
      <c r="F55" s="832"/>
      <c r="G55" s="832"/>
      <c r="H55" s="832"/>
      <c r="I55" s="832"/>
      <c r="J55" s="832"/>
      <c r="K55" s="832"/>
      <c r="L55" s="437"/>
    </row>
    <row r="56" spans="1:12" ht="15" customHeight="1">
      <c r="A56" s="437"/>
      <c r="L56" s="437"/>
    </row>
    <row r="57" spans="1:24" ht="74.25" customHeight="1">
      <c r="A57" s="437"/>
      <c r="B57" s="834" t="s">
        <v>1070</v>
      </c>
      <c r="C57" s="836"/>
      <c r="D57" s="836"/>
      <c r="E57" s="836"/>
      <c r="F57" s="836"/>
      <c r="G57" s="836"/>
      <c r="H57" s="836"/>
      <c r="I57" s="836"/>
      <c r="J57" s="836"/>
      <c r="K57" s="836"/>
      <c r="L57" s="437"/>
      <c r="M57" s="457"/>
      <c r="N57" s="458"/>
      <c r="O57" s="458"/>
      <c r="P57" s="458"/>
      <c r="Q57" s="458"/>
      <c r="R57" s="458"/>
      <c r="S57" s="458"/>
      <c r="T57" s="458"/>
      <c r="U57" s="458"/>
      <c r="V57" s="458"/>
      <c r="W57" s="458"/>
      <c r="X57" s="458"/>
    </row>
    <row r="58" spans="1:24" ht="15" customHeight="1">
      <c r="A58" s="437"/>
      <c r="B58" s="834"/>
      <c r="C58" s="836"/>
      <c r="D58" s="836"/>
      <c r="E58" s="836"/>
      <c r="F58" s="836"/>
      <c r="G58" s="836"/>
      <c r="H58" s="836"/>
      <c r="I58" s="836"/>
      <c r="J58" s="836"/>
      <c r="K58" s="836"/>
      <c r="L58" s="437"/>
      <c r="M58" s="457"/>
      <c r="N58" s="458"/>
      <c r="O58" s="458"/>
      <c r="P58" s="458"/>
      <c r="Q58" s="458"/>
      <c r="R58" s="458"/>
      <c r="S58" s="458"/>
      <c r="T58" s="458"/>
      <c r="U58" s="458"/>
      <c r="V58" s="458"/>
      <c r="W58" s="458"/>
      <c r="X58" s="458"/>
    </row>
    <row r="59" spans="1:24" ht="14.25">
      <c r="A59" s="437"/>
      <c r="B59" s="440" t="s">
        <v>266</v>
      </c>
      <c r="L59" s="437"/>
      <c r="M59" s="458"/>
      <c r="N59" s="458"/>
      <c r="O59" s="458"/>
      <c r="P59" s="458"/>
      <c r="Q59" s="458"/>
      <c r="R59" s="458"/>
      <c r="S59" s="458"/>
      <c r="T59" s="458"/>
      <c r="U59" s="458"/>
      <c r="V59" s="458"/>
      <c r="W59" s="458"/>
      <c r="X59" s="458"/>
    </row>
    <row r="60" spans="1:24" ht="14.25">
      <c r="A60" s="437"/>
      <c r="L60" s="437"/>
      <c r="M60" s="458"/>
      <c r="N60" s="458"/>
      <c r="O60" s="458"/>
      <c r="P60" s="458"/>
      <c r="Q60" s="458"/>
      <c r="R60" s="458"/>
      <c r="S60" s="458"/>
      <c r="T60" s="458"/>
      <c r="U60" s="458"/>
      <c r="V60" s="458"/>
      <c r="W60" s="458"/>
      <c r="X60" s="458"/>
    </row>
    <row r="61" spans="1:24" ht="14.25">
      <c r="A61" s="437"/>
      <c r="B61" s="438" t="s">
        <v>1071</v>
      </c>
      <c r="L61" s="437"/>
      <c r="M61" s="458"/>
      <c r="N61" s="458"/>
      <c r="O61" s="458"/>
      <c r="P61" s="458"/>
      <c r="Q61" s="458"/>
      <c r="R61" s="458"/>
      <c r="S61" s="458"/>
      <c r="T61" s="458"/>
      <c r="U61" s="458"/>
      <c r="V61" s="458"/>
      <c r="W61" s="458"/>
      <c r="X61" s="458"/>
    </row>
    <row r="62" spans="1:24" ht="14.25">
      <c r="A62" s="437"/>
      <c r="B62" s="438" t="s">
        <v>411</v>
      </c>
      <c r="L62" s="437"/>
      <c r="M62" s="458"/>
      <c r="N62" s="458"/>
      <c r="O62" s="458"/>
      <c r="P62" s="458"/>
      <c r="Q62" s="458"/>
      <c r="R62" s="458"/>
      <c r="S62" s="458"/>
      <c r="T62" s="458"/>
      <c r="U62" s="458"/>
      <c r="V62" s="458"/>
      <c r="W62" s="458"/>
      <c r="X62" s="458"/>
    </row>
    <row r="63" spans="1:24" ht="14.25">
      <c r="A63" s="437"/>
      <c r="B63" s="438" t="s">
        <v>412</v>
      </c>
      <c r="L63" s="437"/>
      <c r="M63" s="458"/>
      <c r="N63" s="458"/>
      <c r="O63" s="458"/>
      <c r="P63" s="458"/>
      <c r="Q63" s="458"/>
      <c r="R63" s="458"/>
      <c r="S63" s="458"/>
      <c r="T63" s="458"/>
      <c r="U63" s="458"/>
      <c r="V63" s="458"/>
      <c r="W63" s="458"/>
      <c r="X63" s="458"/>
    </row>
    <row r="64" spans="1:24" ht="14.25">
      <c r="A64" s="437"/>
      <c r="L64" s="437"/>
      <c r="M64" s="458"/>
      <c r="N64" s="458"/>
      <c r="O64" s="458"/>
      <c r="P64" s="458"/>
      <c r="Q64" s="458"/>
      <c r="R64" s="458"/>
      <c r="S64" s="458"/>
      <c r="T64" s="458"/>
      <c r="U64" s="458"/>
      <c r="V64" s="458"/>
      <c r="W64" s="458"/>
      <c r="X64" s="458"/>
    </row>
    <row r="65" spans="1:24" ht="14.25">
      <c r="A65" s="437"/>
      <c r="B65" s="438" t="s">
        <v>1072</v>
      </c>
      <c r="L65" s="437"/>
      <c r="M65" s="458"/>
      <c r="N65" s="458"/>
      <c r="O65" s="458"/>
      <c r="P65" s="458"/>
      <c r="Q65" s="458"/>
      <c r="R65" s="458"/>
      <c r="S65" s="458"/>
      <c r="T65" s="458"/>
      <c r="U65" s="458"/>
      <c r="V65" s="458"/>
      <c r="W65" s="458"/>
      <c r="X65" s="458"/>
    </row>
    <row r="66" spans="1:24" ht="14.25">
      <c r="A66" s="437"/>
      <c r="B66" s="438" t="s">
        <v>1073</v>
      </c>
      <c r="L66" s="437"/>
      <c r="M66" s="458"/>
      <c r="N66" s="458"/>
      <c r="O66" s="458"/>
      <c r="P66" s="458"/>
      <c r="Q66" s="458"/>
      <c r="R66" s="458"/>
      <c r="S66" s="458"/>
      <c r="T66" s="458"/>
      <c r="U66" s="458"/>
      <c r="V66" s="458"/>
      <c r="W66" s="458"/>
      <c r="X66" s="458"/>
    </row>
    <row r="67" spans="1:24" ht="14.25">
      <c r="A67" s="437"/>
      <c r="L67" s="437"/>
      <c r="M67" s="458"/>
      <c r="N67" s="458"/>
      <c r="O67" s="458"/>
      <c r="P67" s="458"/>
      <c r="Q67" s="458"/>
      <c r="R67" s="458"/>
      <c r="S67" s="458"/>
      <c r="T67" s="458"/>
      <c r="U67" s="458"/>
      <c r="V67" s="458"/>
      <c r="W67" s="458"/>
      <c r="X67" s="458"/>
    </row>
    <row r="68" spans="1:24" ht="14.25">
      <c r="A68" s="437"/>
      <c r="B68" s="438" t="s">
        <v>1074</v>
      </c>
      <c r="L68" s="437"/>
      <c r="M68" s="459"/>
      <c r="N68" s="460"/>
      <c r="O68" s="460"/>
      <c r="P68" s="460"/>
      <c r="Q68" s="460"/>
      <c r="R68" s="460"/>
      <c r="S68" s="460"/>
      <c r="T68" s="460"/>
      <c r="U68" s="460"/>
      <c r="V68" s="460"/>
      <c r="W68" s="460"/>
      <c r="X68" s="458"/>
    </row>
    <row r="69" spans="1:24" ht="14.25">
      <c r="A69" s="437"/>
      <c r="B69" s="438" t="s">
        <v>413</v>
      </c>
      <c r="L69" s="437"/>
      <c r="M69" s="458"/>
      <c r="N69" s="458"/>
      <c r="O69" s="458"/>
      <c r="P69" s="458"/>
      <c r="Q69" s="458"/>
      <c r="R69" s="458"/>
      <c r="S69" s="458"/>
      <c r="T69" s="458"/>
      <c r="U69" s="458"/>
      <c r="V69" s="458"/>
      <c r="W69" s="458"/>
      <c r="X69" s="458"/>
    </row>
    <row r="70" spans="1:24" ht="14.25">
      <c r="A70" s="437"/>
      <c r="B70" s="438" t="s">
        <v>414</v>
      </c>
      <c r="L70" s="437"/>
      <c r="M70" s="458"/>
      <c r="N70" s="458"/>
      <c r="O70" s="458"/>
      <c r="P70" s="458"/>
      <c r="Q70" s="458"/>
      <c r="R70" s="458"/>
      <c r="S70" s="458"/>
      <c r="T70" s="458"/>
      <c r="U70" s="458"/>
      <c r="V70" s="458"/>
      <c r="W70" s="458"/>
      <c r="X70" s="458"/>
    </row>
    <row r="71" spans="1:12" ht="15" thickBot="1">
      <c r="A71" s="437"/>
      <c r="B71" s="446"/>
      <c r="C71" s="446"/>
      <c r="D71" s="446"/>
      <c r="E71" s="446"/>
      <c r="F71" s="446"/>
      <c r="G71" s="446"/>
      <c r="H71" s="446"/>
      <c r="I71" s="446"/>
      <c r="J71" s="446"/>
      <c r="K71" s="446"/>
      <c r="L71" s="437"/>
    </row>
    <row r="72" spans="1:12" ht="14.25">
      <c r="A72" s="437"/>
      <c r="B72" s="442" t="s">
        <v>255</v>
      </c>
      <c r="C72" s="443"/>
      <c r="D72" s="443"/>
      <c r="E72" s="443"/>
      <c r="F72" s="443"/>
      <c r="G72" s="443"/>
      <c r="H72" s="443"/>
      <c r="I72" s="443"/>
      <c r="J72" s="443"/>
      <c r="K72" s="444"/>
      <c r="L72" s="461"/>
    </row>
    <row r="73" spans="1:12" ht="14.25">
      <c r="A73" s="437"/>
      <c r="B73" s="454"/>
      <c r="C73" s="446" t="s">
        <v>261</v>
      </c>
      <c r="D73" s="446"/>
      <c r="E73" s="446"/>
      <c r="F73" s="446"/>
      <c r="G73" s="446"/>
      <c r="H73" s="446"/>
      <c r="I73" s="446"/>
      <c r="J73" s="446"/>
      <c r="K73" s="448"/>
      <c r="L73" s="461"/>
    </row>
    <row r="74" spans="1:12" ht="14.25">
      <c r="A74" s="437"/>
      <c r="B74" s="454" t="s">
        <v>1075</v>
      </c>
      <c r="C74" s="830">
        <v>312000000</v>
      </c>
      <c r="D74" s="830"/>
      <c r="E74" s="597" t="s">
        <v>260</v>
      </c>
      <c r="F74" s="597">
        <v>1000</v>
      </c>
      <c r="G74" s="597" t="s">
        <v>259</v>
      </c>
      <c r="H74" s="594">
        <f>C74/F74</f>
        <v>312000</v>
      </c>
      <c r="I74" s="446" t="s">
        <v>1076</v>
      </c>
      <c r="J74" s="446"/>
      <c r="K74" s="448"/>
      <c r="L74" s="461"/>
    </row>
    <row r="75" spans="1:12" ht="14.25">
      <c r="A75" s="437"/>
      <c r="B75" s="454"/>
      <c r="C75" s="446"/>
      <c r="D75" s="446"/>
      <c r="E75" s="597"/>
      <c r="F75" s="446"/>
      <c r="G75" s="446"/>
      <c r="H75" s="446"/>
      <c r="I75" s="446"/>
      <c r="J75" s="446"/>
      <c r="K75" s="448"/>
      <c r="L75" s="461"/>
    </row>
    <row r="76" spans="1:12" ht="14.25">
      <c r="A76" s="437"/>
      <c r="B76" s="454"/>
      <c r="C76" s="446" t="s">
        <v>1077</v>
      </c>
      <c r="D76" s="446"/>
      <c r="E76" s="597"/>
      <c r="F76" s="446" t="s">
        <v>1076</v>
      </c>
      <c r="G76" s="446"/>
      <c r="H76" s="446"/>
      <c r="I76" s="446"/>
      <c r="J76" s="446"/>
      <c r="K76" s="448"/>
      <c r="L76" s="461"/>
    </row>
    <row r="77" spans="1:12" ht="14.25">
      <c r="A77" s="437"/>
      <c r="B77" s="454" t="s">
        <v>1080</v>
      </c>
      <c r="C77" s="830">
        <v>50000</v>
      </c>
      <c r="D77" s="830"/>
      <c r="E77" s="597" t="s">
        <v>260</v>
      </c>
      <c r="F77" s="594">
        <f>H74</f>
        <v>312000</v>
      </c>
      <c r="G77" s="597" t="s">
        <v>259</v>
      </c>
      <c r="H77" s="456">
        <f>C77/F77</f>
        <v>0.16025641025641027</v>
      </c>
      <c r="I77" s="446" t="s">
        <v>1078</v>
      </c>
      <c r="J77" s="446"/>
      <c r="K77" s="448"/>
      <c r="L77" s="461"/>
    </row>
    <row r="78" spans="1:12" ht="14.25">
      <c r="A78" s="437"/>
      <c r="B78" s="454"/>
      <c r="C78" s="446"/>
      <c r="D78" s="446"/>
      <c r="E78" s="597"/>
      <c r="F78" s="446"/>
      <c r="G78" s="446"/>
      <c r="H78" s="446"/>
      <c r="I78" s="446"/>
      <c r="J78" s="446"/>
      <c r="K78" s="448"/>
      <c r="L78" s="461"/>
    </row>
    <row r="79" spans="1:12" ht="14.25">
      <c r="A79" s="437"/>
      <c r="B79" s="462"/>
      <c r="C79" s="463" t="s">
        <v>1079</v>
      </c>
      <c r="D79" s="463"/>
      <c r="E79" s="603"/>
      <c r="F79" s="463"/>
      <c r="G79" s="463"/>
      <c r="H79" s="463"/>
      <c r="I79" s="463"/>
      <c r="J79" s="463"/>
      <c r="K79" s="464"/>
      <c r="L79" s="461"/>
    </row>
    <row r="80" spans="1:12" ht="14.25">
      <c r="A80" s="437"/>
      <c r="B80" s="454" t="s">
        <v>364</v>
      </c>
      <c r="C80" s="830">
        <v>100000</v>
      </c>
      <c r="D80" s="830"/>
      <c r="E80" s="597" t="s">
        <v>598</v>
      </c>
      <c r="F80" s="597">
        <v>0.115</v>
      </c>
      <c r="G80" s="597" t="s">
        <v>259</v>
      </c>
      <c r="H80" s="594">
        <f>C80*F80</f>
        <v>11500</v>
      </c>
      <c r="I80" s="446" t="s">
        <v>1081</v>
      </c>
      <c r="J80" s="446"/>
      <c r="K80" s="448"/>
      <c r="L80" s="461"/>
    </row>
    <row r="81" spans="1:12" ht="14.25">
      <c r="A81" s="437"/>
      <c r="B81" s="454"/>
      <c r="C81" s="446"/>
      <c r="D81" s="446"/>
      <c r="E81" s="597"/>
      <c r="F81" s="446"/>
      <c r="G81" s="446"/>
      <c r="H81" s="446"/>
      <c r="I81" s="446"/>
      <c r="J81" s="446"/>
      <c r="K81" s="448"/>
      <c r="L81" s="461"/>
    </row>
    <row r="82" spans="1:12" ht="14.25">
      <c r="A82" s="437"/>
      <c r="B82" s="462"/>
      <c r="C82" s="463" t="s">
        <v>1082</v>
      </c>
      <c r="D82" s="463"/>
      <c r="E82" s="603"/>
      <c r="F82" s="463" t="s">
        <v>1078</v>
      </c>
      <c r="G82" s="463"/>
      <c r="H82" s="463"/>
      <c r="I82" s="463"/>
      <c r="J82" s="463" t="s">
        <v>1083</v>
      </c>
      <c r="K82" s="464"/>
      <c r="L82" s="461"/>
    </row>
    <row r="83" spans="1:12" ht="14.25">
      <c r="A83" s="437"/>
      <c r="B83" s="454" t="s">
        <v>365</v>
      </c>
      <c r="C83" s="831">
        <f>H80</f>
        <v>11500</v>
      </c>
      <c r="D83" s="831"/>
      <c r="E83" s="597" t="s">
        <v>598</v>
      </c>
      <c r="F83" s="456">
        <f>H77</f>
        <v>0.16025641025641027</v>
      </c>
      <c r="G83" s="597" t="s">
        <v>260</v>
      </c>
      <c r="H83" s="597">
        <v>1000</v>
      </c>
      <c r="I83" s="597" t="s">
        <v>259</v>
      </c>
      <c r="J83" s="595">
        <f>C83*F83/H83</f>
        <v>1.842948717948718</v>
      </c>
      <c r="K83" s="448"/>
      <c r="L83" s="461"/>
    </row>
    <row r="84" spans="1:12" ht="15" thickBot="1">
      <c r="A84" s="437"/>
      <c r="B84" s="449"/>
      <c r="C84" s="465"/>
      <c r="D84" s="465"/>
      <c r="E84" s="466"/>
      <c r="F84" s="467"/>
      <c r="G84" s="466"/>
      <c r="H84" s="466"/>
      <c r="I84" s="466"/>
      <c r="J84" s="468"/>
      <c r="K84" s="451"/>
      <c r="L84" s="461"/>
    </row>
    <row r="85" spans="1:12" ht="40.5" customHeight="1">
      <c r="A85" s="437"/>
      <c r="B85" s="838" t="s">
        <v>251</v>
      </c>
      <c r="C85" s="838"/>
      <c r="D85" s="838"/>
      <c r="E85" s="838"/>
      <c r="F85" s="838"/>
      <c r="G85" s="838"/>
      <c r="H85" s="838"/>
      <c r="I85" s="838"/>
      <c r="J85" s="838"/>
      <c r="K85" s="838"/>
      <c r="L85" s="437"/>
    </row>
    <row r="86" spans="1:12" ht="14.25">
      <c r="A86" s="437"/>
      <c r="B86" s="832" t="s">
        <v>1084</v>
      </c>
      <c r="C86" s="832"/>
      <c r="D86" s="832"/>
      <c r="E86" s="832"/>
      <c r="F86" s="832"/>
      <c r="G86" s="832"/>
      <c r="H86" s="832"/>
      <c r="I86" s="832"/>
      <c r="J86" s="832"/>
      <c r="K86" s="832"/>
      <c r="L86" s="437"/>
    </row>
    <row r="87" spans="1:12" ht="14.25">
      <c r="A87" s="437"/>
      <c r="B87" s="469"/>
      <c r="C87" s="469"/>
      <c r="D87" s="469"/>
      <c r="E87" s="469"/>
      <c r="F87" s="469"/>
      <c r="G87" s="469"/>
      <c r="H87" s="469"/>
      <c r="I87" s="469"/>
      <c r="J87" s="469"/>
      <c r="K87" s="469"/>
      <c r="L87" s="437"/>
    </row>
    <row r="88" spans="1:12" ht="14.25">
      <c r="A88" s="437"/>
      <c r="B88" s="832" t="s">
        <v>1085</v>
      </c>
      <c r="C88" s="832"/>
      <c r="D88" s="832"/>
      <c r="E88" s="832"/>
      <c r="F88" s="832"/>
      <c r="G88" s="832"/>
      <c r="H88" s="832"/>
      <c r="I88" s="832"/>
      <c r="J88" s="832"/>
      <c r="K88" s="832"/>
      <c r="L88" s="437"/>
    </row>
    <row r="89" spans="1:12" ht="14.25">
      <c r="A89" s="437"/>
      <c r="B89" s="596"/>
      <c r="C89" s="596"/>
      <c r="D89" s="596"/>
      <c r="E89" s="596"/>
      <c r="F89" s="596"/>
      <c r="G89" s="596"/>
      <c r="H89" s="596"/>
      <c r="I89" s="596"/>
      <c r="J89" s="596"/>
      <c r="K89" s="596"/>
      <c r="L89" s="437"/>
    </row>
    <row r="90" spans="1:12" ht="45" customHeight="1">
      <c r="A90" s="437"/>
      <c r="B90" s="834" t="s">
        <v>1086</v>
      </c>
      <c r="C90" s="834"/>
      <c r="D90" s="834"/>
      <c r="E90" s="834"/>
      <c r="F90" s="834"/>
      <c r="G90" s="834"/>
      <c r="H90" s="834"/>
      <c r="I90" s="834"/>
      <c r="J90" s="834"/>
      <c r="K90" s="834"/>
      <c r="L90" s="437"/>
    </row>
    <row r="91" spans="1:12" ht="15" customHeight="1" thickBot="1">
      <c r="A91" s="437"/>
      <c r="L91" s="437"/>
    </row>
    <row r="92" spans="1:12" ht="15" customHeight="1">
      <c r="A92" s="437"/>
      <c r="B92" s="470" t="s">
        <v>255</v>
      </c>
      <c r="C92" s="471"/>
      <c r="D92" s="471"/>
      <c r="E92" s="471"/>
      <c r="F92" s="471"/>
      <c r="G92" s="471"/>
      <c r="H92" s="471"/>
      <c r="I92" s="471"/>
      <c r="J92" s="471"/>
      <c r="K92" s="472"/>
      <c r="L92" s="437"/>
    </row>
    <row r="93" spans="1:12" ht="15" customHeight="1">
      <c r="A93" s="437"/>
      <c r="B93" s="473"/>
      <c r="C93" s="601" t="s">
        <v>261</v>
      </c>
      <c r="D93" s="601"/>
      <c r="E93" s="601"/>
      <c r="F93" s="601"/>
      <c r="G93" s="601"/>
      <c r="H93" s="601"/>
      <c r="I93" s="601"/>
      <c r="J93" s="601"/>
      <c r="K93" s="474"/>
      <c r="L93" s="437"/>
    </row>
    <row r="94" spans="1:12" ht="15" customHeight="1">
      <c r="A94" s="437"/>
      <c r="B94" s="473" t="s">
        <v>1075</v>
      </c>
      <c r="C94" s="830">
        <v>312000000</v>
      </c>
      <c r="D94" s="830"/>
      <c r="E94" s="597" t="s">
        <v>260</v>
      </c>
      <c r="F94" s="597">
        <v>1000</v>
      </c>
      <c r="G94" s="597" t="s">
        <v>259</v>
      </c>
      <c r="H94" s="594">
        <f>C94/F94</f>
        <v>312000</v>
      </c>
      <c r="I94" s="601" t="s">
        <v>1076</v>
      </c>
      <c r="J94" s="601"/>
      <c r="K94" s="474"/>
      <c r="L94" s="437"/>
    </row>
    <row r="95" spans="1:12" ht="15" customHeight="1">
      <c r="A95" s="437"/>
      <c r="B95" s="473"/>
      <c r="C95" s="601"/>
      <c r="D95" s="601"/>
      <c r="E95" s="597"/>
      <c r="F95" s="601"/>
      <c r="G95" s="601"/>
      <c r="H95" s="601"/>
      <c r="I95" s="601"/>
      <c r="J95" s="601"/>
      <c r="K95" s="474"/>
      <c r="L95" s="437"/>
    </row>
    <row r="96" spans="1:12" ht="15" customHeight="1">
      <c r="A96" s="437"/>
      <c r="B96" s="473"/>
      <c r="C96" s="601" t="s">
        <v>1077</v>
      </c>
      <c r="D96" s="601"/>
      <c r="E96" s="597"/>
      <c r="F96" s="601" t="s">
        <v>1076</v>
      </c>
      <c r="G96" s="601"/>
      <c r="H96" s="601"/>
      <c r="I96" s="601"/>
      <c r="J96" s="601"/>
      <c r="K96" s="474"/>
      <c r="L96" s="437"/>
    </row>
    <row r="97" spans="1:12" ht="15" customHeight="1">
      <c r="A97" s="437"/>
      <c r="B97" s="473" t="s">
        <v>1080</v>
      </c>
      <c r="C97" s="830">
        <v>50000</v>
      </c>
      <c r="D97" s="830"/>
      <c r="E97" s="597" t="s">
        <v>260</v>
      </c>
      <c r="F97" s="594">
        <f>H94</f>
        <v>312000</v>
      </c>
      <c r="G97" s="597" t="s">
        <v>259</v>
      </c>
      <c r="H97" s="456">
        <f>C97/F97</f>
        <v>0.16025641025641027</v>
      </c>
      <c r="I97" s="601" t="s">
        <v>1078</v>
      </c>
      <c r="J97" s="601"/>
      <c r="K97" s="474"/>
      <c r="L97" s="437"/>
    </row>
    <row r="98" spans="1:12" ht="15" customHeight="1">
      <c r="A98" s="437"/>
      <c r="B98" s="473"/>
      <c r="C98" s="601"/>
      <c r="D98" s="601"/>
      <c r="E98" s="597"/>
      <c r="F98" s="601"/>
      <c r="G98" s="601"/>
      <c r="H98" s="601"/>
      <c r="I98" s="601"/>
      <c r="J98" s="601"/>
      <c r="K98" s="474"/>
      <c r="L98" s="437"/>
    </row>
    <row r="99" spans="1:12" ht="15" customHeight="1">
      <c r="A99" s="437"/>
      <c r="B99" s="475"/>
      <c r="C99" s="476" t="s">
        <v>1087</v>
      </c>
      <c r="D99" s="476"/>
      <c r="E99" s="603"/>
      <c r="F99" s="476"/>
      <c r="G99" s="476"/>
      <c r="H99" s="476"/>
      <c r="I99" s="476"/>
      <c r="J99" s="476"/>
      <c r="K99" s="477"/>
      <c r="L99" s="437"/>
    </row>
    <row r="100" spans="1:12" ht="15" customHeight="1">
      <c r="A100" s="437"/>
      <c r="B100" s="473" t="s">
        <v>364</v>
      </c>
      <c r="C100" s="830">
        <v>2500000</v>
      </c>
      <c r="D100" s="830"/>
      <c r="E100" s="597" t="s">
        <v>598</v>
      </c>
      <c r="F100" s="478">
        <v>0.3</v>
      </c>
      <c r="G100" s="597" t="s">
        <v>259</v>
      </c>
      <c r="H100" s="594">
        <f>C100*F100</f>
        <v>750000</v>
      </c>
      <c r="I100" s="601" t="s">
        <v>1081</v>
      </c>
      <c r="J100" s="601"/>
      <c r="K100" s="474"/>
      <c r="L100" s="437"/>
    </row>
    <row r="101" spans="1:12" ht="15" customHeight="1">
      <c r="A101" s="437"/>
      <c r="B101" s="473"/>
      <c r="C101" s="601"/>
      <c r="D101" s="601"/>
      <c r="E101" s="597"/>
      <c r="F101" s="601"/>
      <c r="G101" s="601"/>
      <c r="H101" s="601"/>
      <c r="I101" s="601"/>
      <c r="J101" s="601"/>
      <c r="K101" s="474"/>
      <c r="L101" s="437"/>
    </row>
    <row r="102" spans="1:12" ht="15" customHeight="1">
      <c r="A102" s="437"/>
      <c r="B102" s="475"/>
      <c r="C102" s="476" t="s">
        <v>1082</v>
      </c>
      <c r="D102" s="476"/>
      <c r="E102" s="603"/>
      <c r="F102" s="476" t="s">
        <v>1078</v>
      </c>
      <c r="G102" s="476"/>
      <c r="H102" s="476"/>
      <c r="I102" s="476"/>
      <c r="J102" s="476" t="s">
        <v>1083</v>
      </c>
      <c r="K102" s="477"/>
      <c r="L102" s="437"/>
    </row>
    <row r="103" spans="1:12" ht="15" customHeight="1">
      <c r="A103" s="437"/>
      <c r="B103" s="473" t="s">
        <v>365</v>
      </c>
      <c r="C103" s="831">
        <f>H100</f>
        <v>750000</v>
      </c>
      <c r="D103" s="831"/>
      <c r="E103" s="597" t="s">
        <v>598</v>
      </c>
      <c r="F103" s="456">
        <f>H97</f>
        <v>0.16025641025641027</v>
      </c>
      <c r="G103" s="597" t="s">
        <v>260</v>
      </c>
      <c r="H103" s="597">
        <v>1000</v>
      </c>
      <c r="I103" s="597" t="s">
        <v>259</v>
      </c>
      <c r="J103" s="595">
        <f>C103*F103/H103</f>
        <v>120.19230769230771</v>
      </c>
      <c r="K103" s="474"/>
      <c r="L103" s="437"/>
    </row>
    <row r="104" spans="1:12" ht="15" customHeight="1" thickBot="1">
      <c r="A104" s="437"/>
      <c r="B104" s="479"/>
      <c r="C104" s="465"/>
      <c r="D104" s="465"/>
      <c r="E104" s="466"/>
      <c r="F104" s="467"/>
      <c r="G104" s="466"/>
      <c r="H104" s="466"/>
      <c r="I104" s="466"/>
      <c r="J104" s="468"/>
      <c r="K104" s="602"/>
      <c r="L104" s="437"/>
    </row>
    <row r="105" spans="1:12" ht="40.5" customHeight="1">
      <c r="A105" s="437"/>
      <c r="B105" s="838" t="s">
        <v>251</v>
      </c>
      <c r="C105" s="852"/>
      <c r="D105" s="852"/>
      <c r="E105" s="852"/>
      <c r="F105" s="852"/>
      <c r="G105" s="852"/>
      <c r="H105" s="852"/>
      <c r="I105" s="852"/>
      <c r="J105" s="852"/>
      <c r="K105" s="852"/>
      <c r="L105" s="437"/>
    </row>
    <row r="106" spans="1:12" ht="15" customHeight="1">
      <c r="A106" s="437"/>
      <c r="B106" s="844" t="s">
        <v>1088</v>
      </c>
      <c r="C106" s="840"/>
      <c r="D106" s="840"/>
      <c r="E106" s="840"/>
      <c r="F106" s="840"/>
      <c r="G106" s="840"/>
      <c r="H106" s="840"/>
      <c r="I106" s="840"/>
      <c r="J106" s="840"/>
      <c r="K106" s="840"/>
      <c r="L106" s="437"/>
    </row>
    <row r="107" spans="1:12" ht="15" customHeight="1">
      <c r="A107" s="437"/>
      <c r="B107" s="601"/>
      <c r="C107" s="480"/>
      <c r="D107" s="480"/>
      <c r="E107" s="597"/>
      <c r="F107" s="456"/>
      <c r="G107" s="597"/>
      <c r="H107" s="597"/>
      <c r="I107" s="597"/>
      <c r="J107" s="595"/>
      <c r="K107" s="601"/>
      <c r="L107" s="437"/>
    </row>
    <row r="108" spans="1:12" ht="15" customHeight="1">
      <c r="A108" s="437"/>
      <c r="B108" s="844" t="s">
        <v>1089</v>
      </c>
      <c r="C108" s="845"/>
      <c r="D108" s="845"/>
      <c r="E108" s="845"/>
      <c r="F108" s="845"/>
      <c r="G108" s="845"/>
      <c r="H108" s="845"/>
      <c r="I108" s="845"/>
      <c r="J108" s="845"/>
      <c r="K108" s="845"/>
      <c r="L108" s="437"/>
    </row>
    <row r="109" spans="1:12" ht="15" customHeight="1">
      <c r="A109" s="437"/>
      <c r="B109" s="601"/>
      <c r="C109" s="480"/>
      <c r="D109" s="480"/>
      <c r="E109" s="597"/>
      <c r="F109" s="456"/>
      <c r="G109" s="597"/>
      <c r="H109" s="597"/>
      <c r="I109" s="597"/>
      <c r="J109" s="595"/>
      <c r="K109" s="601"/>
      <c r="L109" s="437"/>
    </row>
    <row r="110" spans="1:12" ht="59.25" customHeight="1">
      <c r="A110" s="437"/>
      <c r="B110" s="835" t="s">
        <v>1090</v>
      </c>
      <c r="C110" s="836"/>
      <c r="D110" s="836"/>
      <c r="E110" s="836"/>
      <c r="F110" s="836"/>
      <c r="G110" s="836"/>
      <c r="H110" s="836"/>
      <c r="I110" s="836"/>
      <c r="J110" s="836"/>
      <c r="K110" s="836"/>
      <c r="L110" s="437"/>
    </row>
    <row r="111" spans="1:12" ht="15" thickBot="1">
      <c r="A111" s="437"/>
      <c r="B111" s="599"/>
      <c r="C111" s="599"/>
      <c r="D111" s="599"/>
      <c r="E111" s="599"/>
      <c r="F111" s="599"/>
      <c r="G111" s="599"/>
      <c r="H111" s="599"/>
      <c r="I111" s="599"/>
      <c r="J111" s="599"/>
      <c r="K111" s="599"/>
      <c r="L111" s="481"/>
    </row>
    <row r="112" spans="1:12" ht="14.25">
      <c r="A112" s="437"/>
      <c r="B112" s="442" t="s">
        <v>255</v>
      </c>
      <c r="C112" s="443"/>
      <c r="D112" s="443"/>
      <c r="E112" s="443"/>
      <c r="F112" s="443"/>
      <c r="G112" s="443"/>
      <c r="H112" s="443"/>
      <c r="I112" s="443"/>
      <c r="J112" s="443"/>
      <c r="K112" s="444"/>
      <c r="L112" s="437"/>
    </row>
    <row r="113" spans="1:12" ht="14.25">
      <c r="A113" s="437"/>
      <c r="B113" s="454"/>
      <c r="C113" s="446" t="s">
        <v>261</v>
      </c>
      <c r="D113" s="446"/>
      <c r="E113" s="446"/>
      <c r="F113" s="446"/>
      <c r="G113" s="446"/>
      <c r="H113" s="446"/>
      <c r="I113" s="446"/>
      <c r="J113" s="446"/>
      <c r="K113" s="448"/>
      <c r="L113" s="437"/>
    </row>
    <row r="114" spans="1:12" ht="14.25">
      <c r="A114" s="437"/>
      <c r="B114" s="454" t="s">
        <v>1075</v>
      </c>
      <c r="C114" s="830">
        <v>312000000</v>
      </c>
      <c r="D114" s="830"/>
      <c r="E114" s="597" t="s">
        <v>260</v>
      </c>
      <c r="F114" s="597">
        <v>1000</v>
      </c>
      <c r="G114" s="597" t="s">
        <v>259</v>
      </c>
      <c r="H114" s="594">
        <f>C114/F114</f>
        <v>312000</v>
      </c>
      <c r="I114" s="446" t="s">
        <v>1076</v>
      </c>
      <c r="J114" s="446"/>
      <c r="K114" s="448"/>
      <c r="L114" s="437"/>
    </row>
    <row r="115" spans="1:12" ht="14.25">
      <c r="A115" s="437"/>
      <c r="B115" s="454"/>
      <c r="C115" s="446"/>
      <c r="D115" s="446"/>
      <c r="E115" s="597"/>
      <c r="F115" s="446"/>
      <c r="G115" s="446"/>
      <c r="H115" s="446"/>
      <c r="I115" s="446"/>
      <c r="J115" s="446"/>
      <c r="K115" s="448"/>
      <c r="L115" s="437"/>
    </row>
    <row r="116" spans="1:12" ht="14.25">
      <c r="A116" s="437"/>
      <c r="B116" s="454"/>
      <c r="C116" s="446" t="s">
        <v>1077</v>
      </c>
      <c r="D116" s="446"/>
      <c r="E116" s="597"/>
      <c r="F116" s="446" t="s">
        <v>1076</v>
      </c>
      <c r="G116" s="446"/>
      <c r="H116" s="446"/>
      <c r="I116" s="446"/>
      <c r="J116" s="446"/>
      <c r="K116" s="448"/>
      <c r="L116" s="437"/>
    </row>
    <row r="117" spans="1:12" ht="14.25">
      <c r="A117" s="437"/>
      <c r="B117" s="454" t="s">
        <v>1080</v>
      </c>
      <c r="C117" s="830">
        <v>50000</v>
      </c>
      <c r="D117" s="830"/>
      <c r="E117" s="597" t="s">
        <v>260</v>
      </c>
      <c r="F117" s="594">
        <f>H114</f>
        <v>312000</v>
      </c>
      <c r="G117" s="597" t="s">
        <v>259</v>
      </c>
      <c r="H117" s="456">
        <f>C117/F117</f>
        <v>0.16025641025641027</v>
      </c>
      <c r="I117" s="446" t="s">
        <v>1078</v>
      </c>
      <c r="J117" s="446"/>
      <c r="K117" s="448"/>
      <c r="L117" s="437"/>
    </row>
    <row r="118" spans="1:12" ht="14.25">
      <c r="A118" s="437"/>
      <c r="B118" s="454"/>
      <c r="C118" s="446"/>
      <c r="D118" s="446"/>
      <c r="E118" s="597"/>
      <c r="F118" s="446"/>
      <c r="G118" s="446"/>
      <c r="H118" s="446"/>
      <c r="I118" s="446"/>
      <c r="J118" s="446"/>
      <c r="K118" s="448"/>
      <c r="L118" s="437"/>
    </row>
    <row r="119" spans="1:12" ht="14.25">
      <c r="A119" s="437"/>
      <c r="B119" s="462"/>
      <c r="C119" s="463" t="s">
        <v>1087</v>
      </c>
      <c r="D119" s="463"/>
      <c r="E119" s="603"/>
      <c r="F119" s="463"/>
      <c r="G119" s="463"/>
      <c r="H119" s="463"/>
      <c r="I119" s="463"/>
      <c r="J119" s="463"/>
      <c r="K119" s="464"/>
      <c r="L119" s="437"/>
    </row>
    <row r="120" spans="1:12" ht="14.25">
      <c r="A120" s="437"/>
      <c r="B120" s="454" t="s">
        <v>364</v>
      </c>
      <c r="C120" s="830">
        <v>2500000</v>
      </c>
      <c r="D120" s="830"/>
      <c r="E120" s="597" t="s">
        <v>598</v>
      </c>
      <c r="F120" s="478">
        <v>0.25</v>
      </c>
      <c r="G120" s="597" t="s">
        <v>259</v>
      </c>
      <c r="H120" s="594">
        <f>C120*F120</f>
        <v>625000</v>
      </c>
      <c r="I120" s="446" t="s">
        <v>1081</v>
      </c>
      <c r="J120" s="446"/>
      <c r="K120" s="448"/>
      <c r="L120" s="437"/>
    </row>
    <row r="121" spans="1:12" ht="14.25">
      <c r="A121" s="437"/>
      <c r="B121" s="454"/>
      <c r="C121" s="446"/>
      <c r="D121" s="446"/>
      <c r="E121" s="597"/>
      <c r="F121" s="446"/>
      <c r="G121" s="446"/>
      <c r="H121" s="446"/>
      <c r="I121" s="446"/>
      <c r="J121" s="446"/>
      <c r="K121" s="448"/>
      <c r="L121" s="437"/>
    </row>
    <row r="122" spans="1:12" ht="14.25">
      <c r="A122" s="437"/>
      <c r="B122" s="462"/>
      <c r="C122" s="463" t="s">
        <v>1082</v>
      </c>
      <c r="D122" s="463"/>
      <c r="E122" s="603"/>
      <c r="F122" s="463" t="s">
        <v>1078</v>
      </c>
      <c r="G122" s="463"/>
      <c r="H122" s="463"/>
      <c r="I122" s="463"/>
      <c r="J122" s="463" t="s">
        <v>1083</v>
      </c>
      <c r="K122" s="464"/>
      <c r="L122" s="437"/>
    </row>
    <row r="123" spans="1:12" ht="14.25">
      <c r="A123" s="437"/>
      <c r="B123" s="454" t="s">
        <v>365</v>
      </c>
      <c r="C123" s="831">
        <f>H120</f>
        <v>625000</v>
      </c>
      <c r="D123" s="831"/>
      <c r="E123" s="597" t="s">
        <v>598</v>
      </c>
      <c r="F123" s="456">
        <f>H117</f>
        <v>0.16025641025641027</v>
      </c>
      <c r="G123" s="597" t="s">
        <v>260</v>
      </c>
      <c r="H123" s="597">
        <v>1000</v>
      </c>
      <c r="I123" s="597" t="s">
        <v>259</v>
      </c>
      <c r="J123" s="595">
        <f>C123*F123/H123</f>
        <v>100.16025641025642</v>
      </c>
      <c r="K123" s="448"/>
      <c r="L123" s="437"/>
    </row>
    <row r="124" spans="1:12" ht="15" thickBot="1">
      <c r="A124" s="437"/>
      <c r="B124" s="449"/>
      <c r="C124" s="465"/>
      <c r="D124" s="465"/>
      <c r="E124" s="466"/>
      <c r="F124" s="467"/>
      <c r="G124" s="466"/>
      <c r="H124" s="466"/>
      <c r="I124" s="466"/>
      <c r="J124" s="468"/>
      <c r="K124" s="451"/>
      <c r="L124" s="437"/>
    </row>
    <row r="125" spans="1:12" ht="40.5" customHeight="1">
      <c r="A125" s="437"/>
      <c r="B125" s="838" t="s">
        <v>251</v>
      </c>
      <c r="C125" s="838"/>
      <c r="D125" s="838"/>
      <c r="E125" s="838"/>
      <c r="F125" s="838"/>
      <c r="G125" s="838"/>
      <c r="H125" s="838"/>
      <c r="I125" s="838"/>
      <c r="J125" s="838"/>
      <c r="K125" s="838"/>
      <c r="L125" s="481"/>
    </row>
    <row r="126" spans="1:12" ht="14.25">
      <c r="A126" s="437"/>
      <c r="B126" s="832" t="s">
        <v>1091</v>
      </c>
      <c r="C126" s="832"/>
      <c r="D126" s="832"/>
      <c r="E126" s="832"/>
      <c r="F126" s="832"/>
      <c r="G126" s="832"/>
      <c r="H126" s="832"/>
      <c r="I126" s="832"/>
      <c r="J126" s="832"/>
      <c r="K126" s="832"/>
      <c r="L126" s="481"/>
    </row>
    <row r="127" spans="1:12" ht="14.25">
      <c r="A127" s="437"/>
      <c r="B127" s="599"/>
      <c r="C127" s="599"/>
      <c r="D127" s="599"/>
      <c r="E127" s="599"/>
      <c r="F127" s="599"/>
      <c r="G127" s="599"/>
      <c r="H127" s="599"/>
      <c r="I127" s="599"/>
      <c r="J127" s="599"/>
      <c r="K127" s="599"/>
      <c r="L127" s="481"/>
    </row>
    <row r="128" spans="1:12" ht="14.25">
      <c r="A128" s="437"/>
      <c r="B128" s="832" t="s">
        <v>1092</v>
      </c>
      <c r="C128" s="832"/>
      <c r="D128" s="832"/>
      <c r="E128" s="832"/>
      <c r="F128" s="832"/>
      <c r="G128" s="832"/>
      <c r="H128" s="832"/>
      <c r="I128" s="832"/>
      <c r="J128" s="832"/>
      <c r="K128" s="832"/>
      <c r="L128" s="481"/>
    </row>
    <row r="129" spans="1:12" ht="14.25">
      <c r="A129" s="437"/>
      <c r="B129" s="596"/>
      <c r="C129" s="596"/>
      <c r="D129" s="596"/>
      <c r="E129" s="596"/>
      <c r="F129" s="596"/>
      <c r="G129" s="596"/>
      <c r="H129" s="596"/>
      <c r="I129" s="596"/>
      <c r="J129" s="596"/>
      <c r="K129" s="596"/>
      <c r="L129" s="481"/>
    </row>
    <row r="130" spans="1:12" ht="74.25" customHeight="1">
      <c r="A130" s="437"/>
      <c r="B130" s="834" t="s">
        <v>366</v>
      </c>
      <c r="C130" s="834"/>
      <c r="D130" s="834"/>
      <c r="E130" s="834"/>
      <c r="F130" s="834"/>
      <c r="G130" s="834"/>
      <c r="H130" s="834"/>
      <c r="I130" s="834"/>
      <c r="J130" s="834"/>
      <c r="K130" s="834"/>
      <c r="L130" s="481"/>
    </row>
    <row r="131" spans="1:12" ht="15" thickBot="1">
      <c r="A131" s="437"/>
      <c r="L131" s="437"/>
    </row>
    <row r="132" spans="1:12" ht="14.25">
      <c r="A132" s="437"/>
      <c r="B132" s="442" t="s">
        <v>255</v>
      </c>
      <c r="C132" s="443"/>
      <c r="D132" s="443"/>
      <c r="E132" s="443"/>
      <c r="F132" s="443"/>
      <c r="G132" s="443"/>
      <c r="H132" s="443"/>
      <c r="I132" s="443"/>
      <c r="J132" s="443"/>
      <c r="K132" s="444"/>
      <c r="L132" s="437"/>
    </row>
    <row r="133" spans="1:12" ht="14.25">
      <c r="A133" s="437"/>
      <c r="B133" s="454"/>
      <c r="C133" s="856" t="s">
        <v>1093</v>
      </c>
      <c r="D133" s="856"/>
      <c r="E133" s="446"/>
      <c r="F133" s="597" t="s">
        <v>1094</v>
      </c>
      <c r="G133" s="446"/>
      <c r="H133" s="856" t="s">
        <v>1081</v>
      </c>
      <c r="I133" s="856"/>
      <c r="J133" s="446"/>
      <c r="K133" s="448"/>
      <c r="L133" s="437"/>
    </row>
    <row r="134" spans="1:12" ht="14.25">
      <c r="A134" s="437"/>
      <c r="B134" s="454" t="s">
        <v>1075</v>
      </c>
      <c r="C134" s="830">
        <v>100000</v>
      </c>
      <c r="D134" s="830"/>
      <c r="E134" s="597" t="s">
        <v>598</v>
      </c>
      <c r="F134" s="597">
        <v>0.115</v>
      </c>
      <c r="G134" s="597" t="s">
        <v>259</v>
      </c>
      <c r="H134" s="833">
        <f>C134*F134</f>
        <v>11500</v>
      </c>
      <c r="I134" s="833"/>
      <c r="J134" s="446"/>
      <c r="K134" s="448"/>
      <c r="L134" s="437"/>
    </row>
    <row r="135" spans="1:12" ht="14.25">
      <c r="A135" s="437"/>
      <c r="B135" s="454"/>
      <c r="C135" s="446"/>
      <c r="D135" s="446"/>
      <c r="E135" s="446"/>
      <c r="F135" s="446"/>
      <c r="G135" s="446"/>
      <c r="H135" s="446"/>
      <c r="I135" s="446"/>
      <c r="J135" s="446"/>
      <c r="K135" s="448"/>
      <c r="L135" s="437"/>
    </row>
    <row r="136" spans="1:12" ht="14.25">
      <c r="A136" s="437"/>
      <c r="B136" s="462"/>
      <c r="C136" s="843" t="s">
        <v>1081</v>
      </c>
      <c r="D136" s="843"/>
      <c r="E136" s="463"/>
      <c r="F136" s="603" t="s">
        <v>1095</v>
      </c>
      <c r="G136" s="603"/>
      <c r="H136" s="463"/>
      <c r="I136" s="463"/>
      <c r="J136" s="463" t="s">
        <v>1096</v>
      </c>
      <c r="K136" s="464"/>
      <c r="L136" s="437"/>
    </row>
    <row r="137" spans="1:12" ht="14.25">
      <c r="A137" s="437"/>
      <c r="B137" s="454" t="s">
        <v>1080</v>
      </c>
      <c r="C137" s="833">
        <f>H134</f>
        <v>11500</v>
      </c>
      <c r="D137" s="833"/>
      <c r="E137" s="597" t="s">
        <v>598</v>
      </c>
      <c r="F137" s="482">
        <v>52.869</v>
      </c>
      <c r="G137" s="597" t="s">
        <v>260</v>
      </c>
      <c r="H137" s="597">
        <v>1000</v>
      </c>
      <c r="I137" s="597" t="s">
        <v>259</v>
      </c>
      <c r="J137" s="483">
        <f>C137*F137/H137</f>
        <v>607.9935</v>
      </c>
      <c r="K137" s="448"/>
      <c r="L137" s="437"/>
    </row>
    <row r="138" spans="1:12" ht="15" thickBot="1">
      <c r="A138" s="437"/>
      <c r="B138" s="449"/>
      <c r="C138" s="581"/>
      <c r="D138" s="581"/>
      <c r="E138" s="466"/>
      <c r="F138" s="582"/>
      <c r="G138" s="466"/>
      <c r="H138" s="466"/>
      <c r="I138" s="466"/>
      <c r="J138" s="583"/>
      <c r="K138" s="451"/>
      <c r="L138" s="437"/>
    </row>
    <row r="139" spans="1:12" ht="40.5" customHeight="1">
      <c r="A139" s="437"/>
      <c r="B139" s="568" t="s">
        <v>251</v>
      </c>
      <c r="C139" s="569"/>
      <c r="D139" s="569"/>
      <c r="E139" s="570"/>
      <c r="F139" s="571"/>
      <c r="G139" s="570"/>
      <c r="H139" s="570"/>
      <c r="I139" s="570"/>
      <c r="J139" s="572"/>
      <c r="K139" s="573"/>
      <c r="L139" s="437"/>
    </row>
    <row r="140" spans="1:12" ht="14.25">
      <c r="A140" s="437"/>
      <c r="B140" s="574" t="s">
        <v>367</v>
      </c>
      <c r="C140" s="575"/>
      <c r="D140" s="575"/>
      <c r="E140" s="576"/>
      <c r="F140" s="577"/>
      <c r="G140" s="576"/>
      <c r="H140" s="576"/>
      <c r="I140" s="576"/>
      <c r="J140" s="578"/>
      <c r="K140" s="579"/>
      <c r="L140" s="437"/>
    </row>
    <row r="141" spans="1:12" ht="14.25">
      <c r="A141" s="437"/>
      <c r="B141" s="454"/>
      <c r="C141" s="594"/>
      <c r="D141" s="594"/>
      <c r="E141" s="597"/>
      <c r="F141" s="584"/>
      <c r="G141" s="597"/>
      <c r="H141" s="597"/>
      <c r="I141" s="597"/>
      <c r="J141" s="483"/>
      <c r="K141" s="448"/>
      <c r="L141" s="437"/>
    </row>
    <row r="142" spans="1:12" ht="14.25">
      <c r="A142" s="437"/>
      <c r="B142" s="574" t="s">
        <v>368</v>
      </c>
      <c r="C142" s="575"/>
      <c r="D142" s="575"/>
      <c r="E142" s="576"/>
      <c r="F142" s="577"/>
      <c r="G142" s="576"/>
      <c r="H142" s="576"/>
      <c r="I142" s="576"/>
      <c r="J142" s="578"/>
      <c r="K142" s="579"/>
      <c r="L142" s="437"/>
    </row>
    <row r="143" spans="1:12" ht="14.25">
      <c r="A143" s="437"/>
      <c r="B143" s="454"/>
      <c r="C143" s="594"/>
      <c r="D143" s="594"/>
      <c r="E143" s="597"/>
      <c r="F143" s="584"/>
      <c r="G143" s="597"/>
      <c r="H143" s="597"/>
      <c r="I143" s="597"/>
      <c r="J143" s="483"/>
      <c r="K143" s="448"/>
      <c r="L143" s="437"/>
    </row>
    <row r="144" spans="1:12" ht="76.5" customHeight="1">
      <c r="A144" s="437"/>
      <c r="B144" s="857" t="s">
        <v>369</v>
      </c>
      <c r="C144" s="858"/>
      <c r="D144" s="858"/>
      <c r="E144" s="858"/>
      <c r="F144" s="858"/>
      <c r="G144" s="858"/>
      <c r="H144" s="858"/>
      <c r="I144" s="858"/>
      <c r="J144" s="858"/>
      <c r="K144" s="859"/>
      <c r="L144" s="437"/>
    </row>
    <row r="145" spans="1:12" ht="15" thickBot="1">
      <c r="A145" s="437"/>
      <c r="B145" s="454"/>
      <c r="C145" s="594"/>
      <c r="D145" s="594"/>
      <c r="E145" s="597"/>
      <c r="F145" s="584"/>
      <c r="G145" s="597"/>
      <c r="H145" s="597"/>
      <c r="I145" s="597"/>
      <c r="J145" s="483"/>
      <c r="K145" s="448"/>
      <c r="L145" s="437"/>
    </row>
    <row r="146" spans="1:12" ht="14.25">
      <c r="A146" s="437"/>
      <c r="B146" s="442" t="s">
        <v>255</v>
      </c>
      <c r="C146" s="585"/>
      <c r="D146" s="585"/>
      <c r="E146" s="586"/>
      <c r="F146" s="587"/>
      <c r="G146" s="586"/>
      <c r="H146" s="586"/>
      <c r="I146" s="586"/>
      <c r="J146" s="588"/>
      <c r="K146" s="444"/>
      <c r="L146" s="437"/>
    </row>
    <row r="147" spans="1:12" ht="14.25">
      <c r="A147" s="437"/>
      <c r="B147" s="454"/>
      <c r="C147" s="833" t="s">
        <v>370</v>
      </c>
      <c r="D147" s="833"/>
      <c r="E147" s="597"/>
      <c r="F147" s="584" t="s">
        <v>371</v>
      </c>
      <c r="G147" s="597"/>
      <c r="H147" s="597"/>
      <c r="I147" s="597"/>
      <c r="J147" s="854" t="s">
        <v>372</v>
      </c>
      <c r="K147" s="860"/>
      <c r="L147" s="437"/>
    </row>
    <row r="148" spans="1:12" ht="14.25">
      <c r="A148" s="437"/>
      <c r="B148" s="454"/>
      <c r="C148" s="853">
        <v>52.869</v>
      </c>
      <c r="D148" s="853"/>
      <c r="E148" s="597" t="s">
        <v>598</v>
      </c>
      <c r="F148" s="598">
        <v>312000000</v>
      </c>
      <c r="G148" s="589" t="s">
        <v>260</v>
      </c>
      <c r="H148" s="597">
        <v>1000</v>
      </c>
      <c r="I148" s="597" t="s">
        <v>259</v>
      </c>
      <c r="J148" s="854">
        <f>C148*(F148/1000)</f>
        <v>16495128</v>
      </c>
      <c r="K148" s="855"/>
      <c r="L148" s="437"/>
    </row>
    <row r="149" spans="1:12" ht="15" thickBot="1">
      <c r="A149" s="437"/>
      <c r="B149" s="449"/>
      <c r="C149" s="581"/>
      <c r="D149" s="581"/>
      <c r="E149" s="466"/>
      <c r="F149" s="582"/>
      <c r="G149" s="466"/>
      <c r="H149" s="466"/>
      <c r="I149" s="466"/>
      <c r="J149" s="583"/>
      <c r="K149" s="451"/>
      <c r="L149" s="437"/>
    </row>
    <row r="150" spans="1:12" ht="15" thickBot="1">
      <c r="A150" s="437"/>
      <c r="B150" s="449"/>
      <c r="C150" s="450"/>
      <c r="D150" s="450"/>
      <c r="E150" s="450"/>
      <c r="F150" s="450"/>
      <c r="G150" s="450"/>
      <c r="H150" s="450"/>
      <c r="I150" s="450"/>
      <c r="J150" s="450"/>
      <c r="K150" s="451"/>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484"/>
      <c r="B154" s="484"/>
      <c r="C154" s="484"/>
      <c r="D154" s="484"/>
      <c r="E154" s="484"/>
      <c r="F154" s="484"/>
      <c r="G154" s="484"/>
      <c r="H154" s="484"/>
      <c r="I154" s="484"/>
      <c r="J154" s="484"/>
      <c r="K154" s="484"/>
      <c r="L154" s="484"/>
    </row>
    <row r="155" spans="1:12" ht="14.25">
      <c r="A155" s="484"/>
      <c r="B155" s="484"/>
      <c r="C155" s="484"/>
      <c r="D155" s="484"/>
      <c r="E155" s="484"/>
      <c r="F155" s="484"/>
      <c r="G155" s="484"/>
      <c r="H155" s="484"/>
      <c r="I155" s="484"/>
      <c r="J155" s="484"/>
      <c r="K155" s="484"/>
      <c r="L155" s="484"/>
    </row>
    <row r="156" spans="1:12" ht="14.25">
      <c r="A156" s="484"/>
      <c r="B156" s="484"/>
      <c r="C156" s="484"/>
      <c r="D156" s="484"/>
      <c r="E156" s="484"/>
      <c r="F156" s="484"/>
      <c r="G156" s="484"/>
      <c r="H156" s="484"/>
      <c r="I156" s="484"/>
      <c r="J156" s="484"/>
      <c r="K156" s="484"/>
      <c r="L156" s="484"/>
    </row>
    <row r="157" spans="1:12" ht="14.25">
      <c r="A157" s="484"/>
      <c r="B157" s="484"/>
      <c r="C157" s="484"/>
      <c r="D157" s="484"/>
      <c r="E157" s="484"/>
      <c r="F157" s="484"/>
      <c r="G157" s="484"/>
      <c r="H157" s="484"/>
      <c r="I157" s="484"/>
      <c r="J157" s="484"/>
      <c r="K157" s="484"/>
      <c r="L157" s="484"/>
    </row>
    <row r="158" spans="1:12" ht="14.25">
      <c r="A158" s="484"/>
      <c r="B158" s="484"/>
      <c r="C158" s="484"/>
      <c r="D158" s="484"/>
      <c r="E158" s="484"/>
      <c r="F158" s="484"/>
      <c r="G158" s="484"/>
      <c r="H158" s="484"/>
      <c r="I158" s="484"/>
      <c r="J158" s="484"/>
      <c r="K158" s="484"/>
      <c r="L158" s="484"/>
    </row>
    <row r="159" spans="1:12" ht="14.25">
      <c r="A159" s="484"/>
      <c r="B159" s="484"/>
      <c r="C159" s="484"/>
      <c r="D159" s="484"/>
      <c r="E159" s="484"/>
      <c r="F159" s="484"/>
      <c r="G159" s="484"/>
      <c r="H159" s="484"/>
      <c r="I159" s="484"/>
      <c r="J159" s="484"/>
      <c r="K159" s="484"/>
      <c r="L159" s="484"/>
    </row>
    <row r="160" spans="1:12" ht="14.25">
      <c r="A160" s="484"/>
      <c r="B160" s="484"/>
      <c r="C160" s="484"/>
      <c r="D160" s="484"/>
      <c r="E160" s="484"/>
      <c r="F160" s="484"/>
      <c r="G160" s="484"/>
      <c r="H160" s="484"/>
      <c r="I160" s="484"/>
      <c r="J160" s="484"/>
      <c r="K160" s="484"/>
      <c r="L160" s="484"/>
    </row>
    <row r="161" spans="1:12" ht="14.25">
      <c r="A161" s="484"/>
      <c r="B161" s="484"/>
      <c r="C161" s="484"/>
      <c r="D161" s="484"/>
      <c r="E161" s="484"/>
      <c r="F161" s="484"/>
      <c r="G161" s="484"/>
      <c r="H161" s="484"/>
      <c r="I161" s="484"/>
      <c r="J161" s="484"/>
      <c r="K161" s="484"/>
      <c r="L161" s="484"/>
    </row>
    <row r="162" spans="1:12" ht="14.25">
      <c r="A162" s="484"/>
      <c r="B162" s="484"/>
      <c r="C162" s="484"/>
      <c r="D162" s="484"/>
      <c r="E162" s="484"/>
      <c r="F162" s="484"/>
      <c r="G162" s="484"/>
      <c r="H162" s="484"/>
      <c r="I162" s="484"/>
      <c r="J162" s="484"/>
      <c r="K162" s="484"/>
      <c r="L162" s="484"/>
    </row>
    <row r="163" spans="1:12" ht="14.25">
      <c r="A163" s="484"/>
      <c r="B163" s="484"/>
      <c r="C163" s="484"/>
      <c r="D163" s="484"/>
      <c r="E163" s="484"/>
      <c r="F163" s="484"/>
      <c r="G163" s="484"/>
      <c r="H163" s="484"/>
      <c r="I163" s="484"/>
      <c r="J163" s="484"/>
      <c r="K163" s="484"/>
      <c r="L163" s="484"/>
    </row>
    <row r="164" spans="1:12" ht="14.25">
      <c r="A164" s="484"/>
      <c r="B164" s="484"/>
      <c r="C164" s="484"/>
      <c r="D164" s="484"/>
      <c r="E164" s="484"/>
      <c r="F164" s="484"/>
      <c r="G164" s="484"/>
      <c r="H164" s="484"/>
      <c r="I164" s="484"/>
      <c r="J164" s="484"/>
      <c r="K164" s="484"/>
      <c r="L164" s="484"/>
    </row>
    <row r="165" spans="1:12" ht="14.25">
      <c r="A165" s="484"/>
      <c r="B165" s="484"/>
      <c r="C165" s="484"/>
      <c r="D165" s="484"/>
      <c r="E165" s="484"/>
      <c r="F165" s="484"/>
      <c r="G165" s="484"/>
      <c r="H165" s="484"/>
      <c r="I165" s="484"/>
      <c r="J165" s="484"/>
      <c r="K165" s="484"/>
      <c r="L165" s="484"/>
    </row>
    <row r="166" spans="1:12" ht="14.25">
      <c r="A166" s="484"/>
      <c r="B166" s="484"/>
      <c r="C166" s="484"/>
      <c r="D166" s="484"/>
      <c r="E166" s="484"/>
      <c r="F166" s="484"/>
      <c r="G166" s="484"/>
      <c r="H166" s="484"/>
      <c r="I166" s="484"/>
      <c r="J166" s="484"/>
      <c r="K166" s="484"/>
      <c r="L166" s="484"/>
    </row>
    <row r="167" spans="1:12" ht="14.25">
      <c r="A167" s="484"/>
      <c r="B167" s="484"/>
      <c r="C167" s="484"/>
      <c r="D167" s="484"/>
      <c r="E167" s="484"/>
      <c r="F167" s="484"/>
      <c r="G167" s="484"/>
      <c r="H167" s="484"/>
      <c r="I167" s="484"/>
      <c r="J167" s="484"/>
      <c r="K167" s="484"/>
      <c r="L167" s="484"/>
    </row>
    <row r="168" spans="1:12" ht="14.25">
      <c r="A168" s="484"/>
      <c r="B168" s="484"/>
      <c r="C168" s="484"/>
      <c r="D168" s="484"/>
      <c r="E168" s="484"/>
      <c r="F168" s="484"/>
      <c r="G168" s="484"/>
      <c r="H168" s="484"/>
      <c r="I168" s="484"/>
      <c r="J168" s="484"/>
      <c r="K168" s="484"/>
      <c r="L168" s="484"/>
    </row>
    <row r="169" spans="1:12" ht="14.25">
      <c r="A169" s="484"/>
      <c r="B169" s="484"/>
      <c r="C169" s="484"/>
      <c r="D169" s="484"/>
      <c r="E169" s="484"/>
      <c r="F169" s="484"/>
      <c r="G169" s="484"/>
      <c r="H169" s="484"/>
      <c r="I169" s="484"/>
      <c r="J169" s="484"/>
      <c r="K169" s="484"/>
      <c r="L169" s="484"/>
    </row>
    <row r="170" spans="1:12" ht="14.25">
      <c r="A170" s="484"/>
      <c r="B170" s="484"/>
      <c r="C170" s="484"/>
      <c r="D170" s="484"/>
      <c r="E170" s="484"/>
      <c r="F170" s="484"/>
      <c r="G170" s="484"/>
      <c r="H170" s="484"/>
      <c r="I170" s="484"/>
      <c r="J170" s="484"/>
      <c r="K170" s="484"/>
      <c r="L170" s="484"/>
    </row>
    <row r="171" spans="1:12" ht="14.25">
      <c r="A171" s="484"/>
      <c r="B171" s="484"/>
      <c r="C171" s="484"/>
      <c r="D171" s="484"/>
      <c r="E171" s="484"/>
      <c r="F171" s="484"/>
      <c r="G171" s="484"/>
      <c r="H171" s="484"/>
      <c r="I171" s="484"/>
      <c r="J171" s="484"/>
      <c r="K171" s="484"/>
      <c r="L171" s="484"/>
    </row>
    <row r="172" spans="1:12" ht="14.25">
      <c r="A172" s="484"/>
      <c r="B172" s="484"/>
      <c r="C172" s="484"/>
      <c r="D172" s="484"/>
      <c r="E172" s="484"/>
      <c r="F172" s="484"/>
      <c r="G172" s="484"/>
      <c r="H172" s="484"/>
      <c r="I172" s="484"/>
      <c r="J172" s="484"/>
      <c r="K172" s="484"/>
      <c r="L172" s="484"/>
    </row>
    <row r="173" spans="1:12" ht="14.25">
      <c r="A173" s="484"/>
      <c r="B173" s="484"/>
      <c r="C173" s="484"/>
      <c r="D173" s="484"/>
      <c r="E173" s="484"/>
      <c r="F173" s="484"/>
      <c r="G173" s="484"/>
      <c r="H173" s="484"/>
      <c r="I173" s="484"/>
      <c r="J173" s="484"/>
      <c r="K173" s="484"/>
      <c r="L173" s="484"/>
    </row>
    <row r="174" spans="1:12" ht="14.25">
      <c r="A174" s="484"/>
      <c r="B174" s="484"/>
      <c r="C174" s="484"/>
      <c r="D174" s="484"/>
      <c r="E174" s="484"/>
      <c r="F174" s="484"/>
      <c r="G174" s="484"/>
      <c r="H174" s="484"/>
      <c r="I174" s="484"/>
      <c r="J174" s="484"/>
      <c r="K174" s="484"/>
      <c r="L174" s="484"/>
    </row>
    <row r="175" spans="1:12" ht="14.25">
      <c r="A175" s="484"/>
      <c r="B175" s="484"/>
      <c r="C175" s="484"/>
      <c r="D175" s="484"/>
      <c r="E175" s="484"/>
      <c r="F175" s="484"/>
      <c r="G175" s="484"/>
      <c r="H175" s="484"/>
      <c r="I175" s="484"/>
      <c r="J175" s="484"/>
      <c r="K175" s="484"/>
      <c r="L175" s="484"/>
    </row>
    <row r="176" spans="1:12" ht="14.25">
      <c r="A176" s="484"/>
      <c r="B176" s="484"/>
      <c r="C176" s="484"/>
      <c r="D176" s="484"/>
      <c r="E176" s="484"/>
      <c r="F176" s="484"/>
      <c r="G176" s="484"/>
      <c r="H176" s="484"/>
      <c r="I176" s="484"/>
      <c r="J176" s="484"/>
      <c r="K176" s="484"/>
      <c r="L176" s="484"/>
    </row>
    <row r="177" spans="1:12" ht="14.25">
      <c r="A177" s="484"/>
      <c r="B177" s="484"/>
      <c r="C177" s="484"/>
      <c r="D177" s="484"/>
      <c r="E177" s="484"/>
      <c r="F177" s="484"/>
      <c r="G177" s="484"/>
      <c r="H177" s="484"/>
      <c r="I177" s="484"/>
      <c r="J177" s="484"/>
      <c r="K177" s="484"/>
      <c r="L177" s="484"/>
    </row>
    <row r="178" spans="1:12" ht="14.25">
      <c r="A178" s="484"/>
      <c r="B178" s="484"/>
      <c r="C178" s="484"/>
      <c r="D178" s="484"/>
      <c r="E178" s="484"/>
      <c r="F178" s="484"/>
      <c r="G178" s="484"/>
      <c r="H178" s="484"/>
      <c r="I178" s="484"/>
      <c r="J178" s="484"/>
      <c r="K178" s="484"/>
      <c r="L178" s="484"/>
    </row>
    <row r="179" spans="1:12" ht="14.25">
      <c r="A179" s="484"/>
      <c r="B179" s="484"/>
      <c r="C179" s="484"/>
      <c r="D179" s="484"/>
      <c r="E179" s="484"/>
      <c r="F179" s="484"/>
      <c r="G179" s="484"/>
      <c r="H179" s="484"/>
      <c r="I179" s="484"/>
      <c r="J179" s="484"/>
      <c r="K179" s="484"/>
      <c r="L179" s="484"/>
    </row>
    <row r="180" spans="1:12" ht="14.25">
      <c r="A180" s="484"/>
      <c r="B180" s="484"/>
      <c r="C180" s="484"/>
      <c r="D180" s="484"/>
      <c r="E180" s="484"/>
      <c r="F180" s="484"/>
      <c r="G180" s="484"/>
      <c r="H180" s="484"/>
      <c r="I180" s="484"/>
      <c r="J180" s="484"/>
      <c r="K180" s="484"/>
      <c r="L180" s="484"/>
    </row>
    <row r="181" spans="1:12" ht="14.25">
      <c r="A181" s="484"/>
      <c r="B181" s="484"/>
      <c r="C181" s="484"/>
      <c r="D181" s="484"/>
      <c r="E181" s="484"/>
      <c r="F181" s="484"/>
      <c r="G181" s="484"/>
      <c r="H181" s="484"/>
      <c r="I181" s="484"/>
      <c r="J181" s="484"/>
      <c r="K181" s="484"/>
      <c r="L181" s="484"/>
    </row>
    <row r="182" spans="1:12" ht="14.25">
      <c r="A182" s="484"/>
      <c r="B182" s="484"/>
      <c r="C182" s="484"/>
      <c r="D182" s="484"/>
      <c r="E182" s="484"/>
      <c r="F182" s="484"/>
      <c r="G182" s="484"/>
      <c r="H182" s="484"/>
      <c r="I182" s="484"/>
      <c r="J182" s="484"/>
      <c r="K182" s="484"/>
      <c r="L182" s="484"/>
    </row>
    <row r="183" spans="1:12" ht="14.25">
      <c r="A183" s="484"/>
      <c r="B183" s="484"/>
      <c r="C183" s="484"/>
      <c r="D183" s="484"/>
      <c r="E183" s="484"/>
      <c r="F183" s="484"/>
      <c r="G183" s="484"/>
      <c r="H183" s="484"/>
      <c r="I183" s="484"/>
      <c r="J183" s="484"/>
      <c r="K183" s="484"/>
      <c r="L183" s="484"/>
    </row>
    <row r="184" spans="1:12" ht="14.25">
      <c r="A184" s="484"/>
      <c r="B184" s="484"/>
      <c r="C184" s="484"/>
      <c r="D184" s="484"/>
      <c r="E184" s="484"/>
      <c r="F184" s="484"/>
      <c r="G184" s="484"/>
      <c r="H184" s="484"/>
      <c r="I184" s="484"/>
      <c r="J184" s="484"/>
      <c r="K184" s="484"/>
      <c r="L184" s="484"/>
    </row>
    <row r="185" spans="1:12" ht="14.25">
      <c r="A185" s="484"/>
      <c r="B185" s="484"/>
      <c r="C185" s="484"/>
      <c r="D185" s="484"/>
      <c r="E185" s="484"/>
      <c r="F185" s="484"/>
      <c r="G185" s="484"/>
      <c r="H185" s="484"/>
      <c r="I185" s="484"/>
      <c r="J185" s="484"/>
      <c r="K185" s="484"/>
      <c r="L185" s="484"/>
    </row>
    <row r="186" spans="1:12" ht="14.25">
      <c r="A186" s="484"/>
      <c r="B186" s="484"/>
      <c r="C186" s="484"/>
      <c r="D186" s="484"/>
      <c r="E186" s="484"/>
      <c r="F186" s="484"/>
      <c r="G186" s="484"/>
      <c r="H186" s="484"/>
      <c r="I186" s="484"/>
      <c r="J186" s="484"/>
      <c r="K186" s="484"/>
      <c r="L186" s="484"/>
    </row>
    <row r="187" spans="1:12" ht="14.25">
      <c r="A187" s="484"/>
      <c r="B187" s="484"/>
      <c r="C187" s="484"/>
      <c r="D187" s="484"/>
      <c r="E187" s="484"/>
      <c r="F187" s="484"/>
      <c r="G187" s="484"/>
      <c r="H187" s="484"/>
      <c r="I187" s="484"/>
      <c r="J187" s="484"/>
      <c r="K187" s="484"/>
      <c r="L187" s="484"/>
    </row>
    <row r="188" spans="1:12" ht="14.25">
      <c r="A188" s="484"/>
      <c r="B188" s="484"/>
      <c r="C188" s="484"/>
      <c r="D188" s="484"/>
      <c r="E188" s="484"/>
      <c r="F188" s="484"/>
      <c r="G188" s="484"/>
      <c r="H188" s="484"/>
      <c r="I188" s="484"/>
      <c r="J188" s="484"/>
      <c r="K188" s="484"/>
      <c r="L188" s="484"/>
    </row>
    <row r="189" spans="1:12" ht="14.25">
      <c r="A189" s="484"/>
      <c r="B189" s="484"/>
      <c r="C189" s="484"/>
      <c r="D189" s="484"/>
      <c r="E189" s="484"/>
      <c r="F189" s="484"/>
      <c r="G189" s="484"/>
      <c r="H189" s="484"/>
      <c r="I189" s="484"/>
      <c r="J189" s="484"/>
      <c r="K189" s="484"/>
      <c r="L189" s="484"/>
    </row>
    <row r="190" spans="1:12" ht="14.25">
      <c r="A190" s="484"/>
      <c r="B190" s="484"/>
      <c r="C190" s="484"/>
      <c r="D190" s="484"/>
      <c r="E190" s="484"/>
      <c r="F190" s="484"/>
      <c r="G190" s="484"/>
      <c r="H190" s="484"/>
      <c r="I190" s="484"/>
      <c r="J190" s="484"/>
      <c r="K190" s="484"/>
      <c r="L190" s="484"/>
    </row>
    <row r="191" spans="1:12" ht="14.25">
      <c r="A191" s="484"/>
      <c r="B191" s="484"/>
      <c r="C191" s="484"/>
      <c r="D191" s="484"/>
      <c r="E191" s="484"/>
      <c r="F191" s="484"/>
      <c r="G191" s="484"/>
      <c r="H191" s="484"/>
      <c r="I191" s="484"/>
      <c r="J191" s="484"/>
      <c r="K191" s="484"/>
      <c r="L191" s="484"/>
    </row>
    <row r="192" spans="1:12" ht="14.25">
      <c r="A192" s="484"/>
      <c r="B192" s="484"/>
      <c r="C192" s="484"/>
      <c r="D192" s="484"/>
      <c r="E192" s="484"/>
      <c r="F192" s="484"/>
      <c r="G192" s="484"/>
      <c r="H192" s="484"/>
      <c r="I192" s="484"/>
      <c r="J192" s="484"/>
      <c r="K192" s="484"/>
      <c r="L192" s="484"/>
    </row>
    <row r="193" spans="1:12" ht="14.25">
      <c r="A193" s="484"/>
      <c r="B193" s="484"/>
      <c r="C193" s="484"/>
      <c r="D193" s="484"/>
      <c r="E193" s="484"/>
      <c r="F193" s="484"/>
      <c r="G193" s="484"/>
      <c r="H193" s="484"/>
      <c r="I193" s="484"/>
      <c r="J193" s="484"/>
      <c r="K193" s="484"/>
      <c r="L193" s="484"/>
    </row>
    <row r="194" spans="1:12" ht="14.25">
      <c r="A194" s="484"/>
      <c r="B194" s="484"/>
      <c r="C194" s="484"/>
      <c r="D194" s="484"/>
      <c r="E194" s="484"/>
      <c r="F194" s="484"/>
      <c r="G194" s="484"/>
      <c r="H194" s="484"/>
      <c r="I194" s="484"/>
      <c r="J194" s="484"/>
      <c r="K194" s="484"/>
      <c r="L194" s="484"/>
    </row>
    <row r="195" spans="1:12" ht="14.25">
      <c r="A195" s="484"/>
      <c r="B195" s="484"/>
      <c r="C195" s="484"/>
      <c r="D195" s="484"/>
      <c r="E195" s="484"/>
      <c r="F195" s="484"/>
      <c r="G195" s="484"/>
      <c r="H195" s="484"/>
      <c r="I195" s="484"/>
      <c r="J195" s="484"/>
      <c r="K195" s="484"/>
      <c r="L195" s="484"/>
    </row>
    <row r="196" spans="1:12" ht="14.25">
      <c r="A196" s="484"/>
      <c r="B196" s="484"/>
      <c r="C196" s="484"/>
      <c r="D196" s="484"/>
      <c r="E196" s="484"/>
      <c r="F196" s="484"/>
      <c r="G196" s="484"/>
      <c r="H196" s="484"/>
      <c r="I196" s="484"/>
      <c r="J196" s="484"/>
      <c r="K196" s="484"/>
      <c r="L196" s="484"/>
    </row>
    <row r="197" spans="1:12" ht="14.25">
      <c r="A197" s="484"/>
      <c r="B197" s="484"/>
      <c r="C197" s="484"/>
      <c r="D197" s="484"/>
      <c r="E197" s="484"/>
      <c r="F197" s="484"/>
      <c r="G197" s="484"/>
      <c r="H197" s="484"/>
      <c r="I197" s="484"/>
      <c r="J197" s="484"/>
      <c r="K197" s="484"/>
      <c r="L197" s="484"/>
    </row>
    <row r="198" spans="1:12" ht="14.25">
      <c r="A198" s="484"/>
      <c r="B198" s="484"/>
      <c r="C198" s="484"/>
      <c r="D198" s="484"/>
      <c r="E198" s="484"/>
      <c r="F198" s="484"/>
      <c r="G198" s="484"/>
      <c r="H198" s="484"/>
      <c r="I198" s="484"/>
      <c r="J198" s="484"/>
      <c r="K198" s="484"/>
      <c r="L198" s="484"/>
    </row>
    <row r="199" spans="1:12" ht="14.25">
      <c r="A199" s="484"/>
      <c r="B199" s="484"/>
      <c r="C199" s="484"/>
      <c r="D199" s="484"/>
      <c r="E199" s="484"/>
      <c r="F199" s="484"/>
      <c r="G199" s="484"/>
      <c r="H199" s="484"/>
      <c r="I199" s="484"/>
      <c r="J199" s="484"/>
      <c r="K199" s="484"/>
      <c r="L199" s="484"/>
    </row>
    <row r="200" spans="1:12" ht="14.25">
      <c r="A200" s="484"/>
      <c r="B200" s="484"/>
      <c r="C200" s="484"/>
      <c r="D200" s="484"/>
      <c r="E200" s="484"/>
      <c r="F200" s="484"/>
      <c r="G200" s="484"/>
      <c r="H200" s="484"/>
      <c r="I200" s="484"/>
      <c r="J200" s="484"/>
      <c r="K200" s="484"/>
      <c r="L200" s="484"/>
    </row>
    <row r="201" spans="1:12" ht="14.25">
      <c r="A201" s="484"/>
      <c r="B201" s="484"/>
      <c r="C201" s="484"/>
      <c r="D201" s="484"/>
      <c r="E201" s="484"/>
      <c r="F201" s="484"/>
      <c r="G201" s="484"/>
      <c r="H201" s="484"/>
      <c r="I201" s="484"/>
      <c r="J201" s="484"/>
      <c r="K201" s="484"/>
      <c r="L201" s="484"/>
    </row>
    <row r="202" spans="1:12" ht="14.25">
      <c r="A202" s="484"/>
      <c r="B202" s="484"/>
      <c r="C202" s="484"/>
      <c r="D202" s="484"/>
      <c r="E202" s="484"/>
      <c r="F202" s="484"/>
      <c r="G202" s="484"/>
      <c r="H202" s="484"/>
      <c r="I202" s="484"/>
      <c r="J202" s="484"/>
      <c r="K202" s="484"/>
      <c r="L202" s="484"/>
    </row>
    <row r="203" spans="1:12" ht="14.25">
      <c r="A203" s="484"/>
      <c r="B203" s="484"/>
      <c r="C203" s="484"/>
      <c r="D203" s="484"/>
      <c r="E203" s="484"/>
      <c r="F203" s="484"/>
      <c r="G203" s="484"/>
      <c r="H203" s="484"/>
      <c r="I203" s="484"/>
      <c r="J203" s="484"/>
      <c r="K203" s="484"/>
      <c r="L203" s="484"/>
    </row>
    <row r="204" spans="1:12" ht="14.25">
      <c r="A204" s="484"/>
      <c r="B204" s="484"/>
      <c r="C204" s="484"/>
      <c r="D204" s="484"/>
      <c r="E204" s="484"/>
      <c r="F204" s="484"/>
      <c r="G204" s="484"/>
      <c r="H204" s="484"/>
      <c r="I204" s="484"/>
      <c r="J204" s="484"/>
      <c r="K204" s="484"/>
      <c r="L204" s="484"/>
    </row>
    <row r="205" spans="1:12" ht="14.25">
      <c r="A205" s="484"/>
      <c r="B205" s="484"/>
      <c r="C205" s="484"/>
      <c r="D205" s="484"/>
      <c r="E205" s="484"/>
      <c r="F205" s="484"/>
      <c r="G205" s="484"/>
      <c r="H205" s="484"/>
      <c r="I205" s="484"/>
      <c r="J205" s="484"/>
      <c r="K205" s="484"/>
      <c r="L205" s="484"/>
    </row>
    <row r="206" spans="1:12" ht="14.25">
      <c r="A206" s="484"/>
      <c r="B206" s="484"/>
      <c r="C206" s="484"/>
      <c r="D206" s="484"/>
      <c r="E206" s="484"/>
      <c r="F206" s="484"/>
      <c r="G206" s="484"/>
      <c r="H206" s="484"/>
      <c r="I206" s="484"/>
      <c r="J206" s="484"/>
      <c r="K206" s="484"/>
      <c r="L206" s="484"/>
    </row>
    <row r="207" spans="1:12" ht="14.25">
      <c r="A207" s="484"/>
      <c r="B207" s="484"/>
      <c r="C207" s="484"/>
      <c r="D207" s="484"/>
      <c r="E207" s="484"/>
      <c r="F207" s="484"/>
      <c r="G207" s="484"/>
      <c r="H207" s="484"/>
      <c r="I207" s="484"/>
      <c r="J207" s="484"/>
      <c r="K207" s="484"/>
      <c r="L207" s="484"/>
    </row>
    <row r="208" spans="1:12" ht="14.25">
      <c r="A208" s="484"/>
      <c r="B208" s="484"/>
      <c r="C208" s="484"/>
      <c r="D208" s="484"/>
      <c r="E208" s="484"/>
      <c r="F208" s="484"/>
      <c r="G208" s="484"/>
      <c r="H208" s="484"/>
      <c r="I208" s="484"/>
      <c r="J208" s="484"/>
      <c r="K208" s="484"/>
      <c r="L208" s="484"/>
    </row>
    <row r="209" spans="1:12" ht="14.25">
      <c r="A209" s="484"/>
      <c r="B209" s="484"/>
      <c r="C209" s="484"/>
      <c r="D209" s="484"/>
      <c r="E209" s="484"/>
      <c r="F209" s="484"/>
      <c r="G209" s="484"/>
      <c r="H209" s="484"/>
      <c r="I209" s="484"/>
      <c r="J209" s="484"/>
      <c r="K209" s="484"/>
      <c r="L209" s="484"/>
    </row>
    <row r="210" spans="1:12" ht="14.25">
      <c r="A210" s="484"/>
      <c r="B210" s="484"/>
      <c r="C210" s="484"/>
      <c r="D210" s="484"/>
      <c r="E210" s="484"/>
      <c r="F210" s="484"/>
      <c r="G210" s="484"/>
      <c r="H210" s="484"/>
      <c r="I210" s="484"/>
      <c r="J210" s="484"/>
      <c r="K210" s="484"/>
      <c r="L210" s="484"/>
    </row>
    <row r="211" spans="1:12" ht="14.25">
      <c r="A211" s="484"/>
      <c r="B211" s="484"/>
      <c r="C211" s="484"/>
      <c r="D211" s="484"/>
      <c r="E211" s="484"/>
      <c r="F211" s="484"/>
      <c r="G211" s="484"/>
      <c r="H211" s="484"/>
      <c r="I211" s="484"/>
      <c r="J211" s="484"/>
      <c r="K211" s="484"/>
      <c r="L211" s="484"/>
    </row>
    <row r="212" spans="1:12" ht="14.25">
      <c r="A212" s="484"/>
      <c r="B212" s="484"/>
      <c r="C212" s="484"/>
      <c r="D212" s="484"/>
      <c r="E212" s="484"/>
      <c r="F212" s="484"/>
      <c r="G212" s="484"/>
      <c r="H212" s="484"/>
      <c r="I212" s="484"/>
      <c r="J212" s="484"/>
      <c r="K212" s="484"/>
      <c r="L212" s="484"/>
    </row>
    <row r="213" spans="1:12" ht="14.25">
      <c r="A213" s="484"/>
      <c r="B213" s="484"/>
      <c r="C213" s="484"/>
      <c r="D213" s="484"/>
      <c r="E213" s="484"/>
      <c r="F213" s="484"/>
      <c r="G213" s="484"/>
      <c r="H213" s="484"/>
      <c r="I213" s="484"/>
      <c r="J213" s="484"/>
      <c r="K213" s="484"/>
      <c r="L213" s="484"/>
    </row>
    <row r="214" spans="1:12" ht="14.25">
      <c r="A214" s="484"/>
      <c r="B214" s="484"/>
      <c r="C214" s="484"/>
      <c r="D214" s="484"/>
      <c r="E214" s="484"/>
      <c r="F214" s="484"/>
      <c r="G214" s="484"/>
      <c r="H214" s="484"/>
      <c r="I214" s="484"/>
      <c r="J214" s="484"/>
      <c r="K214" s="484"/>
      <c r="L214" s="484"/>
    </row>
    <row r="215" spans="1:12" ht="14.25">
      <c r="A215" s="484"/>
      <c r="B215" s="484"/>
      <c r="C215" s="484"/>
      <c r="D215" s="484"/>
      <c r="E215" s="484"/>
      <c r="F215" s="484"/>
      <c r="G215" s="484"/>
      <c r="H215" s="484"/>
      <c r="I215" s="484"/>
      <c r="J215" s="484"/>
      <c r="K215" s="484"/>
      <c r="L215" s="484"/>
    </row>
    <row r="216" spans="1:12" ht="14.25">
      <c r="A216" s="484"/>
      <c r="B216" s="484"/>
      <c r="C216" s="484"/>
      <c r="D216" s="484"/>
      <c r="E216" s="484"/>
      <c r="F216" s="484"/>
      <c r="G216" s="484"/>
      <c r="H216" s="484"/>
      <c r="I216" s="484"/>
      <c r="J216" s="484"/>
      <c r="K216" s="484"/>
      <c r="L216" s="484"/>
    </row>
    <row r="217" spans="1:12" ht="14.25">
      <c r="A217" s="484"/>
      <c r="B217" s="484"/>
      <c r="C217" s="484"/>
      <c r="D217" s="484"/>
      <c r="E217" s="484"/>
      <c r="F217" s="484"/>
      <c r="G217" s="484"/>
      <c r="H217" s="484"/>
      <c r="I217" s="484"/>
      <c r="J217" s="484"/>
      <c r="K217" s="484"/>
      <c r="L217" s="484"/>
    </row>
    <row r="218" spans="1:12" ht="14.25">
      <c r="A218" s="484"/>
      <c r="B218" s="484"/>
      <c r="C218" s="484"/>
      <c r="D218" s="484"/>
      <c r="E218" s="484"/>
      <c r="F218" s="484"/>
      <c r="G218" s="484"/>
      <c r="H218" s="484"/>
      <c r="I218" s="484"/>
      <c r="J218" s="484"/>
      <c r="K218" s="484"/>
      <c r="L218" s="484"/>
    </row>
    <row r="219" spans="1:12" ht="14.25">
      <c r="A219" s="484"/>
      <c r="B219" s="484"/>
      <c r="C219" s="484"/>
      <c r="D219" s="484"/>
      <c r="E219" s="484"/>
      <c r="F219" s="484"/>
      <c r="G219" s="484"/>
      <c r="H219" s="484"/>
      <c r="I219" s="484"/>
      <c r="J219" s="484"/>
      <c r="K219" s="484"/>
      <c r="L219" s="484"/>
    </row>
    <row r="220" spans="1:12" ht="14.25">
      <c r="A220" s="484"/>
      <c r="B220" s="484"/>
      <c r="C220" s="484"/>
      <c r="D220" s="484"/>
      <c r="E220" s="484"/>
      <c r="F220" s="484"/>
      <c r="G220" s="484"/>
      <c r="H220" s="484"/>
      <c r="I220" s="484"/>
      <c r="J220" s="484"/>
      <c r="K220" s="484"/>
      <c r="L220" s="484"/>
    </row>
    <row r="221" spans="1:12" ht="14.25">
      <c r="A221" s="484"/>
      <c r="B221" s="484"/>
      <c r="C221" s="484"/>
      <c r="D221" s="484"/>
      <c r="E221" s="484"/>
      <c r="F221" s="484"/>
      <c r="G221" s="484"/>
      <c r="H221" s="484"/>
      <c r="I221" s="484"/>
      <c r="J221" s="484"/>
      <c r="K221" s="484"/>
      <c r="L221" s="484"/>
    </row>
    <row r="222" spans="1:12" ht="14.25">
      <c r="A222" s="484"/>
      <c r="B222" s="484"/>
      <c r="C222" s="484"/>
      <c r="D222" s="484"/>
      <c r="E222" s="484"/>
      <c r="F222" s="484"/>
      <c r="G222" s="484"/>
      <c r="H222" s="484"/>
      <c r="I222" s="484"/>
      <c r="J222" s="484"/>
      <c r="K222" s="484"/>
      <c r="L222" s="484"/>
    </row>
    <row r="223" spans="1:12" ht="14.25">
      <c r="A223" s="484"/>
      <c r="B223" s="484"/>
      <c r="C223" s="484"/>
      <c r="D223" s="484"/>
      <c r="E223" s="484"/>
      <c r="F223" s="484"/>
      <c r="G223" s="484"/>
      <c r="H223" s="484"/>
      <c r="I223" s="484"/>
      <c r="J223" s="484"/>
      <c r="K223" s="484"/>
      <c r="L223" s="484"/>
    </row>
    <row r="224" spans="1:12" ht="14.25">
      <c r="A224" s="484"/>
      <c r="B224" s="484"/>
      <c r="C224" s="484"/>
      <c r="D224" s="484"/>
      <c r="E224" s="484"/>
      <c r="F224" s="484"/>
      <c r="G224" s="484"/>
      <c r="H224" s="484"/>
      <c r="I224" s="484"/>
      <c r="J224" s="484"/>
      <c r="K224" s="484"/>
      <c r="L224" s="484"/>
    </row>
    <row r="225" spans="1:12" ht="14.25">
      <c r="A225" s="484"/>
      <c r="B225" s="484"/>
      <c r="C225" s="484"/>
      <c r="D225" s="484"/>
      <c r="E225" s="484"/>
      <c r="F225" s="484"/>
      <c r="G225" s="484"/>
      <c r="H225" s="484"/>
      <c r="I225" s="484"/>
      <c r="J225" s="484"/>
      <c r="K225" s="484"/>
      <c r="L225" s="484"/>
    </row>
    <row r="226" spans="1:12" ht="14.25">
      <c r="A226" s="484"/>
      <c r="B226" s="484"/>
      <c r="C226" s="484"/>
      <c r="D226" s="484"/>
      <c r="E226" s="484"/>
      <c r="F226" s="484"/>
      <c r="G226" s="484"/>
      <c r="H226" s="484"/>
      <c r="I226" s="484"/>
      <c r="J226" s="484"/>
      <c r="K226" s="484"/>
      <c r="L226" s="484"/>
    </row>
    <row r="227" spans="1:12" ht="14.25">
      <c r="A227" s="484"/>
      <c r="B227" s="484"/>
      <c r="C227" s="484"/>
      <c r="D227" s="484"/>
      <c r="E227" s="484"/>
      <c r="F227" s="484"/>
      <c r="G227" s="484"/>
      <c r="H227" s="484"/>
      <c r="I227" s="484"/>
      <c r="J227" s="484"/>
      <c r="K227" s="484"/>
      <c r="L227" s="484"/>
    </row>
    <row r="228" spans="1:12" ht="14.25">
      <c r="A228" s="484"/>
      <c r="B228" s="484"/>
      <c r="C228" s="484"/>
      <c r="D228" s="484"/>
      <c r="E228" s="484"/>
      <c r="F228" s="484"/>
      <c r="G228" s="484"/>
      <c r="H228" s="484"/>
      <c r="I228" s="484"/>
      <c r="J228" s="484"/>
      <c r="K228" s="484"/>
      <c r="L228" s="484"/>
    </row>
    <row r="229" spans="1:12" ht="14.25">
      <c r="A229" s="484"/>
      <c r="B229" s="484"/>
      <c r="C229" s="484"/>
      <c r="D229" s="484"/>
      <c r="E229" s="484"/>
      <c r="F229" s="484"/>
      <c r="G229" s="484"/>
      <c r="H229" s="484"/>
      <c r="I229" s="484"/>
      <c r="J229" s="484"/>
      <c r="K229" s="484"/>
      <c r="L229" s="484"/>
    </row>
    <row r="230" spans="1:12" ht="14.25">
      <c r="A230" s="484"/>
      <c r="B230" s="484"/>
      <c r="C230" s="484"/>
      <c r="D230" s="484"/>
      <c r="E230" s="484"/>
      <c r="F230" s="484"/>
      <c r="G230" s="484"/>
      <c r="H230" s="484"/>
      <c r="I230" s="484"/>
      <c r="J230" s="484"/>
      <c r="K230" s="484"/>
      <c r="L230" s="484"/>
    </row>
    <row r="231" spans="1:12" ht="14.25">
      <c r="A231" s="484"/>
      <c r="B231" s="484"/>
      <c r="C231" s="484"/>
      <c r="D231" s="484"/>
      <c r="E231" s="484"/>
      <c r="F231" s="484"/>
      <c r="G231" s="484"/>
      <c r="H231" s="484"/>
      <c r="I231" s="484"/>
      <c r="J231" s="484"/>
      <c r="K231" s="484"/>
      <c r="L231" s="484"/>
    </row>
    <row r="232" spans="1:12" ht="14.25">
      <c r="A232" s="484"/>
      <c r="B232" s="484"/>
      <c r="C232" s="484"/>
      <c r="D232" s="484"/>
      <c r="E232" s="484"/>
      <c r="F232" s="484"/>
      <c r="G232" s="484"/>
      <c r="H232" s="484"/>
      <c r="I232" s="484"/>
      <c r="J232" s="484"/>
      <c r="K232" s="484"/>
      <c r="L232" s="484"/>
    </row>
    <row r="233" spans="1:12" ht="14.25">
      <c r="A233" s="484"/>
      <c r="B233" s="484"/>
      <c r="C233" s="484"/>
      <c r="D233" s="484"/>
      <c r="E233" s="484"/>
      <c r="F233" s="484"/>
      <c r="G233" s="484"/>
      <c r="H233" s="484"/>
      <c r="I233" s="484"/>
      <c r="J233" s="484"/>
      <c r="K233" s="484"/>
      <c r="L233" s="484"/>
    </row>
    <row r="234" spans="1:12" ht="14.25">
      <c r="A234" s="484"/>
      <c r="B234" s="484"/>
      <c r="C234" s="484"/>
      <c r="D234" s="484"/>
      <c r="E234" s="484"/>
      <c r="F234" s="484"/>
      <c r="G234" s="484"/>
      <c r="H234" s="484"/>
      <c r="I234" s="484"/>
      <c r="J234" s="484"/>
      <c r="K234" s="484"/>
      <c r="L234" s="484"/>
    </row>
    <row r="235" spans="1:12" ht="14.25">
      <c r="A235" s="484"/>
      <c r="B235" s="484"/>
      <c r="C235" s="484"/>
      <c r="D235" s="484"/>
      <c r="E235" s="484"/>
      <c r="F235" s="484"/>
      <c r="G235" s="484"/>
      <c r="H235" s="484"/>
      <c r="I235" s="484"/>
      <c r="J235" s="484"/>
      <c r="K235" s="484"/>
      <c r="L235" s="484"/>
    </row>
    <row r="236" spans="1:12" ht="14.25">
      <c r="A236" s="484"/>
      <c r="B236" s="484"/>
      <c r="C236" s="484"/>
      <c r="D236" s="484"/>
      <c r="E236" s="484"/>
      <c r="F236" s="484"/>
      <c r="G236" s="484"/>
      <c r="H236" s="484"/>
      <c r="I236" s="484"/>
      <c r="J236" s="484"/>
      <c r="K236" s="484"/>
      <c r="L236" s="484"/>
    </row>
    <row r="237" spans="1:12" ht="14.25">
      <c r="A237" s="484"/>
      <c r="B237" s="484"/>
      <c r="C237" s="484"/>
      <c r="D237" s="484"/>
      <c r="E237" s="484"/>
      <c r="F237" s="484"/>
      <c r="G237" s="484"/>
      <c r="H237" s="484"/>
      <c r="I237" s="484"/>
      <c r="J237" s="484"/>
      <c r="K237" s="484"/>
      <c r="L237" s="484"/>
    </row>
    <row r="238" spans="1:12" ht="14.25">
      <c r="A238" s="484"/>
      <c r="B238" s="484"/>
      <c r="C238" s="484"/>
      <c r="D238" s="484"/>
      <c r="E238" s="484"/>
      <c r="F238" s="484"/>
      <c r="G238" s="484"/>
      <c r="H238" s="484"/>
      <c r="I238" s="484"/>
      <c r="J238" s="484"/>
      <c r="K238" s="484"/>
      <c r="L238" s="484"/>
    </row>
    <row r="239" spans="1:12" ht="14.25">
      <c r="A239" s="484"/>
      <c r="B239" s="484"/>
      <c r="C239" s="484"/>
      <c r="D239" s="484"/>
      <c r="E239" s="484"/>
      <c r="F239" s="484"/>
      <c r="G239" s="484"/>
      <c r="H239" s="484"/>
      <c r="I239" s="484"/>
      <c r="J239" s="484"/>
      <c r="K239" s="484"/>
      <c r="L239" s="484"/>
    </row>
    <row r="240" spans="1:12" ht="14.25">
      <c r="A240" s="484"/>
      <c r="B240" s="484"/>
      <c r="C240" s="484"/>
      <c r="D240" s="484"/>
      <c r="E240" s="484"/>
      <c r="F240" s="484"/>
      <c r="G240" s="484"/>
      <c r="H240" s="484"/>
      <c r="I240" s="484"/>
      <c r="J240" s="484"/>
      <c r="K240" s="484"/>
      <c r="L240" s="484"/>
    </row>
    <row r="241" spans="1:12" ht="14.25">
      <c r="A241" s="484"/>
      <c r="B241" s="484"/>
      <c r="C241" s="484"/>
      <c r="D241" s="484"/>
      <c r="E241" s="484"/>
      <c r="F241" s="484"/>
      <c r="G241" s="484"/>
      <c r="H241" s="484"/>
      <c r="I241" s="484"/>
      <c r="J241" s="484"/>
      <c r="K241" s="484"/>
      <c r="L241" s="484"/>
    </row>
    <row r="242" spans="1:12" ht="14.25">
      <c r="A242" s="484"/>
      <c r="B242" s="484"/>
      <c r="C242" s="484"/>
      <c r="D242" s="484"/>
      <c r="E242" s="484"/>
      <c r="F242" s="484"/>
      <c r="G242" s="484"/>
      <c r="H242" s="484"/>
      <c r="I242" s="484"/>
      <c r="J242" s="484"/>
      <c r="K242" s="484"/>
      <c r="L242" s="484"/>
    </row>
    <row r="243" spans="1:12" ht="14.25">
      <c r="A243" s="484"/>
      <c r="B243" s="484"/>
      <c r="C243" s="484"/>
      <c r="D243" s="484"/>
      <c r="E243" s="484"/>
      <c r="F243" s="484"/>
      <c r="G243" s="484"/>
      <c r="H243" s="484"/>
      <c r="I243" s="484"/>
      <c r="J243" s="484"/>
      <c r="K243" s="484"/>
      <c r="L243" s="484"/>
    </row>
    <row r="244" spans="1:12" ht="14.25">
      <c r="A244" s="484"/>
      <c r="B244" s="484"/>
      <c r="C244" s="484"/>
      <c r="D244" s="484"/>
      <c r="E244" s="484"/>
      <c r="F244" s="484"/>
      <c r="G244" s="484"/>
      <c r="H244" s="484"/>
      <c r="I244" s="484"/>
      <c r="J244" s="484"/>
      <c r="K244" s="484"/>
      <c r="L244" s="484"/>
    </row>
    <row r="245" spans="1:12" ht="14.25">
      <c r="A245" s="484"/>
      <c r="B245" s="484"/>
      <c r="C245" s="484"/>
      <c r="D245" s="484"/>
      <c r="E245" s="484"/>
      <c r="F245" s="484"/>
      <c r="G245" s="484"/>
      <c r="H245" s="484"/>
      <c r="I245" s="484"/>
      <c r="J245" s="484"/>
      <c r="K245" s="484"/>
      <c r="L245" s="484"/>
    </row>
    <row r="246" spans="1:12" ht="14.25">
      <c r="A246" s="484"/>
      <c r="B246" s="484"/>
      <c r="C246" s="484"/>
      <c r="D246" s="484"/>
      <c r="E246" s="484"/>
      <c r="F246" s="484"/>
      <c r="G246" s="484"/>
      <c r="H246" s="484"/>
      <c r="I246" s="484"/>
      <c r="J246" s="484"/>
      <c r="K246" s="484"/>
      <c r="L246" s="484"/>
    </row>
    <row r="247" spans="1:12" ht="14.25">
      <c r="A247" s="484"/>
      <c r="B247" s="484"/>
      <c r="C247" s="484"/>
      <c r="D247" s="484"/>
      <c r="E247" s="484"/>
      <c r="F247" s="484"/>
      <c r="G247" s="484"/>
      <c r="H247" s="484"/>
      <c r="I247" s="484"/>
      <c r="J247" s="484"/>
      <c r="K247" s="484"/>
      <c r="L247" s="484"/>
    </row>
    <row r="248" spans="1:12" ht="14.25">
      <c r="A248" s="484"/>
      <c r="B248" s="484"/>
      <c r="C248" s="484"/>
      <c r="D248" s="484"/>
      <c r="E248" s="484"/>
      <c r="F248" s="484"/>
      <c r="G248" s="484"/>
      <c r="H248" s="484"/>
      <c r="I248" s="484"/>
      <c r="J248" s="484"/>
      <c r="K248" s="484"/>
      <c r="L248" s="484"/>
    </row>
    <row r="249" spans="1:12" ht="14.25">
      <c r="A249" s="484"/>
      <c r="B249" s="484"/>
      <c r="C249" s="484"/>
      <c r="D249" s="484"/>
      <c r="E249" s="484"/>
      <c r="F249" s="484"/>
      <c r="G249" s="484"/>
      <c r="H249" s="484"/>
      <c r="I249" s="484"/>
      <c r="J249" s="484"/>
      <c r="K249" s="484"/>
      <c r="L249" s="484"/>
    </row>
    <row r="250" spans="1:12" ht="14.25">
      <c r="A250" s="484"/>
      <c r="B250" s="484"/>
      <c r="C250" s="484"/>
      <c r="D250" s="484"/>
      <c r="E250" s="484"/>
      <c r="F250" s="484"/>
      <c r="G250" s="484"/>
      <c r="H250" s="484"/>
      <c r="I250" s="484"/>
      <c r="J250" s="484"/>
      <c r="K250" s="484"/>
      <c r="L250" s="484"/>
    </row>
    <row r="251" spans="1:12" ht="14.25">
      <c r="A251" s="484"/>
      <c r="B251" s="484"/>
      <c r="C251" s="484"/>
      <c r="D251" s="484"/>
      <c r="E251" s="484"/>
      <c r="F251" s="484"/>
      <c r="G251" s="484"/>
      <c r="H251" s="484"/>
      <c r="I251" s="484"/>
      <c r="J251" s="484"/>
      <c r="K251" s="484"/>
      <c r="L251" s="484"/>
    </row>
    <row r="252" spans="1:12" ht="14.25">
      <c r="A252" s="484"/>
      <c r="B252" s="484"/>
      <c r="C252" s="484"/>
      <c r="D252" s="484"/>
      <c r="E252" s="484"/>
      <c r="F252" s="484"/>
      <c r="G252" s="484"/>
      <c r="H252" s="484"/>
      <c r="I252" s="484"/>
      <c r="J252" s="484"/>
      <c r="K252" s="484"/>
      <c r="L252" s="484"/>
    </row>
    <row r="253" spans="1:12" ht="14.25">
      <c r="A253" s="484"/>
      <c r="B253" s="484"/>
      <c r="C253" s="484"/>
      <c r="D253" s="484"/>
      <c r="E253" s="484"/>
      <c r="F253" s="484"/>
      <c r="G253" s="484"/>
      <c r="H253" s="484"/>
      <c r="I253" s="484"/>
      <c r="J253" s="484"/>
      <c r="K253" s="484"/>
      <c r="L253" s="484"/>
    </row>
    <row r="254" spans="1:12" ht="14.25">
      <c r="A254" s="484"/>
      <c r="B254" s="484"/>
      <c r="C254" s="484"/>
      <c r="D254" s="484"/>
      <c r="E254" s="484"/>
      <c r="F254" s="484"/>
      <c r="G254" s="484"/>
      <c r="H254" s="484"/>
      <c r="I254" s="484"/>
      <c r="J254" s="484"/>
      <c r="K254" s="484"/>
      <c r="L254" s="484"/>
    </row>
    <row r="255" spans="1:12" ht="14.25">
      <c r="A255" s="484"/>
      <c r="B255" s="484"/>
      <c r="C255" s="484"/>
      <c r="D255" s="484"/>
      <c r="E255" s="484"/>
      <c r="F255" s="484"/>
      <c r="G255" s="484"/>
      <c r="H255" s="484"/>
      <c r="I255" s="484"/>
      <c r="J255" s="484"/>
      <c r="K255" s="484"/>
      <c r="L255" s="484"/>
    </row>
    <row r="256" spans="1:12" ht="14.25">
      <c r="A256" s="484"/>
      <c r="B256" s="484"/>
      <c r="C256" s="484"/>
      <c r="D256" s="484"/>
      <c r="E256" s="484"/>
      <c r="F256" s="484"/>
      <c r="G256" s="484"/>
      <c r="H256" s="484"/>
      <c r="I256" s="484"/>
      <c r="J256" s="484"/>
      <c r="K256" s="484"/>
      <c r="L256" s="484"/>
    </row>
    <row r="257" spans="1:12" ht="14.25">
      <c r="A257" s="484"/>
      <c r="B257" s="484"/>
      <c r="C257" s="484"/>
      <c r="D257" s="484"/>
      <c r="E257" s="484"/>
      <c r="F257" s="484"/>
      <c r="G257" s="484"/>
      <c r="H257" s="484"/>
      <c r="I257" s="484"/>
      <c r="J257" s="484"/>
      <c r="K257" s="484"/>
      <c r="L257" s="484"/>
    </row>
    <row r="258" spans="1:12" ht="14.25">
      <c r="A258" s="484"/>
      <c r="B258" s="484"/>
      <c r="C258" s="484"/>
      <c r="D258" s="484"/>
      <c r="E258" s="484"/>
      <c r="F258" s="484"/>
      <c r="G258" s="484"/>
      <c r="H258" s="484"/>
      <c r="I258" s="484"/>
      <c r="J258" s="484"/>
      <c r="K258" s="484"/>
      <c r="L258" s="484"/>
    </row>
    <row r="259" spans="1:12" ht="14.25">
      <c r="A259" s="484"/>
      <c r="B259" s="484"/>
      <c r="C259" s="484"/>
      <c r="D259" s="484"/>
      <c r="E259" s="484"/>
      <c r="F259" s="484"/>
      <c r="G259" s="484"/>
      <c r="H259" s="484"/>
      <c r="I259" s="484"/>
      <c r="J259" s="484"/>
      <c r="K259" s="484"/>
      <c r="L259" s="484"/>
    </row>
    <row r="260" spans="1:12" ht="14.25">
      <c r="A260" s="484"/>
      <c r="B260" s="484"/>
      <c r="C260" s="484"/>
      <c r="D260" s="484"/>
      <c r="E260" s="484"/>
      <c r="F260" s="484"/>
      <c r="G260" s="484"/>
      <c r="H260" s="484"/>
      <c r="I260" s="484"/>
      <c r="J260" s="484"/>
      <c r="K260" s="484"/>
      <c r="L260" s="484"/>
    </row>
    <row r="261" spans="1:12" ht="14.25">
      <c r="A261" s="484"/>
      <c r="B261" s="484"/>
      <c r="C261" s="484"/>
      <c r="D261" s="484"/>
      <c r="E261" s="484"/>
      <c r="F261" s="484"/>
      <c r="G261" s="484"/>
      <c r="H261" s="484"/>
      <c r="I261" s="484"/>
      <c r="J261" s="484"/>
      <c r="K261" s="484"/>
      <c r="L261" s="484"/>
    </row>
    <row r="262" spans="1:12" ht="14.25">
      <c r="A262" s="484"/>
      <c r="B262" s="484"/>
      <c r="C262" s="484"/>
      <c r="D262" s="484"/>
      <c r="E262" s="484"/>
      <c r="F262" s="484"/>
      <c r="G262" s="484"/>
      <c r="H262" s="484"/>
      <c r="I262" s="484"/>
      <c r="J262" s="484"/>
      <c r="K262" s="484"/>
      <c r="L262" s="484"/>
    </row>
    <row r="263" spans="1:12" ht="14.25">
      <c r="A263" s="484"/>
      <c r="B263" s="484"/>
      <c r="C263" s="484"/>
      <c r="D263" s="484"/>
      <c r="E263" s="484"/>
      <c r="F263" s="484"/>
      <c r="G263" s="484"/>
      <c r="H263" s="484"/>
      <c r="I263" s="484"/>
      <c r="J263" s="484"/>
      <c r="K263" s="484"/>
      <c r="L263" s="484"/>
    </row>
    <row r="264" spans="1:12" ht="14.25">
      <c r="A264" s="484"/>
      <c r="B264" s="484"/>
      <c r="C264" s="484"/>
      <c r="D264" s="484"/>
      <c r="E264" s="484"/>
      <c r="F264" s="484"/>
      <c r="G264" s="484"/>
      <c r="H264" s="484"/>
      <c r="I264" s="484"/>
      <c r="J264" s="484"/>
      <c r="K264" s="484"/>
      <c r="L264" s="484"/>
    </row>
    <row r="265" spans="1:12" ht="14.25">
      <c r="A265" s="484"/>
      <c r="B265" s="484"/>
      <c r="C265" s="484"/>
      <c r="D265" s="484"/>
      <c r="E265" s="484"/>
      <c r="F265" s="484"/>
      <c r="G265" s="484"/>
      <c r="H265" s="484"/>
      <c r="I265" s="484"/>
      <c r="J265" s="484"/>
      <c r="K265" s="484"/>
      <c r="L265" s="484"/>
    </row>
    <row r="266" spans="1:12" ht="14.25">
      <c r="A266" s="484"/>
      <c r="B266" s="484"/>
      <c r="C266" s="484"/>
      <c r="D266" s="484"/>
      <c r="E266" s="484"/>
      <c r="F266" s="484"/>
      <c r="G266" s="484"/>
      <c r="H266" s="484"/>
      <c r="I266" s="484"/>
      <c r="J266" s="484"/>
      <c r="K266" s="484"/>
      <c r="L266" s="484"/>
    </row>
    <row r="267" spans="1:12" ht="14.25">
      <c r="A267" s="484"/>
      <c r="B267" s="484"/>
      <c r="C267" s="484"/>
      <c r="D267" s="484"/>
      <c r="E267" s="484"/>
      <c r="F267" s="484"/>
      <c r="G267" s="484"/>
      <c r="H267" s="484"/>
      <c r="I267" s="484"/>
      <c r="J267" s="484"/>
      <c r="K267" s="484"/>
      <c r="L267" s="484"/>
    </row>
    <row r="268" spans="1:12" ht="14.25">
      <c r="A268" s="484"/>
      <c r="B268" s="484"/>
      <c r="C268" s="484"/>
      <c r="D268" s="484"/>
      <c r="E268" s="484"/>
      <c r="F268" s="484"/>
      <c r="G268" s="484"/>
      <c r="H268" s="484"/>
      <c r="I268" s="484"/>
      <c r="J268" s="484"/>
      <c r="K268" s="484"/>
      <c r="L268" s="484"/>
    </row>
    <row r="269" spans="1:12" ht="14.25">
      <c r="A269" s="484"/>
      <c r="B269" s="484"/>
      <c r="C269" s="484"/>
      <c r="D269" s="484"/>
      <c r="E269" s="484"/>
      <c r="F269" s="484"/>
      <c r="G269" s="484"/>
      <c r="H269" s="484"/>
      <c r="I269" s="484"/>
      <c r="J269" s="484"/>
      <c r="K269" s="484"/>
      <c r="L269" s="484"/>
    </row>
    <row r="270" spans="1:12" ht="14.25">
      <c r="A270" s="484"/>
      <c r="B270" s="484"/>
      <c r="C270" s="484"/>
      <c r="D270" s="484"/>
      <c r="E270" s="484"/>
      <c r="F270" s="484"/>
      <c r="G270" s="484"/>
      <c r="H270" s="484"/>
      <c r="I270" s="484"/>
      <c r="J270" s="484"/>
      <c r="K270" s="484"/>
      <c r="L270" s="484"/>
    </row>
    <row r="271" spans="1:12" ht="14.25">
      <c r="A271" s="484"/>
      <c r="B271" s="484"/>
      <c r="C271" s="484"/>
      <c r="D271" s="484"/>
      <c r="E271" s="484"/>
      <c r="F271" s="484"/>
      <c r="G271" s="484"/>
      <c r="H271" s="484"/>
      <c r="I271" s="484"/>
      <c r="J271" s="484"/>
      <c r="K271" s="484"/>
      <c r="L271" s="484"/>
    </row>
    <row r="272" spans="1:12" ht="14.25">
      <c r="A272" s="484"/>
      <c r="B272" s="484"/>
      <c r="C272" s="484"/>
      <c r="D272" s="484"/>
      <c r="E272" s="484"/>
      <c r="F272" s="484"/>
      <c r="G272" s="484"/>
      <c r="H272" s="484"/>
      <c r="I272" s="484"/>
      <c r="J272" s="484"/>
      <c r="K272" s="484"/>
      <c r="L272" s="484"/>
    </row>
    <row r="273" spans="1:12" ht="14.25">
      <c r="A273" s="484"/>
      <c r="B273" s="484"/>
      <c r="C273" s="484"/>
      <c r="D273" s="484"/>
      <c r="E273" s="484"/>
      <c r="F273" s="484"/>
      <c r="G273" s="484"/>
      <c r="H273" s="484"/>
      <c r="I273" s="484"/>
      <c r="J273" s="484"/>
      <c r="K273" s="484"/>
      <c r="L273" s="484"/>
    </row>
    <row r="274" spans="1:12" ht="14.25">
      <c r="A274" s="484"/>
      <c r="B274" s="484"/>
      <c r="C274" s="484"/>
      <c r="D274" s="484"/>
      <c r="E274" s="484"/>
      <c r="F274" s="484"/>
      <c r="G274" s="484"/>
      <c r="H274" s="484"/>
      <c r="I274" s="484"/>
      <c r="J274" s="484"/>
      <c r="K274" s="484"/>
      <c r="L274" s="484"/>
    </row>
    <row r="275" spans="1:12" ht="14.25">
      <c r="A275" s="484"/>
      <c r="B275" s="484"/>
      <c r="C275" s="484"/>
      <c r="D275" s="484"/>
      <c r="E275" s="484"/>
      <c r="F275" s="484"/>
      <c r="G275" s="484"/>
      <c r="H275" s="484"/>
      <c r="I275" s="484"/>
      <c r="J275" s="484"/>
      <c r="K275" s="484"/>
      <c r="L275" s="484"/>
    </row>
    <row r="276" spans="1:12" ht="14.25">
      <c r="A276" s="484"/>
      <c r="B276" s="484"/>
      <c r="C276" s="484"/>
      <c r="D276" s="484"/>
      <c r="E276" s="484"/>
      <c r="F276" s="484"/>
      <c r="G276" s="484"/>
      <c r="H276" s="484"/>
      <c r="I276" s="484"/>
      <c r="J276" s="484"/>
      <c r="K276" s="484"/>
      <c r="L276" s="484"/>
    </row>
    <row r="277" spans="1:12" ht="14.25">
      <c r="A277" s="484"/>
      <c r="B277" s="484"/>
      <c r="C277" s="484"/>
      <c r="D277" s="484"/>
      <c r="E277" s="484"/>
      <c r="F277" s="484"/>
      <c r="G277" s="484"/>
      <c r="H277" s="484"/>
      <c r="I277" s="484"/>
      <c r="J277" s="484"/>
      <c r="K277" s="484"/>
      <c r="L277" s="484"/>
    </row>
    <row r="278" spans="1:12" ht="14.25">
      <c r="A278" s="484"/>
      <c r="B278" s="484"/>
      <c r="C278" s="484"/>
      <c r="D278" s="484"/>
      <c r="E278" s="484"/>
      <c r="F278" s="484"/>
      <c r="G278" s="484"/>
      <c r="H278" s="484"/>
      <c r="I278" s="484"/>
      <c r="J278" s="484"/>
      <c r="K278" s="484"/>
      <c r="L278" s="484"/>
    </row>
    <row r="279" spans="1:12" ht="14.25">
      <c r="A279" s="484"/>
      <c r="B279" s="484"/>
      <c r="C279" s="484"/>
      <c r="D279" s="484"/>
      <c r="E279" s="484"/>
      <c r="F279" s="484"/>
      <c r="G279" s="484"/>
      <c r="H279" s="484"/>
      <c r="I279" s="484"/>
      <c r="J279" s="484"/>
      <c r="K279" s="484"/>
      <c r="L279" s="484"/>
    </row>
    <row r="280" spans="1:12" ht="14.25">
      <c r="A280" s="484"/>
      <c r="B280" s="484"/>
      <c r="C280" s="484"/>
      <c r="D280" s="484"/>
      <c r="E280" s="484"/>
      <c r="F280" s="484"/>
      <c r="G280" s="484"/>
      <c r="H280" s="484"/>
      <c r="I280" s="484"/>
      <c r="J280" s="484"/>
      <c r="K280" s="484"/>
      <c r="L280" s="484"/>
    </row>
    <row r="281" spans="1:12" ht="14.25">
      <c r="A281" s="484"/>
      <c r="B281" s="484"/>
      <c r="C281" s="484"/>
      <c r="D281" s="484"/>
      <c r="E281" s="484"/>
      <c r="F281" s="484"/>
      <c r="G281" s="484"/>
      <c r="H281" s="484"/>
      <c r="I281" s="484"/>
      <c r="J281" s="484"/>
      <c r="K281" s="484"/>
      <c r="L281" s="484"/>
    </row>
    <row r="282" spans="1:12" ht="14.25">
      <c r="A282" s="484"/>
      <c r="B282" s="484"/>
      <c r="C282" s="484"/>
      <c r="D282" s="484"/>
      <c r="E282" s="484"/>
      <c r="F282" s="484"/>
      <c r="G282" s="484"/>
      <c r="H282" s="484"/>
      <c r="I282" s="484"/>
      <c r="J282" s="484"/>
      <c r="K282" s="484"/>
      <c r="L282" s="484"/>
    </row>
    <row r="283" spans="1:12" ht="14.25">
      <c r="A283" s="484"/>
      <c r="B283" s="484"/>
      <c r="C283" s="484"/>
      <c r="D283" s="484"/>
      <c r="E283" s="484"/>
      <c r="F283" s="484"/>
      <c r="G283" s="484"/>
      <c r="H283" s="484"/>
      <c r="I283" s="484"/>
      <c r="J283" s="484"/>
      <c r="K283" s="484"/>
      <c r="L283" s="484"/>
    </row>
    <row r="284" spans="1:12" ht="14.25">
      <c r="A284" s="484"/>
      <c r="B284" s="484"/>
      <c r="C284" s="484"/>
      <c r="D284" s="484"/>
      <c r="E284" s="484"/>
      <c r="F284" s="484"/>
      <c r="G284" s="484"/>
      <c r="H284" s="484"/>
      <c r="I284" s="484"/>
      <c r="J284" s="484"/>
      <c r="K284" s="484"/>
      <c r="L284" s="484"/>
    </row>
    <row r="285" spans="1:12" ht="14.25">
      <c r="A285" s="484"/>
      <c r="B285" s="484"/>
      <c r="C285" s="484"/>
      <c r="D285" s="484"/>
      <c r="E285" s="484"/>
      <c r="F285" s="484"/>
      <c r="G285" s="484"/>
      <c r="H285" s="484"/>
      <c r="I285" s="484"/>
      <c r="J285" s="484"/>
      <c r="K285" s="484"/>
      <c r="L285" s="484"/>
    </row>
    <row r="286" spans="1:12" ht="14.25">
      <c r="A286" s="484"/>
      <c r="B286" s="484"/>
      <c r="C286" s="484"/>
      <c r="D286" s="484"/>
      <c r="E286" s="484"/>
      <c r="F286" s="484"/>
      <c r="G286" s="484"/>
      <c r="H286" s="484"/>
      <c r="I286" s="484"/>
      <c r="J286" s="484"/>
      <c r="K286" s="484"/>
      <c r="L286" s="484"/>
    </row>
    <row r="287" spans="1:12" ht="14.25">
      <c r="A287" s="484"/>
      <c r="B287" s="484"/>
      <c r="C287" s="484"/>
      <c r="D287" s="484"/>
      <c r="E287" s="484"/>
      <c r="F287" s="484"/>
      <c r="G287" s="484"/>
      <c r="H287" s="484"/>
      <c r="I287" s="484"/>
      <c r="J287" s="484"/>
      <c r="K287" s="484"/>
      <c r="L287" s="484"/>
    </row>
    <row r="288" spans="1:12" ht="14.25">
      <c r="A288" s="484"/>
      <c r="B288" s="484"/>
      <c r="C288" s="484"/>
      <c r="D288" s="484"/>
      <c r="E288" s="484"/>
      <c r="F288" s="484"/>
      <c r="G288" s="484"/>
      <c r="H288" s="484"/>
      <c r="I288" s="484"/>
      <c r="J288" s="484"/>
      <c r="K288" s="484"/>
      <c r="L288" s="484"/>
    </row>
    <row r="289" spans="1:12" ht="14.25">
      <c r="A289" s="484"/>
      <c r="B289" s="484"/>
      <c r="C289" s="484"/>
      <c r="D289" s="484"/>
      <c r="E289" s="484"/>
      <c r="F289" s="484"/>
      <c r="G289" s="484"/>
      <c r="H289" s="484"/>
      <c r="I289" s="484"/>
      <c r="J289" s="484"/>
      <c r="K289" s="484"/>
      <c r="L289" s="484"/>
    </row>
    <row r="290" spans="1:12" ht="14.25">
      <c r="A290" s="484"/>
      <c r="B290" s="484"/>
      <c r="C290" s="484"/>
      <c r="D290" s="484"/>
      <c r="E290" s="484"/>
      <c r="F290" s="484"/>
      <c r="G290" s="484"/>
      <c r="H290" s="484"/>
      <c r="I290" s="484"/>
      <c r="J290" s="484"/>
      <c r="K290" s="484"/>
      <c r="L290" s="484"/>
    </row>
    <row r="291" spans="1:12" ht="14.25">
      <c r="A291" s="484"/>
      <c r="B291" s="484"/>
      <c r="C291" s="484"/>
      <c r="D291" s="484"/>
      <c r="E291" s="484"/>
      <c r="F291" s="484"/>
      <c r="G291" s="484"/>
      <c r="H291" s="484"/>
      <c r="I291" s="484"/>
      <c r="J291" s="484"/>
      <c r="K291" s="484"/>
      <c r="L291" s="484"/>
    </row>
    <row r="292" spans="1:12" ht="14.25">
      <c r="A292" s="484"/>
      <c r="B292" s="484"/>
      <c r="C292" s="484"/>
      <c r="D292" s="484"/>
      <c r="E292" s="484"/>
      <c r="F292" s="484"/>
      <c r="G292" s="484"/>
      <c r="H292" s="484"/>
      <c r="I292" s="484"/>
      <c r="J292" s="484"/>
      <c r="K292" s="484"/>
      <c r="L292" s="484"/>
    </row>
    <row r="293" spans="1:12" ht="14.25">
      <c r="A293" s="484"/>
      <c r="B293" s="484"/>
      <c r="C293" s="484"/>
      <c r="D293" s="484"/>
      <c r="E293" s="484"/>
      <c r="F293" s="484"/>
      <c r="G293" s="484"/>
      <c r="H293" s="484"/>
      <c r="I293" s="484"/>
      <c r="J293" s="484"/>
      <c r="K293" s="484"/>
      <c r="L293" s="484"/>
    </row>
    <row r="294" spans="1:12" ht="14.25">
      <c r="A294" s="484"/>
      <c r="B294" s="484"/>
      <c r="C294" s="484"/>
      <c r="D294" s="484"/>
      <c r="E294" s="484"/>
      <c r="F294" s="484"/>
      <c r="G294" s="484"/>
      <c r="H294" s="484"/>
      <c r="I294" s="484"/>
      <c r="J294" s="484"/>
      <c r="K294" s="484"/>
      <c r="L294" s="484"/>
    </row>
    <row r="295" spans="1:12" ht="14.25">
      <c r="A295" s="484"/>
      <c r="B295" s="484"/>
      <c r="C295" s="484"/>
      <c r="D295" s="484"/>
      <c r="E295" s="484"/>
      <c r="F295" s="484"/>
      <c r="G295" s="484"/>
      <c r="H295" s="484"/>
      <c r="I295" s="484"/>
      <c r="J295" s="484"/>
      <c r="K295" s="484"/>
      <c r="L295" s="484"/>
    </row>
    <row r="296" spans="1:12" ht="14.25">
      <c r="A296" s="484"/>
      <c r="B296" s="484"/>
      <c r="C296" s="484"/>
      <c r="D296" s="484"/>
      <c r="E296" s="484"/>
      <c r="F296" s="484"/>
      <c r="G296" s="484"/>
      <c r="H296" s="484"/>
      <c r="I296" s="484"/>
      <c r="J296" s="484"/>
      <c r="K296" s="484"/>
      <c r="L296" s="484"/>
    </row>
    <row r="297" spans="1:12" ht="14.25">
      <c r="A297" s="484"/>
      <c r="B297" s="484"/>
      <c r="C297" s="484"/>
      <c r="D297" s="484"/>
      <c r="E297" s="484"/>
      <c r="F297" s="484"/>
      <c r="G297" s="484"/>
      <c r="H297" s="484"/>
      <c r="I297" s="484"/>
      <c r="J297" s="484"/>
      <c r="K297" s="484"/>
      <c r="L297" s="484"/>
    </row>
    <row r="298" spans="1:12" ht="14.25">
      <c r="A298" s="484"/>
      <c r="B298" s="484"/>
      <c r="C298" s="484"/>
      <c r="D298" s="484"/>
      <c r="E298" s="484"/>
      <c r="F298" s="484"/>
      <c r="G298" s="484"/>
      <c r="H298" s="484"/>
      <c r="I298" s="484"/>
      <c r="J298" s="484"/>
      <c r="K298" s="484"/>
      <c r="L298" s="484"/>
    </row>
    <row r="299" spans="1:12" ht="14.25">
      <c r="A299" s="484"/>
      <c r="B299" s="484"/>
      <c r="C299" s="484"/>
      <c r="D299" s="484"/>
      <c r="E299" s="484"/>
      <c r="F299" s="484"/>
      <c r="G299" s="484"/>
      <c r="H299" s="484"/>
      <c r="I299" s="484"/>
      <c r="J299" s="484"/>
      <c r="K299" s="484"/>
      <c r="L299" s="484"/>
    </row>
    <row r="300" spans="1:12" ht="14.25">
      <c r="A300" s="484"/>
      <c r="B300" s="484"/>
      <c r="C300" s="484"/>
      <c r="D300" s="484"/>
      <c r="E300" s="484"/>
      <c r="F300" s="484"/>
      <c r="G300" s="484"/>
      <c r="H300" s="484"/>
      <c r="I300" s="484"/>
      <c r="J300" s="484"/>
      <c r="K300" s="484"/>
      <c r="L300" s="484"/>
    </row>
    <row r="301" spans="1:12" ht="14.25">
      <c r="A301" s="484"/>
      <c r="B301" s="484"/>
      <c r="C301" s="484"/>
      <c r="D301" s="484"/>
      <c r="E301" s="484"/>
      <c r="F301" s="484"/>
      <c r="G301" s="484"/>
      <c r="H301" s="484"/>
      <c r="I301" s="484"/>
      <c r="J301" s="484"/>
      <c r="K301" s="484"/>
      <c r="L301" s="484"/>
    </row>
    <row r="302" spans="1:12" ht="14.25">
      <c r="A302" s="484"/>
      <c r="B302" s="484"/>
      <c r="C302" s="484"/>
      <c r="D302" s="484"/>
      <c r="E302" s="484"/>
      <c r="F302" s="484"/>
      <c r="G302" s="484"/>
      <c r="H302" s="484"/>
      <c r="I302" s="484"/>
      <c r="J302" s="484"/>
      <c r="K302" s="484"/>
      <c r="L302" s="484"/>
    </row>
    <row r="303" spans="1:12" ht="14.25">
      <c r="A303" s="484"/>
      <c r="B303" s="484"/>
      <c r="C303" s="484"/>
      <c r="D303" s="484"/>
      <c r="E303" s="484"/>
      <c r="F303" s="484"/>
      <c r="G303" s="484"/>
      <c r="H303" s="484"/>
      <c r="I303" s="484"/>
      <c r="J303" s="484"/>
      <c r="K303" s="484"/>
      <c r="L303" s="484"/>
    </row>
    <row r="304" spans="1:12" ht="14.25">
      <c r="A304" s="484"/>
      <c r="B304" s="484"/>
      <c r="C304" s="484"/>
      <c r="D304" s="484"/>
      <c r="E304" s="484"/>
      <c r="F304" s="484"/>
      <c r="G304" s="484"/>
      <c r="H304" s="484"/>
      <c r="I304" s="484"/>
      <c r="J304" s="484"/>
      <c r="K304" s="484"/>
      <c r="L304" s="484"/>
    </row>
    <row r="305" spans="1:12" ht="14.25">
      <c r="A305" s="484"/>
      <c r="B305" s="484"/>
      <c r="C305" s="484"/>
      <c r="D305" s="484"/>
      <c r="E305" s="484"/>
      <c r="F305" s="484"/>
      <c r="G305" s="484"/>
      <c r="H305" s="484"/>
      <c r="I305" s="484"/>
      <c r="J305" s="484"/>
      <c r="K305" s="484"/>
      <c r="L305" s="484"/>
    </row>
    <row r="306" spans="1:12" ht="14.25">
      <c r="A306" s="484"/>
      <c r="B306" s="484"/>
      <c r="C306" s="484"/>
      <c r="D306" s="484"/>
      <c r="E306" s="484"/>
      <c r="F306" s="484"/>
      <c r="G306" s="484"/>
      <c r="H306" s="484"/>
      <c r="I306" s="484"/>
      <c r="J306" s="484"/>
      <c r="K306" s="484"/>
      <c r="L306" s="484"/>
    </row>
    <row r="307" spans="1:12" ht="14.25">
      <c r="A307" s="484"/>
      <c r="B307" s="484"/>
      <c r="C307" s="484"/>
      <c r="D307" s="484"/>
      <c r="E307" s="484"/>
      <c r="F307" s="484"/>
      <c r="G307" s="484"/>
      <c r="H307" s="484"/>
      <c r="I307" s="484"/>
      <c r="J307" s="484"/>
      <c r="K307" s="484"/>
      <c r="L307" s="484"/>
    </row>
    <row r="308" spans="1:12" ht="14.25">
      <c r="A308" s="484"/>
      <c r="B308" s="484"/>
      <c r="C308" s="484"/>
      <c r="D308" s="484"/>
      <c r="E308" s="484"/>
      <c r="F308" s="484"/>
      <c r="G308" s="484"/>
      <c r="H308" s="484"/>
      <c r="I308" s="484"/>
      <c r="J308" s="484"/>
      <c r="K308" s="484"/>
      <c r="L308" s="484"/>
    </row>
    <row r="309" spans="1:12" ht="14.25">
      <c r="A309" s="484"/>
      <c r="B309" s="484"/>
      <c r="C309" s="484"/>
      <c r="D309" s="484"/>
      <c r="E309" s="484"/>
      <c r="F309" s="484"/>
      <c r="G309" s="484"/>
      <c r="H309" s="484"/>
      <c r="I309" s="484"/>
      <c r="J309" s="484"/>
      <c r="K309" s="484"/>
      <c r="L309" s="484"/>
    </row>
    <row r="310" spans="1:12" ht="14.25">
      <c r="A310" s="484"/>
      <c r="B310" s="484"/>
      <c r="C310" s="484"/>
      <c r="D310" s="484"/>
      <c r="E310" s="484"/>
      <c r="F310" s="484"/>
      <c r="G310" s="484"/>
      <c r="H310" s="484"/>
      <c r="I310" s="484"/>
      <c r="J310" s="484"/>
      <c r="K310" s="484"/>
      <c r="L310" s="484"/>
    </row>
    <row r="311" spans="1:12" ht="14.25">
      <c r="A311" s="484"/>
      <c r="B311" s="484"/>
      <c r="C311" s="484"/>
      <c r="D311" s="484"/>
      <c r="E311" s="484"/>
      <c r="F311" s="484"/>
      <c r="G311" s="484"/>
      <c r="H311" s="484"/>
      <c r="I311" s="484"/>
      <c r="J311" s="484"/>
      <c r="K311" s="484"/>
      <c r="L311" s="484"/>
    </row>
    <row r="312" spans="1:12" ht="14.25">
      <c r="A312" s="484"/>
      <c r="B312" s="484"/>
      <c r="C312" s="484"/>
      <c r="D312" s="484"/>
      <c r="E312" s="484"/>
      <c r="F312" s="484"/>
      <c r="G312" s="484"/>
      <c r="H312" s="484"/>
      <c r="I312" s="484"/>
      <c r="J312" s="484"/>
      <c r="K312" s="484"/>
      <c r="L312" s="484"/>
    </row>
    <row r="313" spans="1:12" ht="14.25">
      <c r="A313" s="484"/>
      <c r="B313" s="484"/>
      <c r="C313" s="484"/>
      <c r="D313" s="484"/>
      <c r="E313" s="484"/>
      <c r="F313" s="484"/>
      <c r="G313" s="484"/>
      <c r="H313" s="484"/>
      <c r="I313" s="484"/>
      <c r="J313" s="484"/>
      <c r="K313" s="484"/>
      <c r="L313" s="484"/>
    </row>
    <row r="314" spans="1:12" ht="14.25">
      <c r="A314" s="484"/>
      <c r="B314" s="484"/>
      <c r="C314" s="484"/>
      <c r="D314" s="484"/>
      <c r="E314" s="484"/>
      <c r="F314" s="484"/>
      <c r="G314" s="484"/>
      <c r="H314" s="484"/>
      <c r="I314" s="484"/>
      <c r="J314" s="484"/>
      <c r="K314" s="484"/>
      <c r="L314" s="484"/>
    </row>
    <row r="315" spans="1:12" ht="14.25">
      <c r="A315" s="484"/>
      <c r="B315" s="484"/>
      <c r="C315" s="484"/>
      <c r="D315" s="484"/>
      <c r="E315" s="484"/>
      <c r="F315" s="484"/>
      <c r="G315" s="484"/>
      <c r="H315" s="484"/>
      <c r="I315" s="484"/>
      <c r="J315" s="484"/>
      <c r="K315" s="484"/>
      <c r="L315" s="484"/>
    </row>
    <row r="316" spans="1:12" ht="14.25">
      <c r="A316" s="484"/>
      <c r="B316" s="484"/>
      <c r="C316" s="484"/>
      <c r="D316" s="484"/>
      <c r="E316" s="484"/>
      <c r="F316" s="484"/>
      <c r="G316" s="484"/>
      <c r="H316" s="484"/>
      <c r="I316" s="484"/>
      <c r="J316" s="484"/>
      <c r="K316" s="484"/>
      <c r="L316" s="484"/>
    </row>
    <row r="317" spans="1:12" ht="14.25">
      <c r="A317" s="484"/>
      <c r="B317" s="484"/>
      <c r="C317" s="484"/>
      <c r="D317" s="484"/>
      <c r="E317" s="484"/>
      <c r="F317" s="484"/>
      <c r="G317" s="484"/>
      <c r="H317" s="484"/>
      <c r="I317" s="484"/>
      <c r="J317" s="484"/>
      <c r="K317" s="484"/>
      <c r="L317" s="484"/>
    </row>
    <row r="318" spans="1:12" ht="14.25">
      <c r="A318" s="484"/>
      <c r="B318" s="484"/>
      <c r="C318" s="484"/>
      <c r="D318" s="484"/>
      <c r="E318" s="484"/>
      <c r="F318" s="484"/>
      <c r="G318" s="484"/>
      <c r="H318" s="484"/>
      <c r="I318" s="484"/>
      <c r="J318" s="484"/>
      <c r="K318" s="484"/>
      <c r="L318" s="484"/>
    </row>
    <row r="319" spans="1:12" ht="14.25">
      <c r="A319" s="484"/>
      <c r="B319" s="484"/>
      <c r="C319" s="484"/>
      <c r="D319" s="484"/>
      <c r="E319" s="484"/>
      <c r="F319" s="484"/>
      <c r="G319" s="484"/>
      <c r="H319" s="484"/>
      <c r="I319" s="484"/>
      <c r="J319" s="484"/>
      <c r="K319" s="484"/>
      <c r="L319" s="484"/>
    </row>
    <row r="320" spans="1:12" ht="14.25">
      <c r="A320" s="484"/>
      <c r="B320" s="484"/>
      <c r="C320" s="484"/>
      <c r="D320" s="484"/>
      <c r="E320" s="484"/>
      <c r="F320" s="484"/>
      <c r="G320" s="484"/>
      <c r="H320" s="484"/>
      <c r="I320" s="484"/>
      <c r="J320" s="484"/>
      <c r="K320" s="484"/>
      <c r="L320" s="484"/>
    </row>
    <row r="321" spans="1:12" ht="14.25">
      <c r="A321" s="484"/>
      <c r="B321" s="484"/>
      <c r="C321" s="484"/>
      <c r="D321" s="484"/>
      <c r="E321" s="484"/>
      <c r="F321" s="484"/>
      <c r="G321" s="484"/>
      <c r="H321" s="484"/>
      <c r="I321" s="484"/>
      <c r="J321" s="484"/>
      <c r="K321" s="484"/>
      <c r="L321" s="484"/>
    </row>
    <row r="322" spans="1:12" ht="14.25">
      <c r="A322" s="484"/>
      <c r="B322" s="484"/>
      <c r="C322" s="484"/>
      <c r="D322" s="484"/>
      <c r="E322" s="484"/>
      <c r="F322" s="484"/>
      <c r="G322" s="484"/>
      <c r="H322" s="484"/>
      <c r="I322" s="484"/>
      <c r="J322" s="484"/>
      <c r="K322" s="484"/>
      <c r="L322" s="484"/>
    </row>
    <row r="323" spans="1:12" ht="14.25">
      <c r="A323" s="484"/>
      <c r="B323" s="484"/>
      <c r="C323" s="484"/>
      <c r="D323" s="484"/>
      <c r="E323" s="484"/>
      <c r="F323" s="484"/>
      <c r="G323" s="484"/>
      <c r="H323" s="484"/>
      <c r="I323" s="484"/>
      <c r="J323" s="484"/>
      <c r="K323" s="484"/>
      <c r="L323" s="484"/>
    </row>
    <row r="324" spans="1:12" ht="14.25">
      <c r="A324" s="484"/>
      <c r="B324" s="484"/>
      <c r="C324" s="484"/>
      <c r="D324" s="484"/>
      <c r="E324" s="484"/>
      <c r="F324" s="484"/>
      <c r="G324" s="484"/>
      <c r="H324" s="484"/>
      <c r="I324" s="484"/>
      <c r="J324" s="484"/>
      <c r="K324" s="484"/>
      <c r="L324" s="484"/>
    </row>
    <row r="325" spans="1:12" ht="14.25">
      <c r="A325" s="484"/>
      <c r="B325" s="484"/>
      <c r="C325" s="484"/>
      <c r="D325" s="484"/>
      <c r="E325" s="484"/>
      <c r="F325" s="484"/>
      <c r="G325" s="484"/>
      <c r="H325" s="484"/>
      <c r="I325" s="484"/>
      <c r="J325" s="484"/>
      <c r="K325" s="484"/>
      <c r="L325" s="484"/>
    </row>
    <row r="326" spans="1:12" ht="14.25">
      <c r="A326" s="484"/>
      <c r="B326" s="484"/>
      <c r="C326" s="484"/>
      <c r="D326" s="484"/>
      <c r="E326" s="484"/>
      <c r="F326" s="484"/>
      <c r="G326" s="484"/>
      <c r="H326" s="484"/>
      <c r="I326" s="484"/>
      <c r="J326" s="484"/>
      <c r="K326" s="484"/>
      <c r="L326" s="484"/>
    </row>
    <row r="327" spans="1:12" ht="14.25">
      <c r="A327" s="484"/>
      <c r="B327" s="484"/>
      <c r="C327" s="484"/>
      <c r="D327" s="484"/>
      <c r="E327" s="484"/>
      <c r="F327" s="484"/>
      <c r="G327" s="484"/>
      <c r="H327" s="484"/>
      <c r="I327" s="484"/>
      <c r="J327" s="484"/>
      <c r="K327" s="484"/>
      <c r="L327" s="484"/>
    </row>
    <row r="328" spans="1:12" ht="14.25">
      <c r="A328" s="484"/>
      <c r="B328" s="484"/>
      <c r="C328" s="484"/>
      <c r="D328" s="484"/>
      <c r="E328" s="484"/>
      <c r="F328" s="484"/>
      <c r="G328" s="484"/>
      <c r="H328" s="484"/>
      <c r="I328" s="484"/>
      <c r="J328" s="484"/>
      <c r="K328" s="484"/>
      <c r="L328" s="484"/>
    </row>
    <row r="329" spans="1:12" ht="14.25">
      <c r="A329" s="484"/>
      <c r="B329" s="484"/>
      <c r="C329" s="484"/>
      <c r="D329" s="484"/>
      <c r="E329" s="484"/>
      <c r="F329" s="484"/>
      <c r="G329" s="484"/>
      <c r="H329" s="484"/>
      <c r="I329" s="484"/>
      <c r="J329" s="484"/>
      <c r="K329" s="484"/>
      <c r="L329" s="484"/>
    </row>
    <row r="330" spans="1:12" ht="14.25">
      <c r="A330" s="484"/>
      <c r="B330" s="484"/>
      <c r="C330" s="484"/>
      <c r="D330" s="484"/>
      <c r="E330" s="484"/>
      <c r="F330" s="484"/>
      <c r="G330" s="484"/>
      <c r="H330" s="484"/>
      <c r="I330" s="484"/>
      <c r="J330" s="484"/>
      <c r="K330" s="484"/>
      <c r="L330" s="484"/>
    </row>
    <row r="331" spans="1:12" ht="14.25">
      <c r="A331" s="484"/>
      <c r="B331" s="484"/>
      <c r="C331" s="484"/>
      <c r="D331" s="484"/>
      <c r="E331" s="484"/>
      <c r="F331" s="484"/>
      <c r="G331" s="484"/>
      <c r="H331" s="484"/>
      <c r="I331" s="484"/>
      <c r="J331" s="484"/>
      <c r="K331" s="484"/>
      <c r="L331" s="484"/>
    </row>
    <row r="332" spans="1:12" ht="14.25">
      <c r="A332" s="484"/>
      <c r="B332" s="484"/>
      <c r="C332" s="484"/>
      <c r="D332" s="484"/>
      <c r="E332" s="484"/>
      <c r="F332" s="484"/>
      <c r="G332" s="484"/>
      <c r="H332" s="484"/>
      <c r="I332" s="484"/>
      <c r="J332" s="484"/>
      <c r="K332" s="484"/>
      <c r="L332" s="484"/>
    </row>
    <row r="333" spans="1:12" ht="14.25">
      <c r="A333" s="484"/>
      <c r="B333" s="484"/>
      <c r="C333" s="484"/>
      <c r="D333" s="484"/>
      <c r="E333" s="484"/>
      <c r="F333" s="484"/>
      <c r="G333" s="484"/>
      <c r="H333" s="484"/>
      <c r="I333" s="484"/>
      <c r="J333" s="484"/>
      <c r="K333" s="484"/>
      <c r="L333" s="484"/>
    </row>
    <row r="334" spans="1:12" ht="14.25">
      <c r="A334" s="484"/>
      <c r="B334" s="484"/>
      <c r="C334" s="484"/>
      <c r="D334" s="484"/>
      <c r="E334" s="484"/>
      <c r="F334" s="484"/>
      <c r="G334" s="484"/>
      <c r="H334" s="484"/>
      <c r="I334" s="484"/>
      <c r="J334" s="484"/>
      <c r="K334" s="484"/>
      <c r="L334" s="484"/>
    </row>
    <row r="335" spans="1:12" ht="14.25">
      <c r="A335" s="484"/>
      <c r="B335" s="484"/>
      <c r="C335" s="484"/>
      <c r="D335" s="484"/>
      <c r="E335" s="484"/>
      <c r="F335" s="484"/>
      <c r="G335" s="484"/>
      <c r="H335" s="484"/>
      <c r="I335" s="484"/>
      <c r="J335" s="484"/>
      <c r="K335" s="484"/>
      <c r="L335" s="484"/>
    </row>
    <row r="336" spans="1:12" ht="14.25">
      <c r="A336" s="484"/>
      <c r="B336" s="484"/>
      <c r="C336" s="484"/>
      <c r="D336" s="484"/>
      <c r="E336" s="484"/>
      <c r="F336" s="484"/>
      <c r="G336" s="484"/>
      <c r="H336" s="484"/>
      <c r="I336" s="484"/>
      <c r="J336" s="484"/>
      <c r="K336" s="484"/>
      <c r="L336" s="484"/>
    </row>
    <row r="337" spans="1:12" ht="14.25">
      <c r="A337" s="484"/>
      <c r="B337" s="484"/>
      <c r="C337" s="484"/>
      <c r="D337" s="484"/>
      <c r="E337" s="484"/>
      <c r="F337" s="484"/>
      <c r="G337" s="484"/>
      <c r="H337" s="484"/>
      <c r="I337" s="484"/>
      <c r="J337" s="484"/>
      <c r="K337" s="484"/>
      <c r="L337" s="484"/>
    </row>
    <row r="338" spans="1:12" ht="14.25">
      <c r="A338" s="484"/>
      <c r="B338" s="484"/>
      <c r="C338" s="484"/>
      <c r="D338" s="484"/>
      <c r="E338" s="484"/>
      <c r="F338" s="484"/>
      <c r="G338" s="484"/>
      <c r="H338" s="484"/>
      <c r="I338" s="484"/>
      <c r="J338" s="484"/>
      <c r="K338" s="484"/>
      <c r="L338" s="484"/>
    </row>
    <row r="339" spans="1:12" ht="14.25">
      <c r="A339" s="484"/>
      <c r="B339" s="484"/>
      <c r="C339" s="484"/>
      <c r="D339" s="484"/>
      <c r="E339" s="484"/>
      <c r="F339" s="484"/>
      <c r="G339" s="484"/>
      <c r="H339" s="484"/>
      <c r="I339" s="484"/>
      <c r="J339" s="484"/>
      <c r="K339" s="484"/>
      <c r="L339" s="484"/>
    </row>
    <row r="340" spans="1:12" ht="14.25">
      <c r="A340" s="484"/>
      <c r="B340" s="484"/>
      <c r="C340" s="484"/>
      <c r="D340" s="484"/>
      <c r="E340" s="484"/>
      <c r="F340" s="484"/>
      <c r="G340" s="484"/>
      <c r="H340" s="484"/>
      <c r="I340" s="484"/>
      <c r="J340" s="484"/>
      <c r="K340" s="484"/>
      <c r="L340" s="484"/>
    </row>
    <row r="341" spans="1:12" ht="14.25">
      <c r="A341" s="484"/>
      <c r="B341" s="484"/>
      <c r="C341" s="484"/>
      <c r="D341" s="484"/>
      <c r="E341" s="484"/>
      <c r="F341" s="484"/>
      <c r="G341" s="484"/>
      <c r="H341" s="484"/>
      <c r="I341" s="484"/>
      <c r="J341" s="484"/>
      <c r="K341" s="484"/>
      <c r="L341" s="484"/>
    </row>
    <row r="342" spans="1:12" ht="14.25">
      <c r="A342" s="484"/>
      <c r="B342" s="484"/>
      <c r="C342" s="484"/>
      <c r="D342" s="484"/>
      <c r="E342" s="484"/>
      <c r="F342" s="484"/>
      <c r="G342" s="484"/>
      <c r="H342" s="484"/>
      <c r="I342" s="484"/>
      <c r="J342" s="484"/>
      <c r="K342" s="484"/>
      <c r="L342" s="484"/>
    </row>
    <row r="343" spans="1:12" ht="14.25">
      <c r="A343" s="484"/>
      <c r="B343" s="484"/>
      <c r="C343" s="484"/>
      <c r="D343" s="484"/>
      <c r="E343" s="484"/>
      <c r="F343" s="484"/>
      <c r="G343" s="484"/>
      <c r="H343" s="484"/>
      <c r="I343" s="484"/>
      <c r="J343" s="484"/>
      <c r="K343" s="484"/>
      <c r="L343" s="484"/>
    </row>
    <row r="344" spans="1:12" ht="14.25">
      <c r="A344" s="484"/>
      <c r="B344" s="484"/>
      <c r="C344" s="484"/>
      <c r="D344" s="484"/>
      <c r="E344" s="484"/>
      <c r="F344" s="484"/>
      <c r="G344" s="484"/>
      <c r="H344" s="484"/>
      <c r="I344" s="484"/>
      <c r="J344" s="484"/>
      <c r="K344" s="484"/>
      <c r="L344" s="484"/>
    </row>
    <row r="345" spans="1:12" ht="14.25">
      <c r="A345" s="484"/>
      <c r="B345" s="484"/>
      <c r="C345" s="484"/>
      <c r="D345" s="484"/>
      <c r="E345" s="484"/>
      <c r="F345" s="484"/>
      <c r="G345" s="484"/>
      <c r="H345" s="484"/>
      <c r="I345" s="484"/>
      <c r="J345" s="484"/>
      <c r="K345" s="484"/>
      <c r="L345" s="484"/>
    </row>
    <row r="346" spans="1:12" ht="14.25">
      <c r="A346" s="484"/>
      <c r="B346" s="484"/>
      <c r="C346" s="484"/>
      <c r="D346" s="484"/>
      <c r="E346" s="484"/>
      <c r="F346" s="484"/>
      <c r="G346" s="484"/>
      <c r="H346" s="484"/>
      <c r="I346" s="484"/>
      <c r="J346" s="484"/>
      <c r="K346" s="484"/>
      <c r="L346" s="484"/>
    </row>
    <row r="347" spans="1:12" ht="14.25">
      <c r="A347" s="484"/>
      <c r="B347" s="484"/>
      <c r="C347" s="484"/>
      <c r="D347" s="484"/>
      <c r="E347" s="484"/>
      <c r="F347" s="484"/>
      <c r="G347" s="484"/>
      <c r="H347" s="484"/>
      <c r="I347" s="484"/>
      <c r="J347" s="484"/>
      <c r="K347" s="484"/>
      <c r="L347" s="484"/>
    </row>
    <row r="348" spans="1:12" ht="14.25">
      <c r="A348" s="484"/>
      <c r="B348" s="484"/>
      <c r="C348" s="484"/>
      <c r="D348" s="484"/>
      <c r="E348" s="484"/>
      <c r="F348" s="484"/>
      <c r="G348" s="484"/>
      <c r="H348" s="484"/>
      <c r="I348" s="484"/>
      <c r="J348" s="484"/>
      <c r="K348" s="484"/>
      <c r="L348" s="484"/>
    </row>
    <row r="349" spans="1:12" ht="14.25">
      <c r="A349" s="484"/>
      <c r="B349" s="484"/>
      <c r="C349" s="484"/>
      <c r="D349" s="484"/>
      <c r="E349" s="484"/>
      <c r="F349" s="484"/>
      <c r="G349" s="484"/>
      <c r="H349" s="484"/>
      <c r="I349" s="484"/>
      <c r="J349" s="484"/>
      <c r="K349" s="484"/>
      <c r="L349" s="484"/>
    </row>
    <row r="350" spans="1:12" ht="14.25">
      <c r="A350" s="484"/>
      <c r="B350" s="484"/>
      <c r="C350" s="484"/>
      <c r="D350" s="484"/>
      <c r="E350" s="484"/>
      <c r="F350" s="484"/>
      <c r="G350" s="484"/>
      <c r="H350" s="484"/>
      <c r="I350" s="484"/>
      <c r="J350" s="484"/>
      <c r="K350" s="484"/>
      <c r="L350" s="484"/>
    </row>
    <row r="351" spans="1:12" ht="14.25">
      <c r="A351" s="484"/>
      <c r="B351" s="484"/>
      <c r="C351" s="484"/>
      <c r="D351" s="484"/>
      <c r="E351" s="484"/>
      <c r="F351" s="484"/>
      <c r="G351" s="484"/>
      <c r="H351" s="484"/>
      <c r="I351" s="484"/>
      <c r="J351" s="484"/>
      <c r="K351" s="484"/>
      <c r="L351" s="484"/>
    </row>
    <row r="352" spans="1:12" ht="14.25">
      <c r="A352" s="484"/>
      <c r="B352" s="484"/>
      <c r="C352" s="484"/>
      <c r="D352" s="484"/>
      <c r="E352" s="484"/>
      <c r="F352" s="484"/>
      <c r="G352" s="484"/>
      <c r="H352" s="484"/>
      <c r="I352" s="484"/>
      <c r="J352" s="484"/>
      <c r="K352" s="484"/>
      <c r="L352" s="484"/>
    </row>
    <row r="353" spans="1:12" ht="14.25">
      <c r="A353" s="484"/>
      <c r="B353" s="484"/>
      <c r="C353" s="484"/>
      <c r="D353" s="484"/>
      <c r="E353" s="484"/>
      <c r="F353" s="484"/>
      <c r="G353" s="484"/>
      <c r="H353" s="484"/>
      <c r="I353" s="484"/>
      <c r="J353" s="484"/>
      <c r="K353" s="484"/>
      <c r="L353" s="484"/>
    </row>
    <row r="354" spans="1:12" ht="14.25">
      <c r="A354" s="484"/>
      <c r="B354" s="484"/>
      <c r="C354" s="484"/>
      <c r="D354" s="484"/>
      <c r="E354" s="484"/>
      <c r="F354" s="484"/>
      <c r="G354" s="484"/>
      <c r="H354" s="484"/>
      <c r="I354" s="484"/>
      <c r="J354" s="484"/>
      <c r="K354" s="484"/>
      <c r="L354" s="484"/>
    </row>
  </sheetData>
  <sheetProtection sheet="1" objects="1" scenarios="1"/>
  <mergeCells count="55">
    <mergeCell ref="C148:D148"/>
    <mergeCell ref="J148:K148"/>
    <mergeCell ref="B128:K128"/>
    <mergeCell ref="C133:D133"/>
    <mergeCell ref="H133:I133"/>
    <mergeCell ref="B130:K130"/>
    <mergeCell ref="B144:K144"/>
    <mergeCell ref="C147:D147"/>
    <mergeCell ref="J147:K147"/>
    <mergeCell ref="C134:D134"/>
    <mergeCell ref="B125:K125"/>
    <mergeCell ref="B126:K126"/>
    <mergeCell ref="B105:K105"/>
    <mergeCell ref="C74:D74"/>
    <mergeCell ref="B85:K85"/>
    <mergeCell ref="B86:K86"/>
    <mergeCell ref="C136:D136"/>
    <mergeCell ref="C137:D137"/>
    <mergeCell ref="B33:K33"/>
    <mergeCell ref="B35:K35"/>
    <mergeCell ref="B106:K106"/>
    <mergeCell ref="B108:K108"/>
    <mergeCell ref="C41:D41"/>
    <mergeCell ref="B48:C48"/>
    <mergeCell ref="G50:H50"/>
    <mergeCell ref="I51:K51"/>
    <mergeCell ref="B53:K53"/>
    <mergeCell ref="B55:K55"/>
    <mergeCell ref="B57:K57"/>
    <mergeCell ref="B30:K30"/>
    <mergeCell ref="B31:K31"/>
    <mergeCell ref="B6:K6"/>
    <mergeCell ref="B7:K7"/>
    <mergeCell ref="B8:K8"/>
    <mergeCell ref="B10:K10"/>
    <mergeCell ref="C103:D103"/>
    <mergeCell ref="C117:D117"/>
    <mergeCell ref="C123:D123"/>
    <mergeCell ref="B110:K110"/>
    <mergeCell ref="C120:D120"/>
    <mergeCell ref="B12:K12"/>
    <mergeCell ref="C25:D25"/>
    <mergeCell ref="F23:G23"/>
    <mergeCell ref="B58:K58"/>
    <mergeCell ref="B52:K52"/>
    <mergeCell ref="C77:D77"/>
    <mergeCell ref="C80:D80"/>
    <mergeCell ref="C83:D83"/>
    <mergeCell ref="B88:K88"/>
    <mergeCell ref="C114:D114"/>
    <mergeCell ref="H134:I134"/>
    <mergeCell ref="B90:K90"/>
    <mergeCell ref="C94:D94"/>
    <mergeCell ref="C97:D97"/>
    <mergeCell ref="C100:D100"/>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5" t="s">
        <v>1097</v>
      </c>
    </row>
    <row r="3" ht="31.5">
      <c r="A3" s="486" t="s">
        <v>1098</v>
      </c>
    </row>
    <row r="4" ht="15.75">
      <c r="A4" s="487" t="s">
        <v>1099</v>
      </c>
    </row>
    <row r="7" ht="31.5">
      <c r="A7" s="486" t="s">
        <v>1100</v>
      </c>
    </row>
    <row r="8" ht="15.75">
      <c r="A8" s="487" t="s">
        <v>1101</v>
      </c>
    </row>
    <row r="11" ht="15.75">
      <c r="A11" s="1" t="s">
        <v>1102</v>
      </c>
    </row>
    <row r="12" ht="15.75">
      <c r="A12" s="487" t="s">
        <v>1103</v>
      </c>
    </row>
    <row r="15" ht="15.75">
      <c r="A15" s="1" t="s">
        <v>1104</v>
      </c>
    </row>
    <row r="16" ht="15.75">
      <c r="A16" s="487" t="s">
        <v>1105</v>
      </c>
    </row>
    <row r="19" ht="15.75">
      <c r="A19" s="1" t="s">
        <v>1106</v>
      </c>
    </row>
    <row r="20" ht="15.75">
      <c r="A20" s="487" t="s">
        <v>1107</v>
      </c>
    </row>
    <row r="23" ht="15.75">
      <c r="A23" s="1" t="s">
        <v>1108</v>
      </c>
    </row>
    <row r="24" ht="15.75">
      <c r="A24" s="487" t="s">
        <v>1109</v>
      </c>
    </row>
    <row r="27" ht="15.75">
      <c r="A27" s="1" t="s">
        <v>1110</v>
      </c>
    </row>
    <row r="28" ht="15.75">
      <c r="A28" s="487" t="s">
        <v>1111</v>
      </c>
    </row>
    <row r="31" ht="15.75">
      <c r="A31" s="1" t="s">
        <v>1112</v>
      </c>
    </row>
    <row r="32" ht="15.75">
      <c r="A32" s="487" t="s">
        <v>1113</v>
      </c>
    </row>
    <row r="35" ht="15.75">
      <c r="A35" s="1" t="s">
        <v>1114</v>
      </c>
    </row>
    <row r="36" ht="15.75">
      <c r="A36" s="487" t="s">
        <v>1115</v>
      </c>
    </row>
    <row r="39" ht="15.75">
      <c r="A39" s="1" t="s">
        <v>1116</v>
      </c>
    </row>
    <row r="40" ht="15.75">
      <c r="A40" s="487" t="s">
        <v>1117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3:E250"/>
  <sheetViews>
    <sheetView zoomScalePageLayoutView="0" workbookViewId="0" topLeftCell="A1">
      <selection activeCell="A5" sqref="A5"/>
    </sheetView>
  </sheetViews>
  <sheetFormatPr defaultColWidth="8.796875" defaultRowHeight="15"/>
  <cols>
    <col min="1" max="1" width="81.8984375" style="32" customWidth="1"/>
    <col min="2" max="16384" width="8.8984375" style="32" customWidth="1"/>
  </cols>
  <sheetData>
    <row r="3" ht="15.75">
      <c r="A3" s="524" t="s">
        <v>32</v>
      </c>
    </row>
    <row r="4" ht="15.75">
      <c r="A4" s="32" t="s">
        <v>33</v>
      </c>
    </row>
    <row r="6" ht="15.75">
      <c r="A6" s="524" t="s">
        <v>31</v>
      </c>
    </row>
    <row r="7" ht="15.75">
      <c r="A7" s="605" t="s">
        <v>30</v>
      </c>
    </row>
    <row r="8" ht="15.75">
      <c r="A8" s="524"/>
    </row>
    <row r="9" ht="15.75">
      <c r="A9" s="524" t="s">
        <v>25</v>
      </c>
    </row>
    <row r="10" ht="15.75">
      <c r="A10" s="32" t="s">
        <v>26</v>
      </c>
    </row>
    <row r="12" spans="1:5" ht="15.75">
      <c r="A12" s="524" t="s">
        <v>23</v>
      </c>
      <c r="B12" s="736"/>
      <c r="C12" s="736"/>
      <c r="D12" s="736"/>
      <c r="E12" s="736"/>
    </row>
    <row r="13" spans="1:5" ht="15.75">
      <c r="A13" s="737" t="s">
        <v>24</v>
      </c>
      <c r="B13" s="736"/>
      <c r="C13" s="736"/>
      <c r="D13" s="736"/>
      <c r="E13" s="736"/>
    </row>
    <row r="15" ht="15.75">
      <c r="A15" s="524" t="s">
        <v>20</v>
      </c>
    </row>
    <row r="16" ht="15.75">
      <c r="A16" s="32" t="s">
        <v>21</v>
      </c>
    </row>
    <row r="18" ht="15.75">
      <c r="A18" s="524" t="s">
        <v>1149</v>
      </c>
    </row>
    <row r="19" ht="15.75">
      <c r="A19" s="605" t="s">
        <v>1150</v>
      </c>
    </row>
    <row r="20" ht="15.75">
      <c r="A20" s="32" t="s">
        <v>1151</v>
      </c>
    </row>
    <row r="21" ht="15.75">
      <c r="A21" s="32" t="s">
        <v>1152</v>
      </c>
    </row>
    <row r="22" ht="15.75">
      <c r="A22" s="32" t="s">
        <v>1153</v>
      </c>
    </row>
    <row r="23" ht="15.75">
      <c r="A23" s="32" t="s">
        <v>1154</v>
      </c>
    </row>
    <row r="24" ht="15.75">
      <c r="A24" s="32" t="s">
        <v>1155</v>
      </c>
    </row>
    <row r="25" ht="15.75">
      <c r="A25" s="32" t="s">
        <v>1156</v>
      </c>
    </row>
    <row r="26" ht="15.75">
      <c r="A26" s="32" t="s">
        <v>1157</v>
      </c>
    </row>
    <row r="27" ht="15.75">
      <c r="A27" s="32" t="s">
        <v>1158</v>
      </c>
    </row>
    <row r="28" ht="15.75">
      <c r="A28" s="32" t="s">
        <v>1159</v>
      </c>
    </row>
    <row r="29" ht="15.75">
      <c r="A29" s="32" t="s">
        <v>1160</v>
      </c>
    </row>
    <row r="30" ht="15.75">
      <c r="A30" s="32" t="s">
        <v>1161</v>
      </c>
    </row>
    <row r="31" ht="15.75">
      <c r="A31" s="32" t="s">
        <v>1162</v>
      </c>
    </row>
    <row r="32" ht="15.75">
      <c r="A32" s="32" t="s">
        <v>1163</v>
      </c>
    </row>
    <row r="33" ht="15.75">
      <c r="A33" s="32" t="s">
        <v>1164</v>
      </c>
    </row>
    <row r="34" ht="15.75">
      <c r="A34" s="32" t="s">
        <v>1165</v>
      </c>
    </row>
    <row r="35" ht="47.25">
      <c r="A35" s="35" t="s">
        <v>1166</v>
      </c>
    </row>
    <row r="36" ht="15.75">
      <c r="A36" s="34" t="s">
        <v>1167</v>
      </c>
    </row>
    <row r="37" ht="31.5">
      <c r="A37" s="35" t="s">
        <v>1168</v>
      </c>
    </row>
    <row r="38" ht="15.75">
      <c r="A38" s="32" t="s">
        <v>1169</v>
      </c>
    </row>
    <row r="39" ht="15.75">
      <c r="A39" s="32" t="s">
        <v>1170</v>
      </c>
    </row>
    <row r="40" ht="15.75">
      <c r="A40" s="32" t="s">
        <v>1171</v>
      </c>
    </row>
    <row r="41" ht="15.75">
      <c r="A41" s="32" t="s">
        <v>1172</v>
      </c>
    </row>
    <row r="42" ht="15.75">
      <c r="A42" s="32" t="s">
        <v>1173</v>
      </c>
    </row>
    <row r="43" ht="15.75">
      <c r="A43" s="32" t="s">
        <v>1174</v>
      </c>
    </row>
    <row r="44" ht="15.75">
      <c r="A44" s="32" t="s">
        <v>1175</v>
      </c>
    </row>
    <row r="45" ht="15.75">
      <c r="A45" s="32" t="s">
        <v>1176</v>
      </c>
    </row>
    <row r="46" ht="15.75">
      <c r="A46" s="32" t="s">
        <v>1177</v>
      </c>
    </row>
    <row r="47" ht="15.75">
      <c r="A47" s="32" t="s">
        <v>1178</v>
      </c>
    </row>
    <row r="48" ht="15.75">
      <c r="A48" s="32" t="s">
        <v>1179</v>
      </c>
    </row>
    <row r="49" ht="15.75">
      <c r="A49" s="32" t="s">
        <v>404</v>
      </c>
    </row>
    <row r="50" ht="15.75">
      <c r="A50" s="32" t="s">
        <v>405</v>
      </c>
    </row>
    <row r="51" ht="15.75">
      <c r="A51" s="32" t="s">
        <v>406</v>
      </c>
    </row>
    <row r="52" ht="15.75">
      <c r="A52" s="32" t="s">
        <v>13</v>
      </c>
    </row>
    <row r="53" ht="15.75">
      <c r="A53" s="32" t="s">
        <v>14</v>
      </c>
    </row>
    <row r="54" ht="15.75">
      <c r="A54" s="32" t="s">
        <v>15</v>
      </c>
    </row>
    <row r="55" ht="15.75">
      <c r="A55" s="32" t="s">
        <v>16</v>
      </c>
    </row>
    <row r="57" ht="15.75">
      <c r="A57" s="524" t="s">
        <v>1149</v>
      </c>
    </row>
    <row r="58" ht="15.75">
      <c r="A58" s="605" t="s">
        <v>1150</v>
      </c>
    </row>
    <row r="59" ht="15.75">
      <c r="A59" s="32" t="s">
        <v>1151</v>
      </c>
    </row>
    <row r="60" ht="15.75">
      <c r="A60" s="32" t="s">
        <v>1152</v>
      </c>
    </row>
    <row r="61" ht="15.75">
      <c r="A61" s="32" t="s">
        <v>1153</v>
      </c>
    </row>
    <row r="62" ht="15.75">
      <c r="A62" s="32" t="s">
        <v>1154</v>
      </c>
    </row>
    <row r="63" ht="15.75">
      <c r="A63" s="32" t="s">
        <v>1155</v>
      </c>
    </row>
    <row r="64" ht="15.75">
      <c r="A64" s="32" t="s">
        <v>1156</v>
      </c>
    </row>
    <row r="65" ht="15.75">
      <c r="A65" s="32" t="s">
        <v>1157</v>
      </c>
    </row>
    <row r="66" ht="15.75">
      <c r="A66" s="32" t="s">
        <v>1158</v>
      </c>
    </row>
    <row r="67" ht="15.75">
      <c r="A67" s="32" t="s">
        <v>1159</v>
      </c>
    </row>
    <row r="68" ht="15.75">
      <c r="A68" s="32" t="s">
        <v>1160</v>
      </c>
    </row>
    <row r="69" ht="15.75">
      <c r="A69" s="32" t="s">
        <v>1161</v>
      </c>
    </row>
    <row r="70" ht="15.75">
      <c r="A70" s="32" t="s">
        <v>1162</v>
      </c>
    </row>
    <row r="71" ht="15.75">
      <c r="A71" s="32" t="s">
        <v>1163</v>
      </c>
    </row>
    <row r="72" ht="15.75">
      <c r="A72" s="32" t="s">
        <v>1164</v>
      </c>
    </row>
    <row r="73" ht="15.75">
      <c r="A73" s="32" t="s">
        <v>1165</v>
      </c>
    </row>
    <row r="74" ht="47.25">
      <c r="A74" s="35" t="s">
        <v>1166</v>
      </c>
    </row>
    <row r="75" ht="15.75">
      <c r="A75" s="34" t="s">
        <v>1167</v>
      </c>
    </row>
    <row r="76" ht="31.5">
      <c r="A76" s="35" t="s">
        <v>1168</v>
      </c>
    </row>
    <row r="77" ht="15.75">
      <c r="A77" s="32" t="s">
        <v>1169</v>
      </c>
    </row>
    <row r="78" ht="15.75">
      <c r="A78" s="32" t="s">
        <v>1170</v>
      </c>
    </row>
    <row r="79" ht="15.75">
      <c r="A79" s="32" t="s">
        <v>1171</v>
      </c>
    </row>
    <row r="80" ht="15.75">
      <c r="A80" s="32" t="s">
        <v>1172</v>
      </c>
    </row>
    <row r="81" ht="15.75">
      <c r="A81" s="32" t="s">
        <v>1173</v>
      </c>
    </row>
    <row r="82" ht="15.75">
      <c r="A82" s="32" t="s">
        <v>1174</v>
      </c>
    </row>
    <row r="83" ht="15.75">
      <c r="A83" s="32" t="s">
        <v>1175</v>
      </c>
    </row>
    <row r="84" ht="15.75">
      <c r="A84" s="32" t="s">
        <v>1176</v>
      </c>
    </row>
    <row r="85" ht="15.75">
      <c r="A85" s="32" t="s">
        <v>1177</v>
      </c>
    </row>
    <row r="86" ht="15.75">
      <c r="A86" s="32" t="s">
        <v>1178</v>
      </c>
    </row>
    <row r="87" ht="15.75">
      <c r="A87" s="32" t="s">
        <v>1179</v>
      </c>
    </row>
    <row r="88" ht="15.75">
      <c r="A88" s="32" t="s">
        <v>404</v>
      </c>
    </row>
    <row r="89" ht="15.75">
      <c r="A89" s="32" t="s">
        <v>405</v>
      </c>
    </row>
    <row r="90" ht="15.75">
      <c r="A90" s="32" t="s">
        <v>406</v>
      </c>
    </row>
    <row r="91" ht="15.75">
      <c r="A91" s="32" t="s">
        <v>407</v>
      </c>
    </row>
    <row r="92" ht="15.75">
      <c r="A92" s="32" t="s">
        <v>408</v>
      </c>
    </row>
    <row r="95" ht="15.75">
      <c r="A95" s="524" t="s">
        <v>1146</v>
      </c>
    </row>
    <row r="96" ht="15.75">
      <c r="A96" s="32" t="s">
        <v>1147</v>
      </c>
    </row>
    <row r="98" ht="15.75">
      <c r="A98" s="524" t="s">
        <v>1142</v>
      </c>
    </row>
    <row r="99" ht="15.75">
      <c r="A99" s="32" t="s">
        <v>1143</v>
      </c>
    </row>
    <row r="100" ht="15.75">
      <c r="A100" s="32" t="s">
        <v>1144</v>
      </c>
    </row>
    <row r="101" ht="15.75">
      <c r="A101" s="32" t="s">
        <v>1145</v>
      </c>
    </row>
    <row r="103" ht="15.75">
      <c r="A103" s="524" t="s">
        <v>1140</v>
      </c>
    </row>
    <row r="104" ht="15.75">
      <c r="A104" s="504" t="s">
        <v>1141</v>
      </c>
    </row>
    <row r="106" ht="15.75">
      <c r="A106" s="524" t="s">
        <v>377</v>
      </c>
    </row>
    <row r="107" ht="15.75">
      <c r="A107" s="32" t="s">
        <v>378</v>
      </c>
    </row>
    <row r="109" ht="15.75">
      <c r="A109" s="524" t="s">
        <v>351</v>
      </c>
    </row>
    <row r="110" ht="15.75">
      <c r="A110" s="504" t="s">
        <v>1120</v>
      </c>
    </row>
    <row r="111" ht="15.75">
      <c r="A111" s="504" t="s">
        <v>1121</v>
      </c>
    </row>
    <row r="112" ht="31.5">
      <c r="A112" s="491" t="s">
        <v>1122</v>
      </c>
    </row>
    <row r="113" ht="15.75">
      <c r="A113" s="504" t="s">
        <v>379</v>
      </c>
    </row>
    <row r="114" ht="15.75">
      <c r="A114" s="504" t="s">
        <v>380</v>
      </c>
    </row>
    <row r="115" ht="15.75">
      <c r="A115" s="504" t="s">
        <v>381</v>
      </c>
    </row>
    <row r="116" ht="15.75">
      <c r="A116" s="504" t="s">
        <v>382</v>
      </c>
    </row>
    <row r="117" ht="15.75">
      <c r="A117" s="504" t="s">
        <v>383</v>
      </c>
    </row>
    <row r="118" ht="15.75">
      <c r="A118" s="504" t="s">
        <v>384</v>
      </c>
    </row>
    <row r="119" ht="15.75">
      <c r="A119" s="504" t="s">
        <v>385</v>
      </c>
    </row>
    <row r="120" ht="15.75">
      <c r="A120" s="504" t="s">
        <v>386</v>
      </c>
    </row>
    <row r="121" ht="15.75">
      <c r="A121" s="504" t="s">
        <v>387</v>
      </c>
    </row>
    <row r="122" ht="15.75">
      <c r="A122" s="504" t="s">
        <v>388</v>
      </c>
    </row>
    <row r="123" ht="15.75">
      <c r="A123" s="504" t="s">
        <v>389</v>
      </c>
    </row>
    <row r="124" ht="15.75">
      <c r="A124" s="504" t="s">
        <v>390</v>
      </c>
    </row>
    <row r="125" ht="15.75">
      <c r="A125" s="504" t="s">
        <v>391</v>
      </c>
    </row>
    <row r="126" ht="15.75">
      <c r="A126" s="504" t="s">
        <v>392</v>
      </c>
    </row>
    <row r="127" ht="15.75">
      <c r="A127" s="504" t="s">
        <v>393</v>
      </c>
    </row>
    <row r="128" ht="15.75">
      <c r="A128" s="504" t="s">
        <v>394</v>
      </c>
    </row>
    <row r="129" ht="15.75">
      <c r="A129" s="504" t="s">
        <v>395</v>
      </c>
    </row>
    <row r="130" ht="15.75">
      <c r="A130" s="504" t="s">
        <v>396</v>
      </c>
    </row>
    <row r="131" ht="15.75">
      <c r="A131" s="504" t="s">
        <v>397</v>
      </c>
    </row>
    <row r="132" ht="15.75">
      <c r="A132" s="504" t="s">
        <v>398</v>
      </c>
    </row>
    <row r="133" ht="15.75">
      <c r="A133" s="504" t="s">
        <v>399</v>
      </c>
    </row>
    <row r="134" ht="15.75">
      <c r="A134" s="504" t="s">
        <v>400</v>
      </c>
    </row>
    <row r="135" ht="15.75">
      <c r="A135" s="504" t="s">
        <v>401</v>
      </c>
    </row>
    <row r="136" ht="15.75">
      <c r="A136" s="504" t="s">
        <v>402</v>
      </c>
    </row>
    <row r="137" ht="15.75">
      <c r="A137" s="504" t="s">
        <v>403</v>
      </c>
    </row>
    <row r="138" ht="15.75">
      <c r="A138" s="504" t="s">
        <v>1139</v>
      </c>
    </row>
    <row r="140" ht="15.75">
      <c r="A140" s="367" t="s">
        <v>239</v>
      </c>
    </row>
    <row r="141" ht="15.75">
      <c r="A141" s="32" t="s">
        <v>240</v>
      </c>
    </row>
    <row r="142" ht="15.75">
      <c r="A142" s="32" t="s">
        <v>241</v>
      </c>
    </row>
    <row r="143" ht="15.75">
      <c r="A143" s="32" t="s">
        <v>242</v>
      </c>
    </row>
    <row r="145" ht="15.75">
      <c r="A145" s="367" t="s">
        <v>229</v>
      </c>
    </row>
    <row r="146" ht="15.75">
      <c r="A146" s="32" t="s">
        <v>238</v>
      </c>
    </row>
    <row r="148" ht="15.75">
      <c r="A148" s="367" t="s">
        <v>952</v>
      </c>
    </row>
    <row r="149" ht="15.75">
      <c r="A149" s="366" t="s">
        <v>953</v>
      </c>
    </row>
    <row r="150" ht="15.75">
      <c r="A150" s="366" t="s">
        <v>954</v>
      </c>
    </row>
    <row r="151" ht="15.75">
      <c r="A151" s="366" t="s">
        <v>955</v>
      </c>
    </row>
    <row r="152" ht="15.75">
      <c r="A152" s="32" t="s">
        <v>227</v>
      </c>
    </row>
    <row r="154" ht="15.75">
      <c r="A154" s="344" t="s">
        <v>882</v>
      </c>
    </row>
    <row r="155" ht="15.75">
      <c r="A155" s="346" t="s">
        <v>932</v>
      </c>
    </row>
    <row r="156" ht="15.75">
      <c r="A156" s="32" t="s">
        <v>933</v>
      </c>
    </row>
    <row r="157" ht="15.75">
      <c r="A157" s="32" t="s">
        <v>934</v>
      </c>
    </row>
    <row r="158" ht="21.75" customHeight="1">
      <c r="A158" s="35" t="s">
        <v>935</v>
      </c>
    </row>
    <row r="159" ht="15.75">
      <c r="A159" s="32" t="s">
        <v>936</v>
      </c>
    </row>
    <row r="160" ht="15.75">
      <c r="A160" s="32" t="s">
        <v>937</v>
      </c>
    </row>
    <row r="161" ht="15.75">
      <c r="A161" s="32" t="s">
        <v>938</v>
      </c>
    </row>
    <row r="162" ht="15.75">
      <c r="A162" s="32" t="s">
        <v>939</v>
      </c>
    </row>
    <row r="163" ht="15.75">
      <c r="A163" s="32" t="s">
        <v>940</v>
      </c>
    </row>
    <row r="164" ht="15.75">
      <c r="A164" s="32" t="s">
        <v>941</v>
      </c>
    </row>
    <row r="165" ht="15.75">
      <c r="A165" s="32" t="s">
        <v>942</v>
      </c>
    </row>
    <row r="167" ht="15.75">
      <c r="A167" s="344" t="s">
        <v>877</v>
      </c>
    </row>
    <row r="168" ht="15.75">
      <c r="A168" s="32" t="s">
        <v>878</v>
      </c>
    </row>
    <row r="170" ht="15.75">
      <c r="A170" s="344" t="s">
        <v>875</v>
      </c>
    </row>
    <row r="171" ht="15.75">
      <c r="A171" s="32" t="s">
        <v>876</v>
      </c>
    </row>
    <row r="173" ht="15.75">
      <c r="A173" s="344" t="s">
        <v>872</v>
      </c>
    </row>
    <row r="174" ht="15.75">
      <c r="A174" s="32" t="s">
        <v>873</v>
      </c>
    </row>
    <row r="175" ht="15.75">
      <c r="A175" s="32" t="s">
        <v>874</v>
      </c>
    </row>
    <row r="177" ht="15.75">
      <c r="A177" s="344" t="s">
        <v>522</v>
      </c>
    </row>
    <row r="178" ht="15.75">
      <c r="A178" s="32" t="s">
        <v>507</v>
      </c>
    </row>
    <row r="179" ht="15.75">
      <c r="A179" s="32" t="s">
        <v>508</v>
      </c>
    </row>
    <row r="180" ht="15.75">
      <c r="A180" s="32" t="s">
        <v>509</v>
      </c>
    </row>
    <row r="181" ht="15.75">
      <c r="A181" s="32" t="s">
        <v>516</v>
      </c>
    </row>
    <row r="182" ht="15.75">
      <c r="A182" s="32" t="s">
        <v>510</v>
      </c>
    </row>
    <row r="183" ht="15.75">
      <c r="A183" s="32" t="s">
        <v>511</v>
      </c>
    </row>
    <row r="184" ht="31.5">
      <c r="A184" s="35" t="s">
        <v>517</v>
      </c>
    </row>
    <row r="185" ht="31.5">
      <c r="A185" s="35" t="s">
        <v>512</v>
      </c>
    </row>
    <row r="186" ht="15.75">
      <c r="A186" s="35" t="s">
        <v>513</v>
      </c>
    </row>
    <row r="187" ht="15.75">
      <c r="A187" s="35" t="s">
        <v>514</v>
      </c>
    </row>
    <row r="188" ht="31.5">
      <c r="A188" s="35" t="s">
        <v>865</v>
      </c>
    </row>
    <row r="189" ht="15.75">
      <c r="A189" s="32" t="s">
        <v>866</v>
      </c>
    </row>
    <row r="190" ht="31.5">
      <c r="A190" s="35" t="s">
        <v>515</v>
      </c>
    </row>
    <row r="191" ht="15.75">
      <c r="A191" s="32" t="s">
        <v>519</v>
      </c>
    </row>
    <row r="192" ht="15.75">
      <c r="A192" s="32" t="s">
        <v>520</v>
      </c>
    </row>
    <row r="193" ht="15.75">
      <c r="A193" s="32" t="s">
        <v>521</v>
      </c>
    </row>
    <row r="194" ht="31.5">
      <c r="A194" s="35" t="s">
        <v>864</v>
      </c>
    </row>
    <row r="195" ht="15.75">
      <c r="A195" s="32" t="s">
        <v>863</v>
      </c>
    </row>
    <row r="196" ht="31.5">
      <c r="A196" s="35" t="s">
        <v>862</v>
      </c>
    </row>
    <row r="197" ht="15.75">
      <c r="A197" s="32" t="s">
        <v>867</v>
      </c>
    </row>
    <row r="199" ht="15.75">
      <c r="A199" s="344" t="s">
        <v>571</v>
      </c>
    </row>
    <row r="200" ht="15.75">
      <c r="A200" s="32" t="s">
        <v>572</v>
      </c>
    </row>
    <row r="201" ht="15.75">
      <c r="A201" s="32" t="s">
        <v>573</v>
      </c>
    </row>
    <row r="202" ht="15.75">
      <c r="A202" s="32" t="s">
        <v>574</v>
      </c>
    </row>
    <row r="203" ht="15.75">
      <c r="A203" s="32" t="s">
        <v>518</v>
      </c>
    </row>
    <row r="206" ht="15.75">
      <c r="A206" s="344" t="s">
        <v>503</v>
      </c>
    </row>
    <row r="207" ht="15.75">
      <c r="A207" s="32" t="s">
        <v>504</v>
      </c>
    </row>
    <row r="209" ht="15.75">
      <c r="A209" s="344" t="s">
        <v>496</v>
      </c>
    </row>
    <row r="210" ht="15.75">
      <c r="A210" s="32" t="s">
        <v>497</v>
      </c>
    </row>
    <row r="211" ht="15.75">
      <c r="A211" s="32" t="s">
        <v>498</v>
      </c>
    </row>
    <row r="212" ht="31.5">
      <c r="A212" s="35" t="s">
        <v>499</v>
      </c>
    </row>
    <row r="213" ht="15.75">
      <c r="A213" s="32" t="s">
        <v>500</v>
      </c>
    </row>
    <row r="214" ht="15.75">
      <c r="A214" s="32" t="s">
        <v>501</v>
      </c>
    </row>
    <row r="215" ht="15.75">
      <c r="A215" s="32" t="s">
        <v>502</v>
      </c>
    </row>
    <row r="217" ht="18" customHeight="1">
      <c r="A217" s="344" t="s">
        <v>824</v>
      </c>
    </row>
    <row r="218" ht="48.75" customHeight="1">
      <c r="A218" s="35" t="s">
        <v>868</v>
      </c>
    </row>
    <row r="219" ht="15.75">
      <c r="A219" s="32" t="s">
        <v>825</v>
      </c>
    </row>
    <row r="220" ht="15.75">
      <c r="A220" s="32" t="s">
        <v>826</v>
      </c>
    </row>
    <row r="221" ht="15.75">
      <c r="A221" s="32" t="s">
        <v>869</v>
      </c>
    </row>
    <row r="222" ht="15.75">
      <c r="A222" s="32" t="s">
        <v>827</v>
      </c>
    </row>
    <row r="223" ht="15.75">
      <c r="A223" s="32" t="s">
        <v>828</v>
      </c>
    </row>
    <row r="224" ht="15.75">
      <c r="A224" s="32" t="s">
        <v>464</v>
      </c>
    </row>
    <row r="225" ht="15.75">
      <c r="A225" s="32" t="s">
        <v>829</v>
      </c>
    </row>
    <row r="226" ht="15.75">
      <c r="A226" s="32" t="s">
        <v>830</v>
      </c>
    </row>
    <row r="227" ht="31.5">
      <c r="A227" s="35" t="s">
        <v>831</v>
      </c>
    </row>
    <row r="228" ht="31.5">
      <c r="A228" s="35" t="s">
        <v>473</v>
      </c>
    </row>
    <row r="229" ht="15.75">
      <c r="A229" s="32" t="s">
        <v>832</v>
      </c>
    </row>
    <row r="230" ht="15.75">
      <c r="A230" s="32" t="s">
        <v>833</v>
      </c>
    </row>
    <row r="231" ht="15.75">
      <c r="A231" s="32" t="s">
        <v>870</v>
      </c>
    </row>
    <row r="232" ht="15.75">
      <c r="A232" s="32" t="s">
        <v>834</v>
      </c>
    </row>
    <row r="233" ht="15.75">
      <c r="A233" s="32" t="s">
        <v>458</v>
      </c>
    </row>
    <row r="234" ht="31.5">
      <c r="A234" s="35" t="s">
        <v>459</v>
      </c>
    </row>
    <row r="235" ht="15.75">
      <c r="A235" s="32" t="s">
        <v>844</v>
      </c>
    </row>
    <row r="236" ht="15.75">
      <c r="A236" s="32" t="s">
        <v>845</v>
      </c>
    </row>
    <row r="237" ht="31.5">
      <c r="A237" s="35" t="s">
        <v>846</v>
      </c>
    </row>
    <row r="238" ht="15.75">
      <c r="A238" s="32" t="s">
        <v>483</v>
      </c>
    </row>
    <row r="239" ht="15.75">
      <c r="A239" s="32" t="s">
        <v>484</v>
      </c>
    </row>
    <row r="240" ht="15.75">
      <c r="A240" s="32" t="s">
        <v>485</v>
      </c>
    </row>
    <row r="241" ht="15.75">
      <c r="A241" s="32" t="s">
        <v>486</v>
      </c>
    </row>
    <row r="242" ht="15.75">
      <c r="A242" s="32" t="s">
        <v>487</v>
      </c>
    </row>
    <row r="243" ht="15.75">
      <c r="A243" s="32" t="s">
        <v>488</v>
      </c>
    </row>
    <row r="244" ht="15.75">
      <c r="A244" s="32" t="s">
        <v>489</v>
      </c>
    </row>
    <row r="245" ht="15.75">
      <c r="A245" s="32" t="s">
        <v>490</v>
      </c>
    </row>
    <row r="246" ht="15.75">
      <c r="A246" s="32" t="s">
        <v>491</v>
      </c>
    </row>
    <row r="247" ht="15.75">
      <c r="A247" s="32" t="s">
        <v>493</v>
      </c>
    </row>
    <row r="248" ht="15.75">
      <c r="A248" s="32" t="s">
        <v>494</v>
      </c>
    </row>
    <row r="249" ht="15.75">
      <c r="A249" s="32" t="s">
        <v>495</v>
      </c>
    </row>
    <row r="250" ht="15.75">
      <c r="A250" s="32" t="s">
        <v>492</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62"/>
    <pageSetUpPr fitToPage="1"/>
  </sheetPr>
  <dimension ref="B1:J101"/>
  <sheetViews>
    <sheetView tabSelected="1" zoomScalePageLayoutView="0" workbookViewId="0" topLeftCell="A13">
      <selection activeCell="G60" sqref="G60:G61"/>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671</v>
      </c>
      <c r="E1" s="47"/>
      <c r="F1" s="47"/>
      <c r="G1" s="136"/>
      <c r="I1" s="32">
        <f>inputPrYr!C5</f>
        <v>2013</v>
      </c>
    </row>
    <row r="2" spans="2:7" ht="15.75">
      <c r="B2" s="767" t="str">
        <f>CONCATENATE("To the Clerk of ",(inputPrYr!D3),", State of Kansas")</f>
        <v>To the Clerk of Sedgwick County, State of Kansas</v>
      </c>
      <c r="C2" s="757"/>
      <c r="D2" s="757"/>
      <c r="E2" s="757"/>
      <c r="F2" s="757"/>
      <c r="G2" s="757"/>
    </row>
    <row r="3" spans="2:7" ht="15.75">
      <c r="B3" s="138" t="s">
        <v>243</v>
      </c>
      <c r="C3" s="56"/>
      <c r="D3" s="56"/>
      <c r="E3" s="56"/>
      <c r="F3" s="56"/>
      <c r="G3" s="56"/>
    </row>
    <row r="4" spans="2:7" ht="15.75">
      <c r="B4" s="765" t="str">
        <f>(inputPrYr!D2)</f>
        <v>City of Haysville</v>
      </c>
      <c r="C4" s="766"/>
      <c r="D4" s="766"/>
      <c r="E4" s="766"/>
      <c r="F4" s="766"/>
      <c r="G4" s="766"/>
    </row>
    <row r="5" spans="2:7" ht="15.75">
      <c r="B5" s="138" t="s">
        <v>584</v>
      </c>
      <c r="C5" s="56"/>
      <c r="D5" s="56"/>
      <c r="E5" s="56"/>
      <c r="F5" s="56"/>
      <c r="G5" s="56"/>
    </row>
    <row r="6" spans="2:7" ht="15.75">
      <c r="B6" s="138" t="s">
        <v>585</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586</v>
      </c>
      <c r="F10" s="144" t="str">
        <f>CONCATENATE("Amount of ",I1-1,"")</f>
        <v>Amount of 2012</v>
      </c>
      <c r="G10" s="144" t="s">
        <v>587</v>
      </c>
    </row>
    <row r="11" spans="2:7" ht="15.75">
      <c r="B11" s="52"/>
      <c r="C11" s="47"/>
      <c r="D11" s="144" t="s">
        <v>588</v>
      </c>
      <c r="E11" s="433" t="s">
        <v>468</v>
      </c>
      <c r="F11" s="146" t="s">
        <v>793</v>
      </c>
      <c r="G11" s="145" t="s">
        <v>589</v>
      </c>
    </row>
    <row r="12" spans="2:7" ht="15.75">
      <c r="B12" s="147" t="s">
        <v>590</v>
      </c>
      <c r="C12" s="71"/>
      <c r="D12" s="148" t="s">
        <v>591</v>
      </c>
      <c r="E12" s="434" t="s">
        <v>249</v>
      </c>
      <c r="F12" s="149" t="s">
        <v>794</v>
      </c>
      <c r="G12" s="148" t="s">
        <v>592</v>
      </c>
    </row>
    <row r="13" spans="2:7" ht="15.75">
      <c r="B13" s="150" t="str">
        <f>CONCATENATE("Computation to Determine Limit for ",I1,"")</f>
        <v>Computation to Determine Limit for 2013</v>
      </c>
      <c r="C13" s="93"/>
      <c r="D13" s="151">
        <v>2</v>
      </c>
      <c r="E13" s="152"/>
      <c r="F13" s="152"/>
      <c r="G13" s="152"/>
    </row>
    <row r="14" spans="2:7" ht="15.75">
      <c r="B14" s="150" t="s">
        <v>563</v>
      </c>
      <c r="C14" s="71"/>
      <c r="D14" s="148">
        <v>3</v>
      </c>
      <c r="E14" s="145"/>
      <c r="F14" s="145"/>
      <c r="G14" s="145"/>
    </row>
    <row r="15" spans="2:7" ht="15.75">
      <c r="B15" s="150" t="s">
        <v>736</v>
      </c>
      <c r="C15" s="71"/>
      <c r="D15" s="148">
        <v>4</v>
      </c>
      <c r="E15" s="145"/>
      <c r="F15" s="145"/>
      <c r="G15" s="145"/>
    </row>
    <row r="16" spans="2:7" ht="15.75">
      <c r="B16" s="150" t="s">
        <v>593</v>
      </c>
      <c r="C16" s="93"/>
      <c r="D16" s="151">
        <v>5</v>
      </c>
      <c r="E16" s="153"/>
      <c r="F16" s="153"/>
      <c r="G16" s="153"/>
    </row>
    <row r="17" spans="2:7" ht="15.75">
      <c r="B17" s="150" t="s">
        <v>594</v>
      </c>
      <c r="C17" s="93"/>
      <c r="D17" s="151">
        <v>6</v>
      </c>
      <c r="E17" s="153"/>
      <c r="F17" s="153"/>
      <c r="G17" s="153"/>
    </row>
    <row r="18" spans="2:7" ht="15.75">
      <c r="B18" s="283" t="str">
        <f>IF(inputPrYr!D19="","","Computation to Determine State Library Grant")</f>
        <v>Computation to Determine State Library Grant</v>
      </c>
      <c r="C18" s="93"/>
      <c r="D18" s="161">
        <f>IF(inputPrYr!D19="","",'Library Grant'!F40)</f>
        <v>7</v>
      </c>
      <c r="E18" s="153"/>
      <c r="F18" s="153"/>
      <c r="G18" s="153"/>
    </row>
    <row r="19" spans="2:7" ht="15.75">
      <c r="B19" s="154" t="s">
        <v>595</v>
      </c>
      <c r="C19" s="155" t="s">
        <v>596</v>
      </c>
      <c r="D19" s="156"/>
      <c r="E19" s="157"/>
      <c r="F19" s="157"/>
      <c r="G19" s="157"/>
    </row>
    <row r="20" spans="2:7" ht="15.75">
      <c r="B20" s="64" t="s">
        <v>579</v>
      </c>
      <c r="C20" s="158" t="str">
        <f>IF(inputPrYr!C17&gt;0,(inputPrYr!C17),"  ")</f>
        <v>12-101a</v>
      </c>
      <c r="D20" s="151">
        <f>general!C59</f>
        <v>8</v>
      </c>
      <c r="E20" s="715">
        <f>IF(general!$E$111&lt;&gt;0,general!$E$111,"  ")</f>
        <v>5091837</v>
      </c>
      <c r="F20" s="716">
        <f>IF(general!$E$118&lt;&gt;0,general!$E$118,0)</f>
        <v>1682353.3103148416</v>
      </c>
      <c r="G20" s="717">
        <v>31.242</v>
      </c>
    </row>
    <row r="21" spans="2:7" ht="15.75">
      <c r="B21" s="64" t="s">
        <v>505</v>
      </c>
      <c r="C21" s="158" t="str">
        <f>IF(inputPrYr!C18&gt;0,(inputPrYr!C18),"  ")</f>
        <v>10-113</v>
      </c>
      <c r="D21" s="151">
        <f>IF('DebtSvs-library'!C81&gt;0,'DebtSvs-library'!C81,"  ")</f>
        <v>9</v>
      </c>
      <c r="E21" s="715">
        <f>IF('DebtSvs-library'!E33&lt;&gt;0,'DebtSvs-library'!E33,"  ")</f>
        <v>2064335</v>
      </c>
      <c r="F21" s="716">
        <f>IF('DebtSvs-library'!E40&lt;&gt;0,'DebtSvs-library'!E40,0)</f>
        <v>489387</v>
      </c>
      <c r="G21" s="717">
        <v>9.088</v>
      </c>
    </row>
    <row r="22" spans="2:10" ht="15.75">
      <c r="B22" s="87" t="str">
        <f>IF(inputPrYr!$B19&gt;"  ",(inputPrYr!$B19),"  ")</f>
        <v>Library</v>
      </c>
      <c r="C22" s="158" t="str">
        <f>IF(inputPrYr!C19&gt;0,(inputPrYr!C19),"  ")</f>
        <v>12-1220</v>
      </c>
      <c r="D22" s="151">
        <f>IF('DebtSvs-library'!C81&gt;0,'DebtSvs-library'!C81,"  ")</f>
        <v>9</v>
      </c>
      <c r="E22" s="715">
        <f>IF('DebtSvs-library'!E73&lt;&gt;0,'DebtSvs-library'!E73,"  ")</f>
        <v>330261</v>
      </c>
      <c r="F22" s="716">
        <f>IF('DebtSvs-library'!E80&lt;&gt;0,'DebtSvs-library'!E80,0)</f>
        <v>282649</v>
      </c>
      <c r="G22" s="717">
        <v>5.249</v>
      </c>
      <c r="I22" s="556"/>
      <c r="J22" s="556"/>
    </row>
    <row r="23" spans="2:10" ht="15.75">
      <c r="B23" s="87" t="str">
        <f>IF(inputPrYr!$B21&gt;"  ",(inputPrYr!$B21),"  ")</f>
        <v>Law Enforcement</v>
      </c>
      <c r="C23" s="158" t="str">
        <f>IF(inputPrYr!C21&gt;0,(inputPrYr!C21),"  ")</f>
        <v>12-110b</v>
      </c>
      <c r="D23" s="151">
        <f>IF('levy page9'!C81&gt;0,'levy page9'!C81,"  ")</f>
        <v>10</v>
      </c>
      <c r="E23" s="715">
        <f>IF('levy page9'!$E$33&gt;0,'levy page9'!$E$33,"  ")</f>
        <v>260536</v>
      </c>
      <c r="F23" s="716">
        <f>IF('levy page9'!E40&lt;&gt;0,'levy page9'!E40,0)</f>
        <v>107676</v>
      </c>
      <c r="G23" s="717">
        <v>1.999</v>
      </c>
      <c r="I23" s="556"/>
      <c r="J23" s="556"/>
    </row>
    <row r="24" spans="2:10" ht="15.75">
      <c r="B24" s="87" t="str">
        <f>IF(inputPrYr!$B22&gt;"  ",(inputPrYr!$B22),"  ")</f>
        <v>Special Liability</v>
      </c>
      <c r="C24" s="158" t="str">
        <f>IF(inputPrYr!C22&gt;0,(inputPrYr!C22),"  ")</f>
        <v>75-6110</v>
      </c>
      <c r="D24" s="151">
        <f>IF('levy page9'!C81&gt;0,'levy page9'!C81,"  ")</f>
        <v>10</v>
      </c>
      <c r="E24" s="715">
        <f>IF('levy page9'!$E$73&gt;0,'levy page9'!$E$73,"  ")</f>
        <v>50000</v>
      </c>
      <c r="F24" s="716">
        <f>IF('levy page9'!E80&lt;&gt;0,'levy page9'!E80,0)</f>
        <v>45642</v>
      </c>
      <c r="G24" s="717">
        <v>0.847</v>
      </c>
      <c r="I24" s="556"/>
      <c r="J24" s="556"/>
    </row>
    <row r="25" spans="2:10" ht="15.75" hidden="1">
      <c r="B25" s="87" t="str">
        <f>IF(inputPrYr!$B23&gt;"  ",(inputPrYr!$B23),"  ")</f>
        <v>  </v>
      </c>
      <c r="C25" s="158" t="str">
        <f>IF(inputPrYr!C23&gt;0,(inputPrYr!C23),"  ")</f>
        <v>  </v>
      </c>
      <c r="D25" s="151" t="str">
        <f>IF('levy page10'!C82&gt;0,'levy page10'!C82,"  ")</f>
        <v>  </v>
      </c>
      <c r="E25" s="715" t="str">
        <f>IF('levy page10'!$E$33&gt;0,'levy page10'!$E$33,"  ")</f>
        <v>  </v>
      </c>
      <c r="F25" s="716">
        <f>IF('levy page10'!E40&lt;&gt;0,'levy page10'!E40,0)</f>
        <v>0</v>
      </c>
      <c r="G25" s="717">
        <f aca="true" t="shared" si="0" ref="G25:G32">IF($G$59=0,"",ROUND(F25/$G$59*1000,3))</f>
        <v>0</v>
      </c>
      <c r="I25" s="556"/>
      <c r="J25" s="556"/>
    </row>
    <row r="26" spans="2:10" ht="15.75" hidden="1">
      <c r="B26" s="87" t="str">
        <f>IF(inputPrYr!$B24&gt;"  ",(inputPrYr!$B24),"  ")</f>
        <v>  </v>
      </c>
      <c r="C26" s="158" t="str">
        <f>IF(inputPrYr!C24&gt;0,(inputPrYr!C24),"  ")</f>
        <v>  </v>
      </c>
      <c r="D26" s="151" t="str">
        <f>IF('levy page10'!C82&gt;0,'levy page10'!C82,"  ")</f>
        <v>  </v>
      </c>
      <c r="E26" s="715" t="str">
        <f>IF('levy page10'!$E$73&gt;0,'levy page10'!$E$73,"  ")</f>
        <v>  </v>
      </c>
      <c r="F26" s="716">
        <f>IF('levy page10'!E80&lt;&gt;0,'levy page10'!E80,0)</f>
        <v>0</v>
      </c>
      <c r="G26" s="717">
        <f t="shared" si="0"/>
        <v>0</v>
      </c>
      <c r="I26" s="556"/>
      <c r="J26" s="556"/>
    </row>
    <row r="27" spans="2:10" ht="15.75" hidden="1">
      <c r="B27" s="87" t="str">
        <f>IF(inputPrYr!$B25&gt;"  ",(inputPrYr!$B25),"  ")</f>
        <v>  </v>
      </c>
      <c r="C27" s="158" t="str">
        <f>IF(inputPrYr!C25&gt;0,(inputPrYr!C25),"  ")</f>
        <v>  </v>
      </c>
      <c r="D27" s="151" t="str">
        <f>IF('levy page11'!C82&gt;0,'levy page11'!C82,"  ")</f>
        <v>  </v>
      </c>
      <c r="E27" s="715" t="str">
        <f>IF('levy page11'!$E$33&gt;0,'levy page11'!$E$33,"  ")</f>
        <v>  </v>
      </c>
      <c r="F27" s="716">
        <f>IF('levy page11'!E40&lt;&gt;0,'levy page11'!E40,0)</f>
        <v>0</v>
      </c>
      <c r="G27" s="717">
        <f t="shared" si="0"/>
        <v>0</v>
      </c>
      <c r="I27" s="556"/>
      <c r="J27" s="556"/>
    </row>
    <row r="28" spans="2:10" ht="15.75" hidden="1">
      <c r="B28" s="87" t="str">
        <f>IF(inputPrYr!$B26&gt;"  ",(inputPrYr!$B26),"  ")</f>
        <v>  </v>
      </c>
      <c r="C28" s="158" t="str">
        <f>IF(inputPrYr!C26&gt;0,(inputPrYr!C26),"  ")</f>
        <v>  </v>
      </c>
      <c r="D28" s="151" t="str">
        <f>IF('levy page11'!C82&gt;0,'levy page11'!C82,"  ")</f>
        <v>  </v>
      </c>
      <c r="E28" s="715" t="str">
        <f>IF('levy page11'!$E$73&gt;0,'levy page11'!$E$73,"  ")</f>
        <v>  </v>
      </c>
      <c r="F28" s="716">
        <f>IF('levy page11'!E80&lt;&gt;0,'levy page11'!E80,0)</f>
        <v>0</v>
      </c>
      <c r="G28" s="717">
        <f t="shared" si="0"/>
        <v>0</v>
      </c>
      <c r="I28" s="556"/>
      <c r="J28" s="556"/>
    </row>
    <row r="29" spans="2:10" ht="15.75" hidden="1">
      <c r="B29" s="87" t="str">
        <f>IF(inputPrYr!$B27&gt;"  ",(inputPrYr!$B27),"  ")</f>
        <v>  </v>
      </c>
      <c r="C29" s="158" t="str">
        <f>IF(inputPrYr!C27&gt;0,(inputPrYr!C27),"  ")</f>
        <v>  </v>
      </c>
      <c r="D29" s="151" t="str">
        <f>IF('levy page12'!C82&gt;0,'levy page12'!C82,"  ")</f>
        <v>  </v>
      </c>
      <c r="E29" s="715" t="str">
        <f>IF('levy page12'!$E$33&gt;0,'levy page12'!$E$33,"  ")</f>
        <v>  </v>
      </c>
      <c r="F29" s="716">
        <f>IF('levy page12'!E40&lt;&gt;0,'levy page12'!E40,0)</f>
        <v>0</v>
      </c>
      <c r="G29" s="717">
        <f t="shared" si="0"/>
        <v>0</v>
      </c>
      <c r="I29" s="556"/>
      <c r="J29" s="556"/>
    </row>
    <row r="30" spans="2:10" ht="15.75" hidden="1">
      <c r="B30" s="87" t="str">
        <f>IF(inputPrYr!$B28&gt;"  ",(inputPrYr!$B28),"  ")</f>
        <v>  </v>
      </c>
      <c r="C30" s="158" t="str">
        <f>IF(inputPrYr!C28&gt;0,(inputPrYr!C28),"  ")</f>
        <v>  </v>
      </c>
      <c r="D30" s="151" t="str">
        <f>IF('levy page12'!C82&gt;0,'levy page12'!C82,"  ")</f>
        <v>  </v>
      </c>
      <c r="E30" s="715" t="str">
        <f>IF('levy page12'!$E$73&gt;0,'levy page12'!$E$73,"  ")</f>
        <v>  </v>
      </c>
      <c r="F30" s="716">
        <f>IF('levy page12'!E80&lt;&gt;0,'levy page12'!E80,0)</f>
        <v>0</v>
      </c>
      <c r="G30" s="717">
        <f t="shared" si="0"/>
        <v>0</v>
      </c>
      <c r="I30" s="556"/>
      <c r="J30" s="556"/>
    </row>
    <row r="31" spans="2:10" ht="15.75" hidden="1">
      <c r="B31" s="87" t="str">
        <f>IF(inputPrYr!$B29&gt;"  ",(inputPrYr!$B29),"  ")</f>
        <v>  </v>
      </c>
      <c r="C31" s="158" t="str">
        <f>IF(inputPrYr!C29&gt;0,(inputPrYr!C29),"  ")</f>
        <v>  </v>
      </c>
      <c r="D31" s="151" t="str">
        <f>IF('levy page13'!C82&gt;0,'levy page13'!C82,"  ")</f>
        <v>  </v>
      </c>
      <c r="E31" s="715" t="str">
        <f>IF('levy page13'!$E$33&gt;0,'levy page13'!$E$33,"  ")</f>
        <v>  </v>
      </c>
      <c r="F31" s="716">
        <f>IF('levy page13'!E40&lt;&gt;0,'levy page13'!E40,0)</f>
        <v>0</v>
      </c>
      <c r="G31" s="717">
        <f t="shared" si="0"/>
        <v>0</v>
      </c>
      <c r="I31" s="556"/>
      <c r="J31" s="556"/>
    </row>
    <row r="32" spans="2:9" ht="15.75">
      <c r="B32" s="87" t="str">
        <f>IF(inputPrYr!B30&gt;"  ",(inputPrYr!B30),"  ")</f>
        <v>  </v>
      </c>
      <c r="C32" s="158" t="str">
        <f>IF(inputPrYr!C30&gt;0,(inputPrYr!C30),"  ")</f>
        <v>  </v>
      </c>
      <c r="D32" s="151" t="str">
        <f>IF('levy page13'!C82&gt;0,'levy page13'!C82,"  ")</f>
        <v>  </v>
      </c>
      <c r="E32" s="715" t="str">
        <f>IF('levy page13'!$E$73&gt;0,'levy page13'!$E$73,"  ")</f>
        <v>  </v>
      </c>
      <c r="F32" s="716">
        <f>IF('levy page13'!E80&lt;&gt;0,'levy page13'!E80,0)</f>
        <v>0</v>
      </c>
      <c r="G32" s="717">
        <f t="shared" si="0"/>
        <v>0</v>
      </c>
      <c r="I32" s="554"/>
    </row>
    <row r="33" spans="2:7" ht="15.75">
      <c r="B33" s="159" t="str">
        <f>IF(inputPrYr!$B34&gt;"  ",(inputPrYr!$B34),"  ")</f>
        <v>Special Highway</v>
      </c>
      <c r="C33" s="160"/>
      <c r="D33" s="161">
        <f>IF('Sp Hiway'!C67&gt;0,'Sp Hiway'!C67,"  ")</f>
        <v>11</v>
      </c>
      <c r="E33" s="715">
        <f>IF('Sp Hiway'!$E$30&gt;0,'Sp Hiway'!$E$30,"  ")</f>
        <v>449239</v>
      </c>
      <c r="F33" s="715"/>
      <c r="G33" s="718"/>
    </row>
    <row r="34" spans="2:7" ht="15.75">
      <c r="B34" s="159" t="str">
        <f>IF(inputPrYr!$B35&gt;"  ",(inputPrYr!$B35),"  ")</f>
        <v>Highway Improvement Reserve</v>
      </c>
      <c r="C34" s="160"/>
      <c r="D34" s="161">
        <f>IF('Sp Hiway'!C67&gt;0,'Sp Hiway'!C67,"  ")</f>
        <v>11</v>
      </c>
      <c r="E34" s="715">
        <f>IF('Sp Hiway'!$E$61&gt;0,'Sp Hiway'!$E$61,"  ")</f>
        <v>113351</v>
      </c>
      <c r="F34" s="715"/>
      <c r="G34" s="718"/>
    </row>
    <row r="35" spans="2:7" ht="15.75">
      <c r="B35" s="159" t="str">
        <f>IF(inputPrYr!$B36&gt;"  ",(inputPrYr!$B36),"  ")</f>
        <v>Office Equipment Repair/Acq</v>
      </c>
      <c r="C35" s="162"/>
      <c r="D35" s="161">
        <f>IF('no levy page15'!C65&gt;0,'no levy page15'!C65,"  ")</f>
        <v>12</v>
      </c>
      <c r="E35" s="715">
        <f>IF('no levy page15'!$E$28&gt;0,'no levy page15'!$E$28,"  ")</f>
        <v>30341</v>
      </c>
      <c r="F35" s="715"/>
      <c r="G35" s="718"/>
    </row>
    <row r="36" spans="2:7" ht="15.75">
      <c r="B36" s="159" t="str">
        <f>IF(inputPrYr!$B37&gt;"  ",(inputPrYr!$B37),"  ")</f>
        <v>Special Parks &amp; Recreation</v>
      </c>
      <c r="C36" s="160"/>
      <c r="D36" s="161">
        <f>IF('no levy page15'!C65&gt;0,'no levy page15'!C65,"  ")</f>
        <v>12</v>
      </c>
      <c r="E36" s="715">
        <f>IF('no levy page15'!$E$59&gt;0,'no levy page15'!$E$59,"  ")</f>
        <v>19781</v>
      </c>
      <c r="F36" s="715"/>
      <c r="G36" s="718"/>
    </row>
    <row r="37" spans="2:7" ht="15.75">
      <c r="B37" s="159" t="str">
        <f>IF(inputPrYr!$B38&gt;"  ",(inputPrYr!$B38),"  ")</f>
        <v>Special Alcohol</v>
      </c>
      <c r="C37" s="162"/>
      <c r="D37" s="161">
        <f>IF('no levy page16'!C65&gt;0,'no levy page16'!C65,"  ")</f>
        <v>13</v>
      </c>
      <c r="E37" s="715">
        <f>IF('no levy page16'!$E$28&gt;0,'no levy page16'!$E$28,"  ")</f>
        <v>53616</v>
      </c>
      <c r="F37" s="715"/>
      <c r="G37" s="718"/>
    </row>
    <row r="38" spans="2:7" ht="15.75">
      <c r="B38" s="159" t="str">
        <f>IF(inputPrYr!$B39&gt;"  ",(inputPrYr!$B39),"  ")</f>
        <v>Stormwater</v>
      </c>
      <c r="C38" s="163"/>
      <c r="D38" s="161">
        <f>IF('no levy page16'!C65&gt;0,'no levy page16'!C65,"  ")</f>
        <v>13</v>
      </c>
      <c r="E38" s="715">
        <f>IF('no levy page16'!$E$59&gt;0,'no levy page16'!$E$59,"  ")</f>
        <v>188725</v>
      </c>
      <c r="F38" s="715"/>
      <c r="G38" s="718"/>
    </row>
    <row r="39" spans="2:7" ht="15.75">
      <c r="B39" s="159" t="str">
        <f>IF(inputPrYr!$B40&gt;"  ",(inputPrYr!$B40),"  ")</f>
        <v>Wastewater Debt Service Res.</v>
      </c>
      <c r="C39" s="163"/>
      <c r="D39" s="161">
        <f>IF('no levy page17'!C65&gt;0,'no levy page17'!C65,"  ")</f>
        <v>14</v>
      </c>
      <c r="E39" s="715">
        <f>IF('no levy page17'!$E$28&gt;0,'no levy page17'!$E$28,"  ")</f>
        <v>459882</v>
      </c>
      <c r="F39" s="715"/>
      <c r="G39" s="718"/>
    </row>
    <row r="40" spans="2:7" ht="15.75">
      <c r="B40" s="159" t="str">
        <f>IF(inputPrYr!$B41&gt;"  ",(inputPrYr!$B41),"  ")</f>
        <v>Sp. Park Improvement Res.</v>
      </c>
      <c r="C40" s="163"/>
      <c r="D40" s="161">
        <f>IF('no levy page17'!C65&gt;0,'no levy page17'!C65,"  ")</f>
        <v>14</v>
      </c>
      <c r="E40" s="715">
        <f>IF('no levy page17'!$E$59&gt;0,'no levy page17'!$E$59,"  ")</f>
        <v>104973</v>
      </c>
      <c r="F40" s="715"/>
      <c r="G40" s="718"/>
    </row>
    <row r="41" spans="2:7" ht="15.75">
      <c r="B41" s="159" t="str">
        <f>IF(inputPrYr!$B42&gt;"  ",(inputPrYr!$B42),"  ")</f>
        <v>Water/Wastewater Surplus</v>
      </c>
      <c r="C41" s="160"/>
      <c r="D41" s="161">
        <f>IF('no levy page18'!C65&gt;0,'no levy page18'!C65,"  ")</f>
        <v>15</v>
      </c>
      <c r="E41" s="715">
        <f>IF('no levy page18'!$E$28&gt;0,'no levy page18'!$E$28,"  ")</f>
        <v>220141</v>
      </c>
      <c r="F41" s="715"/>
      <c r="G41" s="718"/>
    </row>
    <row r="42" spans="2:7" ht="15.75">
      <c r="B42" s="159" t="str">
        <f>IF(inputPrYr!$B43&gt;"  ",(inputPrYr!$B43),"  ")</f>
        <v>Equipment Reserve</v>
      </c>
      <c r="C42" s="160"/>
      <c r="D42" s="161">
        <f>IF('no levy page18'!C65&gt;0,'no levy page18'!C65,"  ")</f>
        <v>15</v>
      </c>
      <c r="E42" s="715">
        <f>IF('no levy page18'!$E$59&gt;0,'no levy page18'!$E$59,"  ")</f>
        <v>421502</v>
      </c>
      <c r="F42" s="715"/>
      <c r="G42" s="718"/>
    </row>
    <row r="43" spans="2:7" ht="15.75">
      <c r="B43" s="159" t="str">
        <f>IF(inputPrYr!$B44&gt;"  ",(inputPrYr!$B44),"  ")</f>
        <v>Risk Management Reserve</v>
      </c>
      <c r="C43" s="160"/>
      <c r="D43" s="161">
        <f>IF('no levy page19'!C65&gt;0,'no levy page19'!C65,"  ")</f>
        <v>16</v>
      </c>
      <c r="E43" s="715">
        <f>IF('no levy page19'!$E$28&gt;0,'no levy page19'!$E$28,"  ")</f>
        <v>675449</v>
      </c>
      <c r="F43" s="715"/>
      <c r="G43" s="718"/>
    </row>
    <row r="44" spans="2:7" ht="15.75">
      <c r="B44" s="159" t="str">
        <f>IF(inputPrYr!$B45&gt;"  ",(inputPrYr!$B45),"  ")</f>
        <v>Transient Guest Tax</v>
      </c>
      <c r="C44" s="160"/>
      <c r="D44" s="161">
        <f>IF('no levy page19'!C65&gt;0,'no levy page19'!C65,"  ")</f>
        <v>16</v>
      </c>
      <c r="E44" s="715">
        <f>IF('no levy page19'!$E$59&gt;0,'no levy page19'!$E$59,"  ")</f>
        <v>44909</v>
      </c>
      <c r="F44" s="715"/>
      <c r="G44" s="718"/>
    </row>
    <row r="45" spans="2:7" ht="15.75">
      <c r="B45" s="159" t="str">
        <f>IF(inputPrYr!$B46&gt;"  ",(inputPrYr!$B46),"  ")</f>
        <v>Municipal Pool</v>
      </c>
      <c r="C45" s="160"/>
      <c r="D45" s="161">
        <f>IF('no levy page20'!C66&gt;0,'no levy page20'!C66,"  ")</f>
        <v>17</v>
      </c>
      <c r="E45" s="715">
        <f>IF('no levy page20'!$E$29&gt;0,'no levy page20'!$E$29,"  ")</f>
        <v>102800</v>
      </c>
      <c r="F45" s="715"/>
      <c r="G45" s="718"/>
    </row>
    <row r="46" spans="2:7" ht="15.75" hidden="1">
      <c r="B46" s="159" t="str">
        <f>IF(inputPrYr!$B47&gt;"  ",(inputPrYr!$B47),"  ")</f>
        <v>  </v>
      </c>
      <c r="C46" s="160"/>
      <c r="D46" s="161">
        <f>IF('no levy page20'!C66&gt;0,'no levy page20'!C66,"  ")</f>
        <v>17</v>
      </c>
      <c r="E46" s="715" t="str">
        <f>IF('no levy page20'!$E$60&gt;0,'no levy page20'!$E$60,"  ")</f>
        <v>  </v>
      </c>
      <c r="F46" s="715"/>
      <c r="G46" s="718"/>
    </row>
    <row r="47" spans="2:7" ht="15.75" hidden="1">
      <c r="B47" s="159" t="str">
        <f>IF(inputPrYr!$B48&gt;"  ",(inputPrYr!$B48),"  ")</f>
        <v>  </v>
      </c>
      <c r="C47" s="162"/>
      <c r="D47" s="161">
        <f>IF('no levy page20'!C66&gt;0,'no levy page21'!C65,"  ")</f>
        <v>0</v>
      </c>
      <c r="E47" s="715" t="str">
        <f>IF('no levy page21'!$E$28&gt;0,'no levy page21'!$E$28,"  ")</f>
        <v>  </v>
      </c>
      <c r="F47" s="715"/>
      <c r="G47" s="718"/>
    </row>
    <row r="48" spans="2:7" ht="15.75" hidden="1">
      <c r="B48" s="159" t="str">
        <f>IF(inputPrYr!$B49&gt;"  ",(inputPrYr!$B49),"  ")</f>
        <v>  </v>
      </c>
      <c r="C48" s="163"/>
      <c r="D48" s="161" t="str">
        <f>IF('no levy page21'!C65&gt;0,'no levy page21'!C65,"  ")</f>
        <v>  </v>
      </c>
      <c r="E48" s="715" t="str">
        <f>IF('no levy page21'!$E$59&gt;0,'no levy page21'!$E$59,"  ")</f>
        <v>  </v>
      </c>
      <c r="F48" s="715"/>
      <c r="G48" s="718"/>
    </row>
    <row r="49" spans="2:7" ht="15.75">
      <c r="B49" s="159" t="str">
        <f>IF(inputPrYr!$B51&gt;"  ",(inputPrYr!$B51),"  ")</f>
        <v>Water/Wastewater</v>
      </c>
      <c r="C49" s="160"/>
      <c r="D49" s="161">
        <f>IF(SinNoLevy22!C65&gt;0,SinNoLevy22!C65,"  ")</f>
        <v>18</v>
      </c>
      <c r="E49" s="715">
        <f>IF(SinNoLevy22!$E$59&gt;0,SinNoLevy22!$E$59,"  ")</f>
        <v>3275095</v>
      </c>
      <c r="F49" s="715"/>
      <c r="G49" s="718"/>
    </row>
    <row r="50" spans="2:7" ht="15.75">
      <c r="B50" s="159" t="str">
        <f>IF(inputPrYr!$B52&gt;"  ",(inputPrYr!$B52),"  ")</f>
        <v>Recreation</v>
      </c>
      <c r="C50" s="160"/>
      <c r="D50" s="161">
        <f>IF(SinNoLevy23!C53&gt;0,SinNoLevy23!C53,"  ")</f>
        <v>19</v>
      </c>
      <c r="E50" s="715">
        <f>IF(SinNoLevy23!$E$47&gt;0,SinNoLevy23!$E$47,"  ")</f>
        <v>563249</v>
      </c>
      <c r="F50" s="715"/>
      <c r="G50" s="718"/>
    </row>
    <row r="51" spans="2:7" ht="15.75">
      <c r="B51" s="159" t="str">
        <f>IF(inputPrYr!$B53&gt;"  ",(inputPrYr!$B53),"  ")</f>
        <v>Capital Improvements</v>
      </c>
      <c r="C51" s="162"/>
      <c r="D51" s="161">
        <f>IF(SinNoLevy24!C53&gt;0,SinNoLevy24!C53,"  ")</f>
        <v>20</v>
      </c>
      <c r="E51" s="715">
        <f>IF(SinNoLevy24!$E$47&gt;0,SinNoLevy24!$E$47,"  ")</f>
        <v>1017967</v>
      </c>
      <c r="F51" s="715"/>
      <c r="G51" s="718"/>
    </row>
    <row r="52" spans="2:7" ht="15.75" hidden="1">
      <c r="B52" s="159" t="str">
        <f>IF(inputPrYr!$B54&gt;"  ",(inputPrYr!$B54),"  ")</f>
        <v>  </v>
      </c>
      <c r="C52" s="163"/>
      <c r="D52" s="161" t="str">
        <f>IF(SinNoLevy25!C53&gt;0,SinNoLevy25!C53,"  ")</f>
        <v>  </v>
      </c>
      <c r="E52" s="715" t="str">
        <f>IF(SinNoLevy25!$E$47&gt;0,SinNoLevy25!$E$47,"  ")</f>
        <v>  </v>
      </c>
      <c r="F52" s="715"/>
      <c r="G52" s="718"/>
    </row>
    <row r="53" spans="2:7" ht="15.75" hidden="1">
      <c r="B53" s="159" t="str">
        <f>IF(inputPrYr!$B57&gt;"  ",(NonBudA!$A3),"  ")</f>
        <v>  </v>
      </c>
      <c r="C53" s="163"/>
      <c r="D53" s="161" t="str">
        <f>IF(NonBudA!F33&gt;0,NonBudA!F33,"  ")</f>
        <v>  </v>
      </c>
      <c r="E53" s="715"/>
      <c r="F53" s="715"/>
      <c r="G53" s="718"/>
    </row>
    <row r="54" spans="2:7" ht="15.75" hidden="1">
      <c r="B54" s="159" t="str">
        <f>IF(inputPrYr!$B63&gt;"  ",(NonBudB!$A3),"  ")</f>
        <v>  </v>
      </c>
      <c r="C54" s="163"/>
      <c r="D54" s="161" t="str">
        <f>IF(NonBudB!F33&gt;0,NonBudB!F33,"  ")</f>
        <v>  </v>
      </c>
      <c r="E54" s="715"/>
      <c r="F54" s="715"/>
      <c r="G54" s="718"/>
    </row>
    <row r="55" spans="2:7" ht="15.75" hidden="1">
      <c r="B55" s="159" t="str">
        <f>IF(inputPrYr!$B69&gt;"  ",(NonBudC!$A3),"  ")</f>
        <v>  </v>
      </c>
      <c r="C55" s="160"/>
      <c r="D55" s="161" t="str">
        <f>IF(NonBudC!F33&gt;0,NonBudC!F33,"  ")</f>
        <v>  </v>
      </c>
      <c r="E55" s="715"/>
      <c r="F55" s="715"/>
      <c r="G55" s="718"/>
    </row>
    <row r="56" spans="2:7" ht="16.5" thickBot="1">
      <c r="B56" s="159" t="str">
        <f>IF(inputPrYr!$B75&gt;"  ",(NonBudD!$A3),"  ")</f>
        <v>  </v>
      </c>
      <c r="C56" s="162"/>
      <c r="D56" s="161" t="str">
        <f>IF(NonBudD!F33&gt;0,NonBudD!F33,"  ")</f>
        <v>  </v>
      </c>
      <c r="E56" s="719"/>
      <c r="F56" s="719"/>
      <c r="G56" s="720"/>
    </row>
    <row r="57" spans="2:7" ht="15.75">
      <c r="B57" s="405" t="s">
        <v>363</v>
      </c>
      <c r="C57" s="93"/>
      <c r="D57" s="257" t="s">
        <v>598</v>
      </c>
      <c r="E57" s="721">
        <f>SUM(E20:E56)</f>
        <v>15537989</v>
      </c>
      <c r="F57" s="721">
        <f>SUM(F20:F56)</f>
        <v>2607707.3103148416</v>
      </c>
      <c r="G57" s="722">
        <f>IF(SUM(G20:G56)=0,"",SUM(G20:G56))</f>
        <v>48.425000000000004</v>
      </c>
    </row>
    <row r="58" spans="2:7" ht="15.75">
      <c r="B58" s="164" t="s">
        <v>850</v>
      </c>
      <c r="C58" s="165"/>
      <c r="D58" s="166"/>
      <c r="E58" s="167"/>
      <c r="F58" s="168" t="str">
        <f>IF(F57&gt;computation!J40,"Yes","No")</f>
        <v>No</v>
      </c>
      <c r="G58" s="432" t="s">
        <v>740</v>
      </c>
    </row>
    <row r="59" spans="2:7" ht="15.75">
      <c r="B59" s="150" t="s">
        <v>849</v>
      </c>
      <c r="C59" s="93"/>
      <c r="D59" s="151">
        <f>summ!D70</f>
        <v>21</v>
      </c>
      <c r="E59" s="47"/>
      <c r="F59" s="47"/>
      <c r="G59" s="530">
        <v>53849904</v>
      </c>
    </row>
    <row r="60" spans="2:7" ht="15.75">
      <c r="B60" s="150" t="s">
        <v>471</v>
      </c>
      <c r="C60" s="93"/>
      <c r="D60" s="151">
        <f>IF(nhood!C39&gt;0,nhood!C39,"")</f>
      </c>
      <c r="E60" s="47"/>
      <c r="F60" s="47"/>
      <c r="G60" s="770" t="str">
        <f>CONCATENATE("Nov 1, ",I1-1," Total Assessed Valuation")</f>
        <v>Nov 1, 2012 Total Assessed Valuation</v>
      </c>
    </row>
    <row r="61" spans="2:7" ht="15.75">
      <c r="B61" s="107" t="s">
        <v>599</v>
      </c>
      <c r="C61" s="76"/>
      <c r="D61" s="76"/>
      <c r="E61" s="76"/>
      <c r="F61" s="76"/>
      <c r="G61" s="771"/>
    </row>
    <row r="62" spans="2:7" ht="15.75">
      <c r="B62" s="348"/>
      <c r="C62" s="76"/>
      <c r="D62" s="47"/>
      <c r="E62" s="287"/>
      <c r="F62" s="76"/>
      <c r="G62" s="76"/>
    </row>
    <row r="63" spans="2:7" ht="15.75">
      <c r="B63" s="349"/>
      <c r="C63" s="76"/>
      <c r="D63" s="77" t="s">
        <v>560</v>
      </c>
      <c r="E63" s="287"/>
      <c r="F63" s="76"/>
      <c r="G63" s="76"/>
    </row>
    <row r="64" spans="2:7" ht="15.75">
      <c r="B64" s="107" t="s">
        <v>753</v>
      </c>
      <c r="C64" s="47"/>
      <c r="D64" s="75"/>
      <c r="E64" s="287"/>
      <c r="F64" s="76"/>
      <c r="G64" s="76"/>
    </row>
    <row r="65" spans="2:7" ht="15.75">
      <c r="B65" s="348"/>
      <c r="C65" s="76"/>
      <c r="D65" s="76" t="s">
        <v>561</v>
      </c>
      <c r="E65" s="287"/>
      <c r="F65" s="287"/>
      <c r="G65" s="287"/>
    </row>
    <row r="66" spans="2:7" ht="15.75">
      <c r="B66" s="349"/>
      <c r="C66" s="169"/>
      <c r="D66" s="76"/>
      <c r="E66" s="76"/>
      <c r="F66" s="705"/>
      <c r="G66" s="705"/>
    </row>
    <row r="67" spans="2:7" ht="15.75">
      <c r="B67" s="76" t="s">
        <v>562</v>
      </c>
      <c r="C67" s="169"/>
      <c r="D67" s="76" t="s">
        <v>561</v>
      </c>
      <c r="E67" s="76"/>
      <c r="F67" s="706"/>
      <c r="G67" s="706"/>
    </row>
    <row r="68" spans="2:7" ht="15.75">
      <c r="B68" s="349"/>
      <c r="C68" s="170"/>
      <c r="D68" s="76"/>
      <c r="E68" s="76"/>
      <c r="F68" s="98"/>
      <c r="G68" s="98"/>
    </row>
    <row r="69" spans="2:7" ht="15.75">
      <c r="B69" s="560" t="s">
        <v>463</v>
      </c>
      <c r="C69" s="171">
        <f>I1-1</f>
        <v>2012</v>
      </c>
      <c r="D69" s="76" t="s">
        <v>561</v>
      </c>
      <c r="E69" s="76"/>
      <c r="F69" s="706"/>
      <c r="G69" s="706"/>
    </row>
    <row r="70" spans="2:7" ht="15.75">
      <c r="B70" s="287"/>
      <c r="C70" s="171"/>
      <c r="D70" s="76"/>
      <c r="E70" s="76"/>
      <c r="F70" s="138"/>
      <c r="G70" s="47"/>
    </row>
    <row r="71" spans="2:7" ht="15.75">
      <c r="B71" s="561"/>
      <c r="C71" s="47"/>
      <c r="D71" s="76" t="s">
        <v>561</v>
      </c>
      <c r="E71" s="76"/>
      <c r="F71" s="76"/>
      <c r="G71" s="76"/>
    </row>
    <row r="72" spans="2:7" ht="15.75">
      <c r="B72" s="137" t="s">
        <v>601</v>
      </c>
      <c r="C72" s="47"/>
      <c r="D72" s="768" t="s">
        <v>600</v>
      </c>
      <c r="E72" s="769"/>
      <c r="F72" s="769"/>
      <c r="G72" s="769"/>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mergeCells count="4">
    <mergeCell ref="B4:G4"/>
    <mergeCell ref="B2:G2"/>
    <mergeCell ref="D72:G72"/>
    <mergeCell ref="G60:G61"/>
  </mergeCells>
  <printOptions/>
  <pageMargins left="1" right="0.5" top="0.5" bottom="0.5" header="0.25" footer="0.25"/>
  <pageSetup blackAndWhite="1" fitToHeight="1" fitToWidth="1" horizontalDpi="600" verticalDpi="600" orientation="portrait" scale="67"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tabColor indexed="62"/>
    <pageSetUpPr fitToPage="1"/>
  </sheetPr>
  <dimension ref="A1:J44"/>
  <sheetViews>
    <sheetView zoomScale="85" zoomScaleNormal="85" zoomScalePageLayoutView="0" workbookViewId="0" topLeftCell="A1">
      <selection activeCell="D18" sqref="D1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Haysville</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73" t="str">
        <f>CONCATENATE("Computation to Determine Limit for ",J1,"")</f>
        <v>Computation to Determine Limit for 2013</v>
      </c>
      <c r="B3" s="774"/>
      <c r="C3" s="774"/>
      <c r="D3" s="774"/>
      <c r="E3" s="774"/>
      <c r="F3" s="774"/>
      <c r="G3" s="774"/>
      <c r="H3" s="774"/>
      <c r="I3" s="774"/>
      <c r="J3" s="774"/>
    </row>
    <row r="4" spans="1:10" ht="15.75">
      <c r="A4" s="173"/>
      <c r="B4" s="173"/>
      <c r="C4" s="173"/>
      <c r="D4" s="173"/>
      <c r="E4" s="774"/>
      <c r="F4" s="774"/>
      <c r="G4" s="774"/>
      <c r="H4" s="175"/>
      <c r="I4" s="173"/>
      <c r="J4" s="176" t="s">
        <v>684</v>
      </c>
    </row>
    <row r="5" spans="1:10" ht="15.75">
      <c r="A5" s="177" t="s">
        <v>685</v>
      </c>
      <c r="B5" s="173" t="str">
        <f>CONCATENATE("Total Tax Levy Amount in ",J1-1," Budget")</f>
        <v>Total Tax Levy Amount in 2012 Budget</v>
      </c>
      <c r="C5" s="173"/>
      <c r="D5" s="173"/>
      <c r="E5" s="178"/>
      <c r="F5" s="178"/>
      <c r="G5" s="178"/>
      <c r="H5" s="179" t="s">
        <v>686</v>
      </c>
      <c r="I5" s="178" t="s">
        <v>687</v>
      </c>
      <c r="J5" s="180">
        <f>inputPrYr!E31</f>
        <v>2622287</v>
      </c>
    </row>
    <row r="6" spans="1:10" ht="15.75">
      <c r="A6" s="177" t="s">
        <v>688</v>
      </c>
      <c r="B6" s="173" t="str">
        <f>CONCATENATE("Debt Service Levy in ",J1-1," Budget")</f>
        <v>Debt Service Levy in 2012 Budget</v>
      </c>
      <c r="C6" s="173"/>
      <c r="D6" s="173"/>
      <c r="E6" s="178"/>
      <c r="F6" s="178"/>
      <c r="G6" s="178"/>
      <c r="H6" s="179" t="s">
        <v>689</v>
      </c>
      <c r="I6" s="178" t="s">
        <v>687</v>
      </c>
      <c r="J6" s="181">
        <f>inputPrYr!E18</f>
        <v>498558</v>
      </c>
    </row>
    <row r="7" spans="1:10" ht="15.75">
      <c r="A7" s="177" t="s">
        <v>716</v>
      </c>
      <c r="B7" s="182" t="s">
        <v>713</v>
      </c>
      <c r="C7" s="173"/>
      <c r="D7" s="173"/>
      <c r="E7" s="178"/>
      <c r="F7" s="178"/>
      <c r="G7" s="178"/>
      <c r="H7" s="178"/>
      <c r="I7" s="178" t="s">
        <v>687</v>
      </c>
      <c r="J7" s="183">
        <f>J5-J6</f>
        <v>2123729</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690</v>
      </c>
      <c r="B11" s="182" t="str">
        <f>CONCATENATE("New Improvements for ",J1-1,":")</f>
        <v>New Improvements for 2012:</v>
      </c>
      <c r="C11" s="173"/>
      <c r="D11" s="173"/>
      <c r="E11" s="179"/>
      <c r="F11" s="179" t="s">
        <v>686</v>
      </c>
      <c r="G11" s="184">
        <f>inputOth!E8</f>
        <v>885088</v>
      </c>
      <c r="H11" s="185"/>
      <c r="I11" s="178"/>
      <c r="J11" s="178"/>
    </row>
    <row r="12" spans="1:10" ht="15.75">
      <c r="A12" s="177"/>
      <c r="B12" s="186"/>
      <c r="C12" s="173"/>
      <c r="D12" s="173"/>
      <c r="E12" s="179"/>
      <c r="F12" s="179"/>
      <c r="G12" s="185"/>
      <c r="H12" s="185"/>
      <c r="I12" s="178"/>
      <c r="J12" s="178"/>
    </row>
    <row r="13" spans="1:10" ht="15.75">
      <c r="A13" s="177" t="s">
        <v>691</v>
      </c>
      <c r="B13" s="182" t="str">
        <f>CONCATENATE("Increase in Personal Property for ",J1-1,":")</f>
        <v>Increase in Personal Property for 2012:</v>
      </c>
      <c r="C13" s="173"/>
      <c r="D13" s="173"/>
      <c r="E13" s="179"/>
      <c r="F13" s="179"/>
      <c r="G13" s="185"/>
      <c r="H13" s="185"/>
      <c r="I13" s="178"/>
      <c r="J13" s="178"/>
    </row>
    <row r="14" spans="1:10" ht="15.75">
      <c r="A14" s="187"/>
      <c r="B14" s="173" t="s">
        <v>692</v>
      </c>
      <c r="C14" s="173" t="str">
        <f>CONCATENATE("Personal Property ",J1-1,"")</f>
        <v>Personal Property 2012</v>
      </c>
      <c r="D14" s="186" t="s">
        <v>686</v>
      </c>
      <c r="E14" s="184">
        <f>inputOth!E9</f>
        <v>1044711</v>
      </c>
      <c r="F14" s="179"/>
      <c r="G14" s="178"/>
      <c r="H14" s="178"/>
      <c r="I14" s="185"/>
      <c r="J14" s="178"/>
    </row>
    <row r="15" spans="1:10" ht="15.75">
      <c r="A15" s="186"/>
      <c r="B15" s="173" t="s">
        <v>693</v>
      </c>
      <c r="C15" s="173" t="str">
        <f>CONCATENATE("Personal Property ",J1-2,"")</f>
        <v>Personal Property 2011</v>
      </c>
      <c r="D15" s="186" t="s">
        <v>689</v>
      </c>
      <c r="E15" s="188">
        <f>inputOth!E15</f>
        <v>903354</v>
      </c>
      <c r="F15" s="179"/>
      <c r="G15" s="185"/>
      <c r="H15" s="185"/>
      <c r="I15" s="178"/>
      <c r="J15" s="178"/>
    </row>
    <row r="16" spans="1:10" ht="15.75">
      <c r="A16" s="186"/>
      <c r="B16" s="173" t="s">
        <v>694</v>
      </c>
      <c r="C16" s="173" t="s">
        <v>715</v>
      </c>
      <c r="D16" s="173"/>
      <c r="E16" s="178"/>
      <c r="F16" s="178" t="s">
        <v>686</v>
      </c>
      <c r="G16" s="180">
        <f>IF(E14&gt;E15,E14-E15,0)</f>
        <v>141357</v>
      </c>
      <c r="H16" s="185"/>
      <c r="I16" s="178"/>
      <c r="J16" s="178"/>
    </row>
    <row r="17" spans="1:10" ht="15.75">
      <c r="A17" s="186"/>
      <c r="B17" s="186"/>
      <c r="C17" s="173"/>
      <c r="D17" s="173"/>
      <c r="E17" s="178"/>
      <c r="F17" s="178"/>
      <c r="G17" s="185" t="s">
        <v>707</v>
      </c>
      <c r="H17" s="185"/>
      <c r="I17" s="178"/>
      <c r="J17" s="178"/>
    </row>
    <row r="18" spans="1:10" ht="15.75">
      <c r="A18" s="186" t="s">
        <v>695</v>
      </c>
      <c r="B18" s="182" t="str">
        <f>CONCATENATE("Valuation of annexed territory for ",J1-1,"")</f>
        <v>Valuation of annexed territory for 2012</v>
      </c>
      <c r="C18" s="173"/>
      <c r="D18" s="173"/>
      <c r="E18" s="185"/>
      <c r="F18" s="178"/>
      <c r="G18" s="178"/>
      <c r="H18" s="178"/>
      <c r="I18" s="178"/>
      <c r="J18" s="178"/>
    </row>
    <row r="19" spans="1:10" ht="15.75">
      <c r="A19" s="186"/>
      <c r="B19" s="173" t="s">
        <v>696</v>
      </c>
      <c r="C19" s="173" t="s">
        <v>717</v>
      </c>
      <c r="D19" s="186" t="s">
        <v>686</v>
      </c>
      <c r="E19" s="184">
        <f>inputOth!E11</f>
        <v>0</v>
      </c>
      <c r="F19" s="178"/>
      <c r="G19" s="178"/>
      <c r="H19" s="178"/>
      <c r="I19" s="178"/>
      <c r="J19" s="178"/>
    </row>
    <row r="20" spans="1:10" ht="15.75">
      <c r="A20" s="186"/>
      <c r="B20" s="173" t="s">
        <v>697</v>
      </c>
      <c r="C20" s="173" t="s">
        <v>718</v>
      </c>
      <c r="D20" s="186" t="s">
        <v>686</v>
      </c>
      <c r="E20" s="184">
        <f>inputOth!E12</f>
        <v>0</v>
      </c>
      <c r="F20" s="178"/>
      <c r="G20" s="185"/>
      <c r="H20" s="185"/>
      <c r="I20" s="178"/>
      <c r="J20" s="178"/>
    </row>
    <row r="21" spans="1:10" ht="15.75">
      <c r="A21" s="186"/>
      <c r="B21" s="173" t="s">
        <v>698</v>
      </c>
      <c r="C21" s="173" t="s">
        <v>714</v>
      </c>
      <c r="D21" s="186" t="s">
        <v>689</v>
      </c>
      <c r="E21" s="184">
        <f>inputOth!E13</f>
        <v>0</v>
      </c>
      <c r="F21" s="178"/>
      <c r="G21" s="185"/>
      <c r="H21" s="185"/>
      <c r="I21" s="178"/>
      <c r="J21" s="178"/>
    </row>
    <row r="22" spans="1:10" ht="15.75">
      <c r="A22" s="186"/>
      <c r="B22" s="173" t="s">
        <v>699</v>
      </c>
      <c r="C22" s="173" t="s">
        <v>719</v>
      </c>
      <c r="D22" s="186"/>
      <c r="E22" s="185"/>
      <c r="F22" s="178" t="s">
        <v>686</v>
      </c>
      <c r="G22" s="180">
        <f>E19+E20-E21</f>
        <v>0</v>
      </c>
      <c r="H22" s="185"/>
      <c r="I22" s="178"/>
      <c r="J22" s="178"/>
    </row>
    <row r="23" spans="1:10" ht="15.75">
      <c r="A23" s="186"/>
      <c r="B23" s="186"/>
      <c r="C23" s="173"/>
      <c r="D23" s="186"/>
      <c r="E23" s="185"/>
      <c r="F23" s="178"/>
      <c r="G23" s="185"/>
      <c r="H23" s="185"/>
      <c r="I23" s="178"/>
      <c r="J23" s="178"/>
    </row>
    <row r="24" spans="1:10" ht="15.75">
      <c r="A24" s="186" t="s">
        <v>700</v>
      </c>
      <c r="B24" s="182" t="str">
        <f>CONCATENATE("Valuation of Property that has Changed in Use during ",J1-1,"")</f>
        <v>Valuation of Property that has Changed in Use during 2012</v>
      </c>
      <c r="C24" s="173"/>
      <c r="D24" s="173"/>
      <c r="E24" s="178"/>
      <c r="F24" s="178"/>
      <c r="G24" s="97">
        <f>inputOth!E14</f>
        <v>50652</v>
      </c>
      <c r="H24" s="178"/>
      <c r="I24" s="178"/>
      <c r="J24" s="178"/>
    </row>
    <row r="25" spans="1:10" ht="15.75">
      <c r="A25" s="173" t="s">
        <v>586</v>
      </c>
      <c r="B25" s="173"/>
      <c r="C25" s="173"/>
      <c r="D25" s="186"/>
      <c r="E25" s="185"/>
      <c r="F25" s="178"/>
      <c r="G25" s="189"/>
      <c r="H25" s="185"/>
      <c r="I25" s="178"/>
      <c r="J25" s="178"/>
    </row>
    <row r="26" spans="1:10" ht="15.75">
      <c r="A26" s="186" t="s">
        <v>701</v>
      </c>
      <c r="B26" s="182" t="s">
        <v>720</v>
      </c>
      <c r="C26" s="173"/>
      <c r="D26" s="173"/>
      <c r="E26" s="178"/>
      <c r="F26" s="178"/>
      <c r="G26" s="180">
        <f>G11+G16+G22+G24</f>
        <v>1077097</v>
      </c>
      <c r="H26" s="185"/>
      <c r="I26" s="178"/>
      <c r="J26" s="178"/>
    </row>
    <row r="27" spans="1:10" ht="15.75">
      <c r="A27" s="186"/>
      <c r="B27" s="186"/>
      <c r="C27" s="182"/>
      <c r="D27" s="173"/>
      <c r="E27" s="178"/>
      <c r="F27" s="178"/>
      <c r="G27" s="185"/>
      <c r="H27" s="185"/>
      <c r="I27" s="178"/>
      <c r="J27" s="178"/>
    </row>
    <row r="28" spans="1:10" ht="15.75">
      <c r="A28" s="186" t="s">
        <v>702</v>
      </c>
      <c r="B28" s="173" t="str">
        <f>CONCATENATE("Total Estimated Valuation July 1,",J1-1,"")</f>
        <v>Total Estimated Valuation July 1,2012</v>
      </c>
      <c r="C28" s="173"/>
      <c r="D28" s="173"/>
      <c r="E28" s="180">
        <f>inputOth!E7</f>
        <v>53837928</v>
      </c>
      <c r="F28" s="178"/>
      <c r="G28" s="178"/>
      <c r="H28" s="178"/>
      <c r="I28" s="179"/>
      <c r="J28" s="178"/>
    </row>
    <row r="29" spans="1:10" ht="15.75">
      <c r="A29" s="186"/>
      <c r="B29" s="186"/>
      <c r="C29" s="173"/>
      <c r="D29" s="173"/>
      <c r="E29" s="185"/>
      <c r="F29" s="178"/>
      <c r="G29" s="178"/>
      <c r="H29" s="178"/>
      <c r="I29" s="179"/>
      <c r="J29" s="178"/>
    </row>
    <row r="30" spans="1:10" ht="15.75">
      <c r="A30" s="186" t="s">
        <v>703</v>
      </c>
      <c r="B30" s="182" t="s">
        <v>721</v>
      </c>
      <c r="C30" s="173"/>
      <c r="D30" s="173"/>
      <c r="E30" s="178"/>
      <c r="F30" s="178"/>
      <c r="G30" s="180">
        <f>E28-G26</f>
        <v>52760831</v>
      </c>
      <c r="H30" s="185"/>
      <c r="I30" s="179"/>
      <c r="J30" s="178"/>
    </row>
    <row r="31" spans="1:10" ht="15.75">
      <c r="A31" s="186"/>
      <c r="B31" s="186"/>
      <c r="C31" s="182"/>
      <c r="D31" s="173"/>
      <c r="E31" s="173"/>
      <c r="F31" s="173"/>
      <c r="G31" s="190"/>
      <c r="H31" s="191"/>
      <c r="I31" s="186"/>
      <c r="J31" s="173"/>
    </row>
    <row r="32" spans="1:10" ht="15.75">
      <c r="A32" s="186" t="s">
        <v>704</v>
      </c>
      <c r="B32" s="173" t="s">
        <v>722</v>
      </c>
      <c r="C32" s="173"/>
      <c r="D32" s="173"/>
      <c r="E32" s="173"/>
      <c r="F32" s="173"/>
      <c r="G32" s="192">
        <f>IF(G30&gt;0,G26/G30,0)</f>
        <v>0.02041470878273316</v>
      </c>
      <c r="H32" s="191"/>
      <c r="I32" s="173"/>
      <c r="J32" s="173"/>
    </row>
    <row r="33" spans="1:10" ht="15.75">
      <c r="A33" s="186"/>
      <c r="B33" s="186"/>
      <c r="C33" s="173"/>
      <c r="D33" s="173"/>
      <c r="E33" s="173"/>
      <c r="F33" s="173"/>
      <c r="G33" s="191"/>
      <c r="H33" s="191"/>
      <c r="I33" s="173"/>
      <c r="J33" s="173"/>
    </row>
    <row r="34" spans="1:10" ht="15.75">
      <c r="A34" s="186" t="s">
        <v>705</v>
      </c>
      <c r="B34" s="173" t="s">
        <v>723</v>
      </c>
      <c r="C34" s="173"/>
      <c r="D34" s="173"/>
      <c r="E34" s="173"/>
      <c r="F34" s="173"/>
      <c r="G34" s="191"/>
      <c r="H34" s="193" t="s">
        <v>686</v>
      </c>
      <c r="I34" s="173" t="s">
        <v>687</v>
      </c>
      <c r="J34" s="180">
        <f>ROUND(G32*J7,0)</f>
        <v>43355</v>
      </c>
    </row>
    <row r="35" spans="1:10" ht="15.75">
      <c r="A35" s="186"/>
      <c r="B35" s="186"/>
      <c r="C35" s="173"/>
      <c r="D35" s="173"/>
      <c r="E35" s="173"/>
      <c r="F35" s="173"/>
      <c r="G35" s="191"/>
      <c r="H35" s="193"/>
      <c r="I35" s="173"/>
      <c r="J35" s="185"/>
    </row>
    <row r="36" spans="1:10" ht="16.5" thickBot="1">
      <c r="A36" s="186" t="s">
        <v>706</v>
      </c>
      <c r="B36" s="182" t="s">
        <v>729</v>
      </c>
      <c r="C36" s="173"/>
      <c r="D36" s="173"/>
      <c r="E36" s="173"/>
      <c r="F36" s="173"/>
      <c r="G36" s="173"/>
      <c r="H36" s="173"/>
      <c r="I36" s="173" t="s">
        <v>687</v>
      </c>
      <c r="J36" s="194">
        <f>J7+J34</f>
        <v>2167084</v>
      </c>
    </row>
    <row r="37" spans="1:10" ht="16.5" thickTop="1">
      <c r="A37" s="173"/>
      <c r="B37" s="173"/>
      <c r="C37" s="173"/>
      <c r="D37" s="173"/>
      <c r="E37" s="173"/>
      <c r="F37" s="173"/>
      <c r="G37" s="173"/>
      <c r="H37" s="173"/>
      <c r="I37" s="173"/>
      <c r="J37" s="173"/>
    </row>
    <row r="38" spans="1:10" ht="15.75">
      <c r="A38" s="186" t="s">
        <v>727</v>
      </c>
      <c r="B38" s="182" t="str">
        <f>CONCATENATE("Debt Service in this ",J1," Budget")</f>
        <v>Debt Service in this 2013 Budget</v>
      </c>
      <c r="C38" s="173"/>
      <c r="D38" s="173"/>
      <c r="E38" s="173"/>
      <c r="F38" s="173"/>
      <c r="G38" s="173"/>
      <c r="H38" s="173"/>
      <c r="I38" s="173"/>
      <c r="J38" s="195">
        <f>'DebtSvs-library'!E40</f>
        <v>489387</v>
      </c>
    </row>
    <row r="39" spans="1:10" ht="15.75">
      <c r="A39" s="186"/>
      <c r="B39" s="182"/>
      <c r="C39" s="173"/>
      <c r="D39" s="173"/>
      <c r="E39" s="173"/>
      <c r="F39" s="173"/>
      <c r="G39" s="173"/>
      <c r="H39" s="173"/>
      <c r="I39" s="173"/>
      <c r="J39" s="191"/>
    </row>
    <row r="40" spans="1:10" ht="16.5" thickBot="1">
      <c r="A40" s="186" t="s">
        <v>728</v>
      </c>
      <c r="B40" s="182" t="s">
        <v>730</v>
      </c>
      <c r="C40" s="173"/>
      <c r="D40" s="173"/>
      <c r="E40" s="173"/>
      <c r="F40" s="173"/>
      <c r="G40" s="173"/>
      <c r="H40" s="173"/>
      <c r="I40" s="173"/>
      <c r="J40" s="194">
        <f>J36+J38</f>
        <v>2656471</v>
      </c>
    </row>
    <row r="41" spans="1:10" ht="16.5" thickTop="1">
      <c r="A41" s="173"/>
      <c r="B41" s="173"/>
      <c r="C41" s="173"/>
      <c r="D41" s="173"/>
      <c r="E41" s="173"/>
      <c r="F41" s="173"/>
      <c r="G41" s="173"/>
      <c r="H41" s="173"/>
      <c r="I41" s="173"/>
      <c r="J41" s="173"/>
    </row>
    <row r="42" spans="1:10" s="196" customFormat="1" ht="18.75">
      <c r="A42" s="772" t="str">
        <f>CONCATENATE("If the ",J1," budget includes tax levies exceeding the total on line 15, you must")</f>
        <v>If the 2013 budget includes tax levies exceeding the total on line 15, you must</v>
      </c>
      <c r="B42" s="772"/>
      <c r="C42" s="772"/>
      <c r="D42" s="772"/>
      <c r="E42" s="772"/>
      <c r="F42" s="772"/>
      <c r="G42" s="772"/>
      <c r="H42" s="772"/>
      <c r="I42" s="772"/>
      <c r="J42" s="772"/>
    </row>
    <row r="43" spans="1:10" s="196" customFormat="1" ht="18.75">
      <c r="A43" s="772" t="s">
        <v>809</v>
      </c>
      <c r="B43" s="772"/>
      <c r="C43" s="772"/>
      <c r="D43" s="772"/>
      <c r="E43" s="772"/>
      <c r="F43" s="772"/>
      <c r="G43" s="772"/>
      <c r="H43" s="772"/>
      <c r="I43" s="772"/>
      <c r="J43" s="772"/>
    </row>
    <row r="44" spans="1:10" s="196" customFormat="1" ht="18.75">
      <c r="A44" s="772" t="s">
        <v>810</v>
      </c>
      <c r="B44" s="772"/>
      <c r="C44" s="772"/>
      <c r="D44" s="772"/>
      <c r="E44" s="772"/>
      <c r="F44" s="772"/>
      <c r="G44" s="772"/>
      <c r="H44" s="772"/>
      <c r="I44" s="772"/>
      <c r="J44" s="772"/>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62"/>
    <pageSetUpPr fitToPage="1"/>
  </sheetPr>
  <dimension ref="A1:H30"/>
  <sheetViews>
    <sheetView zoomScalePageLayoutView="0" workbookViewId="0" topLeftCell="A1">
      <selection activeCell="D18" sqref="D18"/>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04"/>
      <c r="B1" s="197" t="str">
        <f>inputPrYr!D2</f>
        <v>City of Haysville</v>
      </c>
      <c r="C1" s="197"/>
      <c r="D1" s="47"/>
      <c r="E1" s="47"/>
      <c r="F1" s="47"/>
      <c r="G1" s="47">
        <f>inputPrYr!C5</f>
        <v>2013</v>
      </c>
    </row>
    <row r="2" spans="1:7" ht="15.75">
      <c r="A2" s="704"/>
      <c r="B2" s="47"/>
      <c r="C2" s="47"/>
      <c r="D2" s="47"/>
      <c r="E2" s="47"/>
      <c r="F2" s="47"/>
      <c r="G2" s="47"/>
    </row>
    <row r="3" spans="1:7" ht="15.75">
      <c r="A3" s="704"/>
      <c r="B3" s="775" t="s">
        <v>466</v>
      </c>
      <c r="C3" s="775"/>
      <c r="D3" s="775"/>
      <c r="E3" s="775"/>
      <c r="F3" s="775"/>
      <c r="G3" s="47"/>
    </row>
    <row r="4" spans="1:7" ht="15.75">
      <c r="A4" s="704"/>
      <c r="B4" s="47"/>
      <c r="C4" s="198"/>
      <c r="D4" s="198"/>
      <c r="E4" s="198"/>
      <c r="F4" s="47"/>
      <c r="G4" s="76"/>
    </row>
    <row r="5" spans="1:8" ht="21" customHeight="1">
      <c r="A5" s="704"/>
      <c r="B5" s="199" t="s">
        <v>808</v>
      </c>
      <c r="C5" s="144" t="s">
        <v>564</v>
      </c>
      <c r="D5" s="776" t="str">
        <f>CONCATENATE("Allocation for Year ",G1,"")</f>
        <v>Allocation for Year 2013</v>
      </c>
      <c r="E5" s="777"/>
      <c r="F5" s="778"/>
      <c r="G5" s="47"/>
      <c r="H5" s="624"/>
    </row>
    <row r="6" spans="1:7" ht="15.75">
      <c r="A6" s="704"/>
      <c r="B6" s="200" t="str">
        <f>CONCATENATE("for ",G1-1,"")</f>
        <v>for 2012</v>
      </c>
      <c r="C6" s="200" t="str">
        <f>CONCATENATE("Amount for ",G1-2,"")</f>
        <v>Amount for 2011</v>
      </c>
      <c r="D6" s="148" t="s">
        <v>680</v>
      </c>
      <c r="E6" s="148" t="s">
        <v>681</v>
      </c>
      <c r="F6" s="148" t="s">
        <v>679</v>
      </c>
      <c r="G6" s="703"/>
    </row>
    <row r="7" spans="1:7" ht="15.75">
      <c r="A7" s="704"/>
      <c r="B7" s="87" t="str">
        <f>(inputPrYr!B17)</f>
        <v>General</v>
      </c>
      <c r="C7" s="151">
        <f>(inputPrYr!E17)</f>
        <v>1697253</v>
      </c>
      <c r="D7" s="151">
        <f>IF(inputPrYr!E17=0,0,D22-SUM(D8:D19))</f>
        <v>229310</v>
      </c>
      <c r="E7" s="151">
        <f>IF(inputPrYr!E17=0,0,E23-SUM(E8:E19))</f>
        <v>4303</v>
      </c>
      <c r="F7" s="151">
        <f>IF(inputPrYr!E17=0,0,F24-SUM(F8:F19))</f>
        <v>462</v>
      </c>
      <c r="G7" s="704"/>
    </row>
    <row r="8" spans="1:7" ht="15.75">
      <c r="A8" s="704"/>
      <c r="B8" s="87" t="str">
        <f>IF(inputPrYr!$B18&gt;"  ",(inputPrYr!$B18),"  ")</f>
        <v>Debt Service</v>
      </c>
      <c r="C8" s="151">
        <f>IF(inputPrYr!$E18&gt;0,(inputPrYr!$E18),"  ")</f>
        <v>498558</v>
      </c>
      <c r="D8" s="151">
        <f>IF(inputPrYr!E18&gt;0,ROUND(C8*$D$26,0),"  ")</f>
        <v>67358</v>
      </c>
      <c r="E8" s="151">
        <f>IF(inputPrYr!E18&gt;0,ROUND(+C8*E$27,0)," ")</f>
        <v>1264</v>
      </c>
      <c r="F8" s="151">
        <f>IF(inputPrYr!E18&gt;0,ROUND(C8*F$28,0)," ")</f>
        <v>136</v>
      </c>
      <c r="G8" s="704"/>
    </row>
    <row r="9" spans="1:7" ht="15.75">
      <c r="A9" s="704"/>
      <c r="B9" s="87" t="str">
        <f>IF(inputPrYr!$B19&gt;"  ",(inputPrYr!$B19),"  ")</f>
        <v>Library</v>
      </c>
      <c r="C9" s="151">
        <f>IF(inputPrYr!$E19&gt;0,(inputPrYr!$E19),"  ")</f>
        <v>284320</v>
      </c>
      <c r="D9" s="151">
        <f>IF(inputPrYr!E19&gt;0,ROUND(C9*$D$26,0),"  ")</f>
        <v>38413</v>
      </c>
      <c r="E9" s="151">
        <f>IF(inputPrYr!E19&gt;0,ROUND(+C9*E$27,0)," ")</f>
        <v>721</v>
      </c>
      <c r="F9" s="151">
        <f>IF(inputPrYr!E19&gt;0,ROUND(+C9*F$28,0)," ")</f>
        <v>78</v>
      </c>
      <c r="G9" s="704"/>
    </row>
    <row r="10" spans="1:7" ht="15.75">
      <c r="A10" s="704"/>
      <c r="B10" s="87" t="str">
        <f>IF(inputPrYr!$B21&gt;"  ",(inputPrYr!$B21),"  ")</f>
        <v>Law Enforcement</v>
      </c>
      <c r="C10" s="151">
        <f>IF(inputPrYr!$E21&gt;0,(inputPrYr!$E21),"  ")</f>
        <v>108312</v>
      </c>
      <c r="D10" s="151">
        <f>IF(inputPrYr!E21&gt;0,ROUND(C10*$D$26,0),"  ")</f>
        <v>14634</v>
      </c>
      <c r="E10" s="151">
        <f>IF(inputPrYr!E21&gt;0,ROUND(+C10*E$27,0)," ")</f>
        <v>275</v>
      </c>
      <c r="F10" s="151">
        <f>IF(inputPrYr!E21&gt;0,ROUND(+C10*F$28,0)," ")</f>
        <v>30</v>
      </c>
      <c r="G10" s="704"/>
    </row>
    <row r="11" spans="1:7" ht="15.75">
      <c r="A11" s="704"/>
      <c r="B11" s="87" t="str">
        <f>IF(inputPrYr!$B22&gt;"  ",(inputPrYr!$B22),"  ")</f>
        <v>Special Liability</v>
      </c>
      <c r="C11" s="151">
        <f>IF(inputPrYr!$E22&gt;0,(inputPrYr!$E22),"  ")</f>
        <v>33844</v>
      </c>
      <c r="D11" s="151">
        <f>IF(inputPrYr!E22&gt;0,ROUND(C11*$D$26,0),"  ")</f>
        <v>4573</v>
      </c>
      <c r="E11" s="151">
        <f>IF(inputPrYr!E22&gt;0,ROUND(+C11*E$27,0)," ")</f>
        <v>86</v>
      </c>
      <c r="F11" s="151">
        <f>IF(inputPrYr!E22&gt;0,ROUND(+C11*F$28,0)," ")</f>
        <v>9</v>
      </c>
      <c r="G11" s="704"/>
    </row>
    <row r="12" spans="1:7" ht="15.75">
      <c r="A12" s="704"/>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704"/>
    </row>
    <row r="13" spans="1:7" ht="15.75">
      <c r="A13" s="704"/>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704"/>
    </row>
    <row r="14" spans="1:7" ht="15.75">
      <c r="A14" s="704"/>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04"/>
    </row>
    <row r="15" spans="1:7" ht="15.75">
      <c r="A15" s="704"/>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04"/>
    </row>
    <row r="16" spans="1:7" ht="15.75">
      <c r="A16" s="704"/>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04"/>
    </row>
    <row r="17" spans="1:7" ht="15.75">
      <c r="A17" s="704"/>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04"/>
    </row>
    <row r="18" spans="1:7" ht="15.75">
      <c r="A18" s="704"/>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04"/>
    </row>
    <row r="19" spans="1:7" ht="15.75">
      <c r="A19" s="704"/>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04"/>
    </row>
    <row r="20" spans="1:7" ht="15.75">
      <c r="A20" s="704"/>
      <c r="B20" s="47" t="s">
        <v>604</v>
      </c>
      <c r="C20" s="158">
        <f>SUM(C7:C19)</f>
        <v>2622287</v>
      </c>
      <c r="D20" s="158">
        <f>SUM(D7:D19)</f>
        <v>354288</v>
      </c>
      <c r="E20" s="158">
        <f>SUM(E7:E19)</f>
        <v>6649</v>
      </c>
      <c r="F20" s="158">
        <f>SUM(F7:F19)</f>
        <v>715</v>
      </c>
      <c r="G20" s="47"/>
    </row>
    <row r="21" spans="1:7" ht="15.75">
      <c r="A21" s="704"/>
      <c r="B21" s="47"/>
      <c r="C21" s="77"/>
      <c r="D21" s="77"/>
      <c r="E21" s="77"/>
      <c r="F21" s="77"/>
      <c r="G21" s="47"/>
    </row>
    <row r="22" spans="1:7" ht="15.75">
      <c r="A22" s="704"/>
      <c r="B22" s="52" t="s">
        <v>605</v>
      </c>
      <c r="C22" s="201"/>
      <c r="D22" s="202">
        <f>(inputOth!E39)</f>
        <v>354288</v>
      </c>
      <c r="E22" s="201"/>
      <c r="F22" s="47"/>
      <c r="G22" s="47"/>
    </row>
    <row r="23" spans="1:7" ht="15.75">
      <c r="A23" s="704"/>
      <c r="B23" s="52" t="s">
        <v>606</v>
      </c>
      <c r="C23" s="47"/>
      <c r="D23" s="47"/>
      <c r="E23" s="202">
        <f>(inputOth!E40)</f>
        <v>6649</v>
      </c>
      <c r="F23" s="47"/>
      <c r="G23" s="47"/>
    </row>
    <row r="24" spans="1:7" ht="15.75">
      <c r="A24" s="704"/>
      <c r="B24" s="52" t="s">
        <v>682</v>
      </c>
      <c r="C24" s="47"/>
      <c r="D24" s="47"/>
      <c r="E24" s="47"/>
      <c r="F24" s="202">
        <f>inputOth!E41</f>
        <v>715</v>
      </c>
      <c r="G24" s="47"/>
    </row>
    <row r="25" spans="1:7" ht="15.75">
      <c r="A25" s="704"/>
      <c r="B25" s="52"/>
      <c r="C25" s="47"/>
      <c r="D25" s="47"/>
      <c r="E25" s="47"/>
      <c r="F25" s="77"/>
      <c r="G25" s="379"/>
    </row>
    <row r="26" spans="1:7" ht="15.75">
      <c r="A26" s="704"/>
      <c r="B26" s="52" t="s">
        <v>607</v>
      </c>
      <c r="C26" s="47"/>
      <c r="D26" s="203">
        <f>IF(C20=0,0,D22/C20)</f>
        <v>0.13510649292011134</v>
      </c>
      <c r="E26" s="47"/>
      <c r="F26" s="47"/>
      <c r="G26" s="47"/>
    </row>
    <row r="27" spans="1:7" ht="15.75">
      <c r="A27" s="704"/>
      <c r="B27" s="47"/>
      <c r="C27" s="52" t="s">
        <v>608</v>
      </c>
      <c r="D27" s="47"/>
      <c r="E27" s="203">
        <f>IF(C20=0,0,E23/C20)</f>
        <v>0.0025355729559731637</v>
      </c>
      <c r="F27" s="47"/>
      <c r="G27" s="47"/>
    </row>
    <row r="28" spans="1:7" ht="15.75">
      <c r="A28" s="704"/>
      <c r="B28" s="47"/>
      <c r="C28" s="47"/>
      <c r="D28" s="52" t="s">
        <v>683</v>
      </c>
      <c r="E28" s="47"/>
      <c r="F28" s="203">
        <f>IF(C20=0,0,F24/C20)</f>
        <v>0.0002726627558310742</v>
      </c>
      <c r="G28" s="47"/>
    </row>
    <row r="29" spans="1:7" ht="15.75">
      <c r="A29" s="704"/>
      <c r="B29" s="47"/>
      <c r="C29" s="47"/>
      <c r="D29" s="47"/>
      <c r="E29" s="47"/>
      <c r="F29" s="47"/>
      <c r="G29" s="47"/>
    </row>
    <row r="30" spans="1:7" ht="15.75">
      <c r="A30" s="704"/>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tabColor indexed="62"/>
    <pageSetUpPr fitToPage="1"/>
  </sheetPr>
  <dimension ref="B1:G31"/>
  <sheetViews>
    <sheetView zoomScalePageLayoutView="0" workbookViewId="0" topLeftCell="A1">
      <selection activeCell="D18" sqref="D18"/>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Haysville</v>
      </c>
      <c r="C1" s="174"/>
      <c r="D1" s="173"/>
      <c r="E1" s="173"/>
      <c r="F1" s="173"/>
      <c r="G1" s="173">
        <f>inputPrYr!$C$5</f>
        <v>2013</v>
      </c>
    </row>
    <row r="2" spans="2:7" ht="15.75">
      <c r="B2" s="173"/>
      <c r="C2" s="173"/>
      <c r="D2" s="173"/>
      <c r="E2" s="173"/>
      <c r="F2" s="173"/>
      <c r="G2" s="173"/>
    </row>
    <row r="3" spans="2:7" ht="15.75">
      <c r="B3" s="779" t="s">
        <v>736</v>
      </c>
      <c r="C3" s="779"/>
      <c r="D3" s="779"/>
      <c r="E3" s="779"/>
      <c r="F3" s="779"/>
      <c r="G3" s="779"/>
    </row>
    <row r="4" spans="2:7" ht="15.75">
      <c r="B4" s="204"/>
      <c r="C4" s="204"/>
      <c r="D4" s="204"/>
      <c r="E4" s="204"/>
      <c r="F4" s="204"/>
      <c r="G4" s="204"/>
    </row>
    <row r="5" spans="2:7" ht="15.75">
      <c r="B5" s="205" t="s">
        <v>234</v>
      </c>
      <c r="C5" s="205" t="s">
        <v>235</v>
      </c>
      <c r="D5" s="205" t="s">
        <v>631</v>
      </c>
      <c r="E5" s="205" t="s">
        <v>750</v>
      </c>
      <c r="F5" s="205" t="s">
        <v>751</v>
      </c>
      <c r="G5" s="205" t="s">
        <v>800</v>
      </c>
    </row>
    <row r="6" spans="2:7" ht="15.75">
      <c r="B6" s="206" t="s">
        <v>236</v>
      </c>
      <c r="C6" s="206" t="s">
        <v>237</v>
      </c>
      <c r="D6" s="206" t="s">
        <v>801</v>
      </c>
      <c r="E6" s="206" t="s">
        <v>801</v>
      </c>
      <c r="F6" s="206" t="s">
        <v>801</v>
      </c>
      <c r="G6" s="206" t="s">
        <v>802</v>
      </c>
    </row>
    <row r="7" spans="2:7" ht="15" customHeight="1">
      <c r="B7" s="207" t="s">
        <v>803</v>
      </c>
      <c r="C7" s="207" t="s">
        <v>804</v>
      </c>
      <c r="D7" s="208">
        <f>G1-2</f>
        <v>2011</v>
      </c>
      <c r="E7" s="208">
        <f>G1-1</f>
        <v>2012</v>
      </c>
      <c r="F7" s="208">
        <f>G1</f>
        <v>2013</v>
      </c>
      <c r="G7" s="207" t="s">
        <v>805</v>
      </c>
    </row>
    <row r="8" spans="2:7" ht="15" customHeight="1">
      <c r="B8" s="210" t="s">
        <v>61</v>
      </c>
      <c r="C8" s="210" t="s">
        <v>54</v>
      </c>
      <c r="D8" s="211">
        <v>684114.5</v>
      </c>
      <c r="E8" s="211">
        <v>700000</v>
      </c>
      <c r="F8" s="211">
        <v>700000</v>
      </c>
      <c r="G8" s="209" t="s">
        <v>70</v>
      </c>
    </row>
    <row r="9" spans="2:7" ht="15" customHeight="1">
      <c r="B9" s="210" t="s">
        <v>710</v>
      </c>
      <c r="C9" s="210" t="s">
        <v>62</v>
      </c>
      <c r="D9" s="211">
        <v>0</v>
      </c>
      <c r="E9" s="211">
        <v>20000</v>
      </c>
      <c r="F9" s="211">
        <v>20000</v>
      </c>
      <c r="G9" s="209" t="s">
        <v>71</v>
      </c>
    </row>
    <row r="10" spans="2:7" ht="15" customHeight="1">
      <c r="B10" s="210" t="s">
        <v>710</v>
      </c>
      <c r="C10" s="210" t="s">
        <v>61</v>
      </c>
      <c r="D10" s="211">
        <v>55214</v>
      </c>
      <c r="E10" s="211">
        <v>49664.66871617807</v>
      </c>
      <c r="F10" s="211">
        <v>58154</v>
      </c>
      <c r="G10" s="209" t="s">
        <v>72</v>
      </c>
    </row>
    <row r="11" spans="2:7" ht="15" customHeight="1">
      <c r="B11" s="210" t="s">
        <v>710</v>
      </c>
      <c r="C11" s="210" t="s">
        <v>63</v>
      </c>
      <c r="D11" s="211">
        <v>20000</v>
      </c>
      <c r="E11" s="211">
        <v>0</v>
      </c>
      <c r="F11" s="211">
        <v>0</v>
      </c>
      <c r="G11" s="209" t="s">
        <v>73</v>
      </c>
    </row>
    <row r="12" spans="2:7" ht="15" customHeight="1">
      <c r="B12" s="210" t="s">
        <v>64</v>
      </c>
      <c r="C12" s="210" t="s">
        <v>63</v>
      </c>
      <c r="D12" s="211">
        <v>15000</v>
      </c>
      <c r="E12" s="211">
        <v>15000</v>
      </c>
      <c r="F12" s="211">
        <v>15000</v>
      </c>
      <c r="G12" s="209" t="s">
        <v>73</v>
      </c>
    </row>
    <row r="13" spans="2:7" ht="15" customHeight="1">
      <c r="B13" s="210" t="s">
        <v>64</v>
      </c>
      <c r="C13" s="210" t="s">
        <v>61</v>
      </c>
      <c r="D13" s="211">
        <v>91813</v>
      </c>
      <c r="E13" s="211">
        <v>90529.40725669455</v>
      </c>
      <c r="F13" s="211">
        <v>101860</v>
      </c>
      <c r="G13" s="209" t="s">
        <v>74</v>
      </c>
    </row>
    <row r="14" spans="2:7" ht="15" customHeight="1">
      <c r="B14" s="210" t="s">
        <v>64</v>
      </c>
      <c r="C14" s="210" t="s">
        <v>65</v>
      </c>
      <c r="D14" s="211">
        <v>0</v>
      </c>
      <c r="E14" s="211">
        <v>2000</v>
      </c>
      <c r="F14" s="211">
        <v>83000</v>
      </c>
      <c r="G14" s="209" t="s">
        <v>74</v>
      </c>
    </row>
    <row r="15" spans="2:7" ht="15" customHeight="1">
      <c r="B15" s="210" t="s">
        <v>66</v>
      </c>
      <c r="C15" s="210" t="s">
        <v>61</v>
      </c>
      <c r="D15" s="211">
        <v>78731</v>
      </c>
      <c r="E15" s="211">
        <v>70674.89497595037</v>
      </c>
      <c r="F15" s="211">
        <v>82445</v>
      </c>
      <c r="G15" s="209" t="s">
        <v>74</v>
      </c>
    </row>
    <row r="16" spans="2:7" ht="15" customHeight="1">
      <c r="B16" s="210" t="s">
        <v>66</v>
      </c>
      <c r="C16" s="210" t="s">
        <v>67</v>
      </c>
      <c r="D16" s="211">
        <v>0</v>
      </c>
      <c r="E16" s="211">
        <v>0</v>
      </c>
      <c r="F16" s="211">
        <v>154089</v>
      </c>
      <c r="G16" s="209" t="s">
        <v>74</v>
      </c>
    </row>
    <row r="17" spans="2:7" ht="15" customHeight="1">
      <c r="B17" s="210" t="s">
        <v>66</v>
      </c>
      <c r="C17" s="210" t="s">
        <v>65</v>
      </c>
      <c r="D17" s="211">
        <v>464164.74</v>
      </c>
      <c r="E17" s="211">
        <v>459749.5</v>
      </c>
      <c r="F17" s="211">
        <v>458905</v>
      </c>
      <c r="G17" s="209" t="s">
        <v>74</v>
      </c>
    </row>
    <row r="18" spans="2:7" ht="15" customHeight="1">
      <c r="B18" s="210" t="s">
        <v>66</v>
      </c>
      <c r="C18" s="210" t="s">
        <v>63</v>
      </c>
      <c r="D18" s="211">
        <v>60000</v>
      </c>
      <c r="E18" s="211">
        <v>45000</v>
      </c>
      <c r="F18" s="211">
        <v>45000</v>
      </c>
      <c r="G18" s="209" t="s">
        <v>73</v>
      </c>
    </row>
    <row r="19" spans="2:7" ht="15" customHeight="1">
      <c r="B19" s="210" t="s">
        <v>67</v>
      </c>
      <c r="C19" s="210" t="s">
        <v>66</v>
      </c>
      <c r="D19" s="211">
        <v>48435</v>
      </c>
      <c r="E19" s="211">
        <v>0</v>
      </c>
      <c r="F19" s="211">
        <v>0</v>
      </c>
      <c r="G19" s="209" t="s">
        <v>74</v>
      </c>
    </row>
    <row r="20" spans="2:7" ht="15" customHeight="1">
      <c r="B20" s="210" t="s">
        <v>68</v>
      </c>
      <c r="C20" s="210" t="s">
        <v>505</v>
      </c>
      <c r="D20" s="211">
        <v>66465.71</v>
      </c>
      <c r="E20" s="211">
        <v>66466</v>
      </c>
      <c r="F20" s="211">
        <v>65235.08</v>
      </c>
      <c r="G20" s="209" t="s">
        <v>74</v>
      </c>
    </row>
    <row r="21" spans="2:7" ht="15" customHeight="1">
      <c r="B21" s="210" t="s">
        <v>68</v>
      </c>
      <c r="C21" s="210" t="s">
        <v>61</v>
      </c>
      <c r="D21" s="211">
        <v>7861</v>
      </c>
      <c r="E21" s="211">
        <v>7639.718736335999</v>
      </c>
      <c r="F21" s="211">
        <v>7880</v>
      </c>
      <c r="G21" s="209" t="s">
        <v>74</v>
      </c>
    </row>
    <row r="22" spans="2:7" ht="15" customHeight="1">
      <c r="B22" s="210" t="s">
        <v>68</v>
      </c>
      <c r="C22" s="210" t="s">
        <v>63</v>
      </c>
      <c r="D22" s="211">
        <v>8000</v>
      </c>
      <c r="E22" s="211">
        <v>5000</v>
      </c>
      <c r="F22" s="211">
        <v>5000</v>
      </c>
      <c r="G22" s="209" t="s">
        <v>73</v>
      </c>
    </row>
    <row r="23" spans="2:7" ht="15" customHeight="1">
      <c r="B23" s="210" t="s">
        <v>53</v>
      </c>
      <c r="C23" s="210" t="s">
        <v>63</v>
      </c>
      <c r="D23" s="211">
        <v>7000</v>
      </c>
      <c r="E23" s="211">
        <v>7000</v>
      </c>
      <c r="F23" s="211">
        <v>7000</v>
      </c>
      <c r="G23" s="209" t="s">
        <v>73</v>
      </c>
    </row>
    <row r="24" spans="2:7" ht="15" customHeight="1">
      <c r="B24" s="210" t="s">
        <v>54</v>
      </c>
      <c r="C24" s="210" t="s">
        <v>505</v>
      </c>
      <c r="D24" s="211">
        <v>182250.69</v>
      </c>
      <c r="E24" s="211">
        <v>181709</v>
      </c>
      <c r="F24" s="211">
        <v>183454.59</v>
      </c>
      <c r="G24" s="209" t="s">
        <v>70</v>
      </c>
    </row>
    <row r="25" spans="2:7" ht="15" customHeight="1">
      <c r="B25" s="210" t="s">
        <v>54</v>
      </c>
      <c r="C25" s="210" t="s">
        <v>69</v>
      </c>
      <c r="D25" s="211">
        <v>73775</v>
      </c>
      <c r="E25" s="211">
        <v>76575</v>
      </c>
      <c r="F25" s="211">
        <v>69175</v>
      </c>
      <c r="G25" s="209" t="s">
        <v>70</v>
      </c>
    </row>
    <row r="26" spans="2:7" ht="15" customHeight="1">
      <c r="B26" s="98"/>
      <c r="C26" s="212" t="s">
        <v>597</v>
      </c>
      <c r="D26" s="213">
        <f>SUM(D8:D25)</f>
        <v>1862824.64</v>
      </c>
      <c r="E26" s="213">
        <f>SUM(E8:E25)</f>
        <v>1797008.189685159</v>
      </c>
      <c r="F26" s="213">
        <f>SUM(F8:F25)</f>
        <v>2056197.6700000002</v>
      </c>
      <c r="G26" s="214"/>
    </row>
    <row r="27" spans="2:7" ht="15" customHeight="1">
      <c r="B27" s="98"/>
      <c r="C27" s="215" t="s">
        <v>806</v>
      </c>
      <c r="D27" s="156"/>
      <c r="E27" s="216"/>
      <c r="F27" s="216"/>
      <c r="G27" s="214"/>
    </row>
    <row r="28" spans="2:7" ht="15" customHeight="1">
      <c r="B28" s="98"/>
      <c r="C28" s="212" t="s">
        <v>807</v>
      </c>
      <c r="D28" s="213">
        <f>D26</f>
        <v>1862824.64</v>
      </c>
      <c r="E28" s="213">
        <f>SUM(E26-E27)</f>
        <v>1797008.189685159</v>
      </c>
      <c r="F28" s="213">
        <f>SUM(F26-F27)</f>
        <v>2056197.6700000002</v>
      </c>
      <c r="G28" s="214"/>
    </row>
    <row r="29" spans="2:7" ht="15" customHeight="1">
      <c r="B29" s="98"/>
      <c r="C29" s="98"/>
      <c r="D29" s="98"/>
      <c r="E29" s="98"/>
      <c r="F29" s="98"/>
      <c r="G29" s="98"/>
    </row>
    <row r="30" spans="2:7" ht="15" customHeight="1">
      <c r="B30" s="98"/>
      <c r="C30" s="98"/>
      <c r="D30" s="98"/>
      <c r="E30" s="98"/>
      <c r="F30" s="98"/>
      <c r="G30" s="98"/>
    </row>
    <row r="31" spans="2:7" ht="15" customHeight="1">
      <c r="B31" s="372" t="s">
        <v>233</v>
      </c>
      <c r="C31" s="373"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5" customWidth="1"/>
    <col min="2" max="16384" width="8.8984375" style="495" customWidth="1"/>
  </cols>
  <sheetData>
    <row r="1" ht="18.75">
      <c r="A1" s="496" t="s">
        <v>905</v>
      </c>
    </row>
    <row r="2" ht="18.75">
      <c r="A2" s="496"/>
    </row>
    <row r="3" ht="18.75">
      <c r="A3" s="496"/>
    </row>
    <row r="4" ht="51.75" customHeight="1">
      <c r="A4" s="506" t="s">
        <v>1123</v>
      </c>
    </row>
    <row r="5" ht="18.75">
      <c r="A5" s="496"/>
    </row>
    <row r="6" ht="15.75">
      <c r="A6" s="497"/>
    </row>
    <row r="7" ht="47.25">
      <c r="A7" s="498" t="s">
        <v>906</v>
      </c>
    </row>
    <row r="8" ht="15.75">
      <c r="A8" s="497"/>
    </row>
    <row r="9" ht="15.75">
      <c r="A9" s="497"/>
    </row>
    <row r="10" ht="63">
      <c r="A10" s="498" t="s">
        <v>907</v>
      </c>
    </row>
    <row r="11" ht="15.75">
      <c r="A11" s="499"/>
    </row>
    <row r="12" ht="15.75">
      <c r="A12" s="497"/>
    </row>
    <row r="13" ht="47.25">
      <c r="A13" s="498" t="s">
        <v>908</v>
      </c>
    </row>
    <row r="14" ht="15.75">
      <c r="A14" s="499"/>
    </row>
    <row r="15" ht="15.75">
      <c r="A15" s="497"/>
    </row>
    <row r="16" ht="47.25">
      <c r="A16" s="498" t="s">
        <v>909</v>
      </c>
    </row>
    <row r="17" ht="15.75">
      <c r="A17" s="499"/>
    </row>
    <row r="18" ht="15.75">
      <c r="A18" s="499"/>
    </row>
    <row r="19" ht="47.25">
      <c r="A19" s="498" t="s">
        <v>910</v>
      </c>
    </row>
    <row r="20" ht="15.75">
      <c r="A20" s="499"/>
    </row>
    <row r="21" ht="15.75">
      <c r="A21" s="499"/>
    </row>
    <row r="22" ht="47.25">
      <c r="A22" s="498" t="s">
        <v>911</v>
      </c>
    </row>
    <row r="23" ht="15.75">
      <c r="A23" s="499"/>
    </row>
    <row r="24" ht="15.75">
      <c r="A24" s="499"/>
    </row>
    <row r="25" ht="31.5">
      <c r="A25" s="498" t="s">
        <v>912</v>
      </c>
    </row>
    <row r="26" ht="15.75">
      <c r="A26" s="497"/>
    </row>
    <row r="27" ht="15.75">
      <c r="A27" s="497"/>
    </row>
    <row r="28" ht="60">
      <c r="A28" s="500" t="s">
        <v>913</v>
      </c>
    </row>
    <row r="29" ht="15">
      <c r="A29" s="501"/>
    </row>
    <row r="30" ht="15">
      <c r="A30" s="501"/>
    </row>
    <row r="31" ht="47.25">
      <c r="A31" s="498" t="s">
        <v>914</v>
      </c>
    </row>
    <row r="32" ht="15.75">
      <c r="A32" s="497"/>
    </row>
    <row r="33" ht="15.75">
      <c r="A33" s="497"/>
    </row>
    <row r="34" ht="66.75" customHeight="1">
      <c r="A34" s="505" t="s">
        <v>1124</v>
      </c>
    </row>
    <row r="35" ht="15.75">
      <c r="A35" s="497"/>
    </row>
    <row r="36" ht="15.75">
      <c r="A36" s="497"/>
    </row>
    <row r="37" ht="63">
      <c r="A37" s="502" t="s">
        <v>915</v>
      </c>
    </row>
    <row r="38" ht="15.75">
      <c r="A38" s="499"/>
    </row>
    <row r="39" ht="15.75">
      <c r="A39" s="497"/>
    </row>
    <row r="40" ht="63">
      <c r="A40" s="498" t="s">
        <v>916</v>
      </c>
    </row>
    <row r="41" ht="15.75">
      <c r="A41" s="499"/>
    </row>
    <row r="42" ht="15.75">
      <c r="A42" s="499"/>
    </row>
    <row r="43" ht="82.5" customHeight="1">
      <c r="A43" s="494" t="s">
        <v>1125</v>
      </c>
    </row>
    <row r="44" ht="15.75">
      <c r="A44" s="499"/>
    </row>
    <row r="45" ht="15.75">
      <c r="A45" s="499"/>
    </row>
    <row r="46" ht="69" customHeight="1">
      <c r="A46" s="494" t="s">
        <v>1126</v>
      </c>
    </row>
    <row r="47" ht="15.75">
      <c r="A47" s="499"/>
    </row>
    <row r="48" ht="15.75">
      <c r="A48" s="499"/>
    </row>
    <row r="49" ht="69" customHeight="1">
      <c r="A49" s="494" t="s">
        <v>349</v>
      </c>
    </row>
    <row r="50" ht="15.75">
      <c r="A50" s="499"/>
    </row>
    <row r="51" ht="15.75">
      <c r="A51" s="499"/>
    </row>
    <row r="52" ht="53.25" customHeight="1">
      <c r="A52" s="494" t="s">
        <v>1148</v>
      </c>
    </row>
    <row r="53" ht="15.75">
      <c r="A53" s="499"/>
    </row>
    <row r="54" ht="15.75">
      <c r="A54" s="499"/>
    </row>
    <row r="55" ht="63">
      <c r="A55" s="498" t="s">
        <v>917</v>
      </c>
    </row>
    <row r="56" ht="15.75">
      <c r="A56" s="499"/>
    </row>
    <row r="57" ht="15.75">
      <c r="A57" s="499"/>
    </row>
    <row r="58" ht="63">
      <c r="A58" s="498" t="s">
        <v>918</v>
      </c>
    </row>
    <row r="59" ht="15.75">
      <c r="A59" s="499"/>
    </row>
    <row r="60" ht="15.75">
      <c r="A60" s="499"/>
    </row>
    <row r="61" ht="47.25">
      <c r="A61" s="498" t="s">
        <v>919</v>
      </c>
    </row>
    <row r="62" ht="15.75">
      <c r="A62" s="499"/>
    </row>
    <row r="63" ht="15.75">
      <c r="A63" s="499"/>
    </row>
    <row r="64" ht="47.25">
      <c r="A64" s="498" t="s">
        <v>920</v>
      </c>
    </row>
    <row r="65" ht="15.75">
      <c r="A65" s="499"/>
    </row>
    <row r="66" ht="15.75">
      <c r="A66" s="499"/>
    </row>
    <row r="67" ht="78.75">
      <c r="A67" s="498" t="s">
        <v>921</v>
      </c>
    </row>
    <row r="68" ht="15">
      <c r="A68" s="503"/>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2012-08-20T15:48:16Z</cp:lastPrinted>
  <dcterms:created xsi:type="dcterms:W3CDTF">1999-08-03T13:11:47Z</dcterms:created>
  <dcterms:modified xsi:type="dcterms:W3CDTF">2014-01-21T17:21:58Z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