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25" tabRatio="909" activeTab="3"/>
  </bookViews>
  <sheets>
    <sheet name="Instructions" sheetId="1" r:id="rId1"/>
    <sheet name="inputPrYr" sheetId="2" r:id="rId2"/>
    <sheet name="inputOth" sheetId="3" r:id="rId3"/>
    <sheet name="cert" sheetId="4" r:id="rId4"/>
    <sheet name="GenDetail" sheetId="5" r:id="rId5"/>
    <sheet name="general" sheetId="6" r:id="rId6"/>
    <sheet name="nhood" sheetId="7" r:id="rId7"/>
    <sheet name="summ" sheetId="8" r:id="rId8"/>
    <sheet name="inputBudSum" sheetId="9" r:id="rId9"/>
    <sheet name="computation" sheetId="10" r:id="rId10"/>
    <sheet name="mvalloc" sheetId="11" r:id="rId11"/>
    <sheet name="no levy page15" sheetId="12" r:id="rId12"/>
    <sheet name="transfers" sheetId="13" r:id="rId13"/>
    <sheet name="debt" sheetId="14" r:id="rId14"/>
    <sheet name="lpform" sheetId="15" r:id="rId15"/>
    <sheet name="levy page9" sheetId="16" r:id="rId16"/>
    <sheet name="DebtSvs-library" sheetId="17" r:id="rId17"/>
    <sheet name="Sp Hiway" sheetId="18" r:id="rId18"/>
    <sheet name="no levy page16" sheetId="19" r:id="rId19"/>
    <sheet name="no levy page17" sheetId="20" r:id="rId20"/>
    <sheet name="no levy page18" sheetId="21" r:id="rId21"/>
    <sheet name="no levy page19" sheetId="22" r:id="rId22"/>
    <sheet name="no levy page20" sheetId="23" r:id="rId23"/>
    <sheet name="no levy page21" sheetId="24" r:id="rId24"/>
    <sheet name="no levy page22" sheetId="25" r:id="rId25"/>
    <sheet name="no levy page23" sheetId="26" r:id="rId26"/>
    <sheet name="SinNoLevy22" sheetId="27" r:id="rId27"/>
    <sheet name="SinNoLevy23" sheetId="28" r:id="rId28"/>
    <sheet name="no levy page24" sheetId="29" r:id="rId29"/>
    <sheet name="Library Grant" sheetId="30" r:id="rId30"/>
    <sheet name="ordinance" sheetId="31" r:id="rId31"/>
    <sheet name="Tab A" sheetId="32" r:id="rId32"/>
    <sheet name="Tab B" sheetId="33" r:id="rId33"/>
    <sheet name="Tab C" sheetId="34" r:id="rId34"/>
    <sheet name="Tab D" sheetId="35" r:id="rId35"/>
    <sheet name="Tab E" sheetId="36" r:id="rId36"/>
    <sheet name="Mill Rate Computation" sheetId="37" r:id="rId37"/>
    <sheet name="Helpful Links" sheetId="38" r:id="rId38"/>
    <sheet name="legend" sheetId="39" r:id="rId39"/>
  </sheets>
  <definedNames>
    <definedName name="_xlnm.Print_Area" localSheetId="16">'DebtSvs-library'!$B$1:$E$82</definedName>
    <definedName name="_xlnm.Print_Area" localSheetId="5">'general'!$B$1:$E$113</definedName>
    <definedName name="_xlnm.Print_Area" localSheetId="1">'inputPrYr'!$A$1:$E$97</definedName>
    <definedName name="_xlnm.Print_Area" localSheetId="15">'levy page9'!$A$1:$E$81</definedName>
    <definedName name="_xlnm.Print_Area" localSheetId="29">'Library Grant'!$A$1:$J$40</definedName>
    <definedName name="_xlnm.Print_Area" localSheetId="14">'lpform'!$B$1:$I$38</definedName>
    <definedName name="_xlnm.Print_Area" localSheetId="36">'Mill Rate Computation'!#REF!</definedName>
    <definedName name="_xlnm.Print_Area" localSheetId="7">'summ'!$A$1:$H$60</definedName>
  </definedNames>
  <calcPr fullCalcOnLoad="1"/>
</workbook>
</file>

<file path=xl/sharedStrings.xml><?xml version="1.0" encoding="utf-8"?>
<sst xmlns="http://schemas.openxmlformats.org/spreadsheetml/2006/main" count="2208" uniqueCount="1148">
  <si>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</si>
  <si>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</si>
  <si>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</si>
  <si>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</si>
  <si>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</si>
  <si>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</si>
  <si>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</si>
  <si>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</si>
  <si>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</si>
  <si>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</si>
  <si>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</si>
  <si>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</si>
  <si>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</si>
  <si>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</si>
  <si>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</si>
  <si>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</si>
  <si>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</si>
  <si>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</si>
  <si>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</si>
  <si>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</si>
  <si>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</si>
  <si>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</si>
  <si>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</si>
  <si>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</si>
  <si>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</si>
  <si>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</si>
  <si>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</si>
  <si>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</si>
  <si>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</si>
  <si>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</si>
  <si>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</si>
  <si>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</si>
  <si>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</si>
  <si>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</si>
  <si>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</si>
  <si>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</si>
  <si>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</si>
  <si>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</si>
  <si>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</si>
  <si>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</si>
  <si>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</si>
  <si>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</si>
  <si>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</si>
  <si>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</si>
  <si>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</si>
  <si>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</si>
  <si>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</si>
  <si>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</si>
  <si>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</si>
  <si>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</si>
  <si>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</si>
  <si>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</si>
  <si>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</si>
  <si>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</si>
  <si>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</si>
  <si>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</si>
  <si>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</si>
  <si>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</si>
  <si>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</si>
  <si>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</si>
  <si>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</si>
  <si>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</si>
  <si>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</si>
  <si>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</si>
  <si>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</si>
  <si>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</si>
  <si>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</si>
  <si>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</si>
  <si>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</si>
  <si>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</si>
  <si>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</si>
  <si>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</si>
  <si>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</si>
  <si>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</si>
  <si>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</si>
  <si>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</si>
  <si>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</si>
  <si>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</si>
  <si>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</si>
  <si>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</si>
  <si>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</si>
  <si>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</si>
  <si>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</si>
  <si>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</si>
  <si>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</si>
  <si>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</si>
  <si>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</si>
  <si>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</si>
  <si>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</si>
  <si>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</si>
  <si>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</si>
  <si>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</si>
  <si>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</si>
  <si>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</si>
  <si>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</si>
  <si>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</si>
  <si>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</si>
  <si>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</si>
  <si>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</si>
  <si>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</si>
  <si>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</si>
  <si>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</si>
  <si>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</si>
  <si>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</si>
  <si>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</si>
  <si>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</si>
  <si>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</si>
  <si>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</si>
  <si>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</si>
  <si>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</si>
  <si>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</si>
  <si>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</si>
  <si>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</si>
  <si>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</si>
  <si>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</si>
  <si>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</si>
  <si>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</si>
  <si>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</si>
  <si>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</si>
  <si>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</si>
  <si>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</si>
  <si>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</si>
  <si>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</si>
  <si>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</si>
  <si>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</si>
  <si>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</si>
  <si>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</si>
  <si>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</si>
  <si>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</si>
  <si>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</si>
  <si>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</si>
  <si>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</si>
  <si>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</si>
  <si>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</si>
  <si>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</si>
  <si>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</si>
  <si>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</si>
  <si>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</si>
  <si>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</si>
  <si>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</si>
  <si>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</si>
  <si>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</si>
  <si>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</si>
  <si>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</si>
  <si>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</si>
  <si>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</si>
  <si>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</si>
  <si>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</si>
  <si>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</si>
  <si>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</si>
  <si>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</si>
  <si>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</si>
  <si>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</si>
  <si>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</si>
  <si>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</si>
  <si>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</si>
  <si>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</si>
  <si>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</si>
  <si>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</si>
  <si>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</si>
  <si>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</si>
  <si>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</si>
  <si>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</si>
  <si>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</si>
  <si>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</si>
  <si>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</si>
  <si>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</si>
  <si>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</si>
  <si>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</si>
  <si>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</si>
  <si>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</si>
  <si>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</si>
  <si>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</si>
  <si>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</si>
  <si>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</si>
  <si>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</si>
  <si>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</si>
  <si>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</si>
  <si>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</si>
  <si>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</si>
  <si>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</si>
  <si>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</si>
  <si>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</si>
  <si>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</si>
  <si>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</si>
  <si>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</si>
  <si>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</si>
  <si>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</si>
  <si>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</si>
  <si>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</si>
  <si>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</si>
  <si>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</si>
  <si>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</si>
  <si>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</si>
  <si>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</si>
  <si>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</si>
  <si>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</si>
  <si>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</si>
  <si>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</si>
  <si>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</si>
  <si>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</si>
  <si>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</si>
  <si>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</si>
  <si>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</si>
  <si>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</si>
  <si>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</si>
  <si>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</si>
  <si>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</si>
  <si>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</si>
  <si>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</si>
  <si>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</si>
  <si>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</si>
  <si>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</si>
  <si>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</si>
  <si>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</si>
  <si>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</si>
  <si>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</si>
  <si>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</si>
  <si>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</si>
  <si>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</si>
  <si>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</si>
  <si>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</si>
  <si>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</si>
  <si>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</si>
  <si>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</si>
  <si>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</si>
  <si>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</si>
  <si>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</si>
  <si>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</si>
  <si>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</si>
  <si>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</si>
  <si>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</si>
  <si>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</si>
  <si>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</si>
  <si>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</si>
  <si>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</si>
  <si>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</si>
  <si>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 xml:space="preserve">Mayor                    </t>
  </si>
  <si>
    <t>Current</t>
  </si>
  <si>
    <t>Proposed</t>
  </si>
  <si>
    <t>City 2 Spreadsheet Instructions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</si>
  <si>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</si>
  <si>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</si>
  <si>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</si>
  <si>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</si>
  <si>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</si>
  <si>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</si>
  <si>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</si>
  <si>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</si>
  <si>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</si>
  <si>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</si>
  <si>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</si>
  <si>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</si>
  <si>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</si>
  <si>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</si>
  <si>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</si>
  <si>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</si>
  <si>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</si>
  <si>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</si>
  <si>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</si>
  <si>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</si>
  <si>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</si>
  <si>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</si>
  <si>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</si>
  <si>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</si>
  <si>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</si>
  <si>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</si>
  <si>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</si>
  <si>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</si>
  <si>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</si>
  <si>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</si>
  <si>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</si>
  <si>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</si>
  <si>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</si>
  <si>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</si>
  <si>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</si>
  <si>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</si>
  <si>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</si>
  <si>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</si>
  <si>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</si>
  <si>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</si>
  <si>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</si>
  <si>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</si>
  <si>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</si>
  <si>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</si>
  <si>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</si>
  <si>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</si>
  <si>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</si>
  <si>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</si>
  <si>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</si>
  <si>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</si>
  <si>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</si>
  <si>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</si>
  <si>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</si>
  <si>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</si>
  <si>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</si>
  <si>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</si>
  <si>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</si>
  <si>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</si>
  <si>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</si>
  <si>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</si>
  <si>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</si>
  <si>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</si>
  <si>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</si>
  <si>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</si>
  <si>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</si>
  <si>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</si>
  <si>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</si>
  <si>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</si>
  <si>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</si>
  <si>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</si>
  <si>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</si>
  <si>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</si>
  <si>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</si>
  <si>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</si>
  <si>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</si>
  <si>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</si>
  <si>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</si>
  <si>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</si>
  <si>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</si>
  <si>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</si>
  <si>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</si>
  <si>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</si>
  <si>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</si>
  <si>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</si>
  <si>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</si>
  <si>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</si>
  <si>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</si>
  <si>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</si>
  <si>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</si>
  <si>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</si>
  <si>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</si>
  <si>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</si>
  <si>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</si>
  <si>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</si>
  <si>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</si>
  <si>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</si>
  <si>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</si>
  <si>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</si>
  <si>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</si>
  <si>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</si>
  <si>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</si>
  <si>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</si>
  <si>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</si>
  <si>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</si>
  <si>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</si>
  <si>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</si>
  <si>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</si>
  <si>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</si>
  <si>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</si>
  <si>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</si>
  <si>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</si>
  <si>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</si>
  <si>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</si>
  <si>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</si>
  <si>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</si>
  <si>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</si>
  <si>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</si>
  <si>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</si>
  <si>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</si>
  <si>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</si>
  <si>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</si>
  <si>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</si>
  <si>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</si>
  <si>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</si>
  <si>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</si>
  <si>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</si>
  <si>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</si>
  <si>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</si>
  <si>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</si>
  <si>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</si>
  <si>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</si>
  <si>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</si>
  <si>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</si>
  <si>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</si>
  <si>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</si>
  <si>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</si>
  <si>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</si>
  <si>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</si>
  <si>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</si>
  <si>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</si>
  <si>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</si>
  <si>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</si>
  <si>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</si>
  <si>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</si>
  <si>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</si>
  <si>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</si>
  <si>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</si>
  <si>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</si>
  <si>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</si>
  <si>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</si>
  <si>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</si>
  <si>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</si>
  <si>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</si>
  <si>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</si>
  <si>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</si>
  <si>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</si>
  <si>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</si>
  <si>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</si>
  <si>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</si>
  <si>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</si>
  <si>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</si>
  <si>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</si>
  <si>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</si>
  <si>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</si>
  <si>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</si>
  <si>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</si>
  <si>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</si>
  <si>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</si>
  <si>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</si>
  <si>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</si>
  <si>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</si>
  <si>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</si>
  <si>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</si>
  <si>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</si>
  <si>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</si>
  <si>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</si>
  <si>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</si>
  <si>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</si>
  <si>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</si>
  <si>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</si>
  <si>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</si>
  <si>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</si>
  <si>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</si>
  <si>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</si>
  <si>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</si>
  <si>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</si>
  <si>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</si>
  <si>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</si>
  <si>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</si>
  <si>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</si>
  <si>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</si>
  <si>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</si>
  <si>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</si>
  <si>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</si>
  <si>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</si>
  <si>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</si>
  <si>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</si>
  <si>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</si>
  <si>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</si>
  <si>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</si>
  <si>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</si>
  <si>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</si>
  <si>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</si>
  <si>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</si>
  <si>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</si>
  <si>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</si>
  <si>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</si>
  <si>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</si>
  <si>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</si>
  <si>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</si>
  <si>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</si>
  <si>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</si>
  <si>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</si>
  <si>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</si>
  <si>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</si>
  <si>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</si>
  <si>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</si>
  <si>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</si>
  <si>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</si>
  <si>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</si>
  <si>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</si>
  <si>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</si>
  <si>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</si>
  <si>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</si>
  <si>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</si>
  <si>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</si>
  <si>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</si>
  <si>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</si>
  <si>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</si>
  <si>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</si>
  <si>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</si>
  <si>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</si>
  <si>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</si>
  <si>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</si>
  <si>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</si>
  <si>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</si>
  <si>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</si>
  <si>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</si>
  <si>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</si>
  <si>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</si>
  <si>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</si>
  <si>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</si>
  <si>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</si>
  <si>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</si>
  <si>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</si>
  <si>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</si>
  <si>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</si>
  <si>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</si>
  <si>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</si>
  <si>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</si>
  <si>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</si>
  <si>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</si>
  <si>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</si>
  <si>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</si>
  <si>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</si>
  <si>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</si>
  <si>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</si>
  <si>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</si>
  <si>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</si>
  <si>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</si>
  <si>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</si>
  <si>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</si>
  <si>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</si>
  <si>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</si>
  <si>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</si>
  <si>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</si>
  <si>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</si>
  <si>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</si>
  <si>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</si>
  <si>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</si>
  <si>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</si>
  <si>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</si>
  <si>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</si>
  <si>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</si>
  <si>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</si>
  <si>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</si>
  <si>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</si>
  <si>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</si>
  <si>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</si>
  <si>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</si>
  <si>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</si>
  <si>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</si>
  <si>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</si>
  <si>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</si>
  <si>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</si>
  <si>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</si>
  <si>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</si>
  <si>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</si>
  <si>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</si>
  <si>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</si>
  <si>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</si>
  <si>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</si>
  <si>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</si>
  <si>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</si>
  <si>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</si>
  <si>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</si>
  <si>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</si>
  <si>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</si>
  <si>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</si>
  <si>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</si>
  <si>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</si>
  <si>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</si>
  <si>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</si>
  <si>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</si>
  <si>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</si>
  <si>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</si>
  <si>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</si>
  <si>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</si>
  <si>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</si>
  <si>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</si>
  <si>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</si>
  <si>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</si>
  <si>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</si>
  <si>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</si>
  <si>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</si>
  <si>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</si>
  <si>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</si>
  <si>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</si>
  <si>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</si>
  <si>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</si>
  <si>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</si>
  <si>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</si>
  <si>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</si>
  <si>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</si>
  <si>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</si>
  <si>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</si>
  <si>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</si>
  <si>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</si>
  <si>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</si>
  <si>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</si>
  <si>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</si>
  <si>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</si>
  <si>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</si>
  <si>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</si>
  <si>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</si>
  <si>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</si>
  <si>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</si>
  <si>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</si>
  <si>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</si>
  <si>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</si>
  <si>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</si>
  <si>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</si>
  <si>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</si>
  <si>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</si>
  <si>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</si>
  <si>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</si>
  <si>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</si>
  <si>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</si>
  <si>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</si>
  <si>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</si>
  <si>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</si>
  <si>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</si>
  <si>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</si>
  <si>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</si>
  <si>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</si>
  <si>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</si>
  <si>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</si>
  <si>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</si>
  <si>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</si>
  <si>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</si>
  <si>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</si>
  <si>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</si>
  <si>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</si>
  <si>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</si>
  <si>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</si>
  <si>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</si>
  <si>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</si>
  <si>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</si>
  <si>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</si>
  <si>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</si>
  <si>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</si>
  <si>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</si>
  <si>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</si>
  <si>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</si>
  <si>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</si>
  <si>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</si>
  <si>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</si>
  <si>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</si>
  <si>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</si>
  <si>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</si>
  <si>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</si>
  <si>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</si>
  <si>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</si>
  <si>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</si>
  <si>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</si>
  <si>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</si>
  <si>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</si>
  <si>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</si>
  <si>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</si>
  <si>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</si>
  <si>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</si>
  <si>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</si>
  <si>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</si>
  <si>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</si>
  <si>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</si>
  <si>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</si>
  <si>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</si>
  <si>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</si>
  <si>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</si>
  <si>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</si>
  <si>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</si>
  <si>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</si>
  <si>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</si>
  <si>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</si>
  <si>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</si>
  <si>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</si>
  <si>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</si>
  <si>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</si>
  <si>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</si>
  <si>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</si>
  <si>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</si>
  <si>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</si>
  <si>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</si>
  <si>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</si>
  <si>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</si>
  <si>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</si>
  <si>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</si>
  <si>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</si>
  <si>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</si>
  <si>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</si>
  <si>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</si>
  <si>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</si>
  <si>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</si>
  <si>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</si>
  <si>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</si>
  <si>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</si>
  <si>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</si>
  <si>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</si>
  <si>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</si>
  <si>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</si>
  <si>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</si>
  <si>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</si>
  <si>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</si>
  <si>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</si>
  <si>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</si>
  <si>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</si>
  <si>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</si>
  <si>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</si>
  <si>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</si>
  <si>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</si>
  <si>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</si>
  <si>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</si>
  <si>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t>The following were changed to this spreadsheet on 8/29/10</t>
  </si>
  <si>
    <t>Official Title:</t>
  </si>
  <si>
    <t>City Clerk, City Treasurer, Mayor</t>
  </si>
  <si>
    <t>Local Sales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</si>
  <si>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</si>
  <si>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</si>
  <si>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</si>
  <si>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</si>
  <si>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</si>
  <si>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</si>
  <si>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</si>
  <si>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</si>
  <si>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</si>
  <si>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</si>
  <si>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</si>
  <si>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</si>
  <si>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</si>
  <si>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</si>
  <si>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</si>
  <si>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</si>
  <si>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</si>
  <si>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</si>
  <si>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</si>
  <si>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</si>
  <si>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</si>
  <si>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</si>
  <si>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</si>
  <si>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</si>
  <si>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</si>
  <si>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</si>
  <si>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</si>
  <si>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</si>
  <si>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</si>
  <si>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</si>
  <si>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</si>
  <si>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</si>
  <si>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</si>
  <si>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</si>
  <si>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</si>
  <si>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</si>
  <si>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</si>
  <si>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</si>
  <si>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</si>
  <si>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</si>
  <si>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</si>
  <si>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</si>
  <si>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</si>
  <si>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</si>
  <si>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</si>
  <si>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</si>
  <si>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</si>
  <si>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</si>
  <si>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</si>
  <si>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</si>
  <si>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</si>
  <si>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</si>
  <si>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</si>
  <si>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</si>
  <si>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</si>
  <si>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</si>
  <si>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</si>
  <si>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</si>
  <si>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</si>
  <si>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</si>
  <si>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</si>
  <si>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</si>
  <si>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</si>
  <si>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</si>
  <si>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</si>
  <si>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</si>
  <si>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</si>
  <si>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</si>
  <si>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</si>
  <si>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</si>
  <si>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</si>
  <si>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</si>
  <si>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</si>
  <si>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</si>
  <si>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</si>
  <si>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</si>
  <si>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</si>
  <si>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</si>
  <si>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</si>
  <si>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</si>
  <si>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</si>
  <si>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</si>
  <si>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</si>
  <si>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</si>
  <si>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</si>
  <si>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</si>
  <si>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</si>
  <si>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</si>
  <si>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</si>
  <si>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</si>
  <si>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</si>
  <si>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</si>
  <si>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</si>
  <si>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</si>
  <si>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</si>
  <si>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</si>
  <si>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</si>
  <si>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</si>
  <si>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</si>
  <si>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</si>
  <si>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</si>
  <si>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</si>
  <si>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</si>
  <si>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</si>
  <si>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</si>
  <si>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</si>
  <si>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</si>
  <si>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</si>
  <si>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</si>
  <si>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</si>
  <si>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</si>
  <si>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</si>
  <si>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</si>
  <si>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</si>
  <si>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</si>
  <si>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</si>
  <si>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</si>
  <si>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</si>
  <si>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</si>
  <si>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</si>
  <si>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</si>
  <si>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</si>
  <si>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</si>
  <si>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</si>
  <si>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</si>
  <si>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</si>
  <si>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</si>
  <si>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</si>
  <si>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</si>
  <si>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</si>
  <si>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</si>
  <si>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</si>
  <si>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</si>
  <si>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</si>
  <si>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</si>
  <si>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</si>
  <si>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</si>
  <si>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</si>
  <si>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</si>
  <si>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</si>
  <si>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</si>
  <si>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</si>
  <si>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</si>
  <si>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</si>
  <si>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</si>
  <si>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</si>
  <si>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</si>
  <si>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</si>
  <si>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</si>
  <si>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</si>
  <si>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</si>
  <si>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</si>
  <si>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</si>
  <si>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</si>
  <si>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</si>
  <si>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</si>
  <si>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</si>
  <si>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</si>
  <si>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</si>
  <si>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</si>
  <si>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</si>
  <si>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</si>
  <si>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</si>
  <si>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</si>
  <si>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</si>
  <si>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</si>
  <si>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</si>
  <si>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</si>
  <si>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</si>
  <si>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</si>
  <si>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</si>
  <si>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</si>
  <si>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</si>
  <si>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</si>
  <si>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</si>
  <si>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</si>
  <si>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</si>
  <si>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</si>
  <si>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</si>
  <si>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</si>
  <si>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</si>
  <si>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</si>
  <si>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</si>
  <si>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</si>
  <si>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</si>
  <si>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</si>
  <si>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</si>
  <si>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</si>
  <si>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</si>
  <si>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</si>
  <si>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</si>
  <si>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</si>
  <si>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</si>
  <si>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</si>
  <si>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</si>
  <si>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</si>
  <si>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</si>
  <si>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</si>
  <si>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</si>
  <si>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</si>
  <si>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</si>
  <si>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</si>
  <si>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</si>
  <si>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</si>
  <si>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</si>
  <si>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</si>
  <si>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</si>
  <si>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</si>
  <si>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</si>
  <si>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</si>
  <si>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</si>
  <si>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</si>
  <si>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</si>
  <si>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</si>
  <si>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</si>
  <si>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</si>
  <si>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</si>
  <si>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</si>
  <si>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</si>
  <si>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</si>
  <si>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</si>
  <si>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</si>
  <si>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</si>
  <si>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</si>
  <si>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</si>
  <si>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</si>
  <si>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</si>
  <si>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</si>
  <si>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</si>
  <si>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CITY OF ELLSWORTH</t>
  </si>
  <si>
    <t>ELLSWORTH COUNTY</t>
  </si>
  <si>
    <t>Fire/Police Equipment</t>
  </si>
  <si>
    <t>12-110b</t>
  </si>
  <si>
    <t>Solid Waste</t>
  </si>
  <si>
    <t>Special Parks &amp; Recreation</t>
  </si>
  <si>
    <t>2011 G.O. Cost of Issuance</t>
  </si>
  <si>
    <t>W/S Improvement</t>
  </si>
  <si>
    <t>2009 Temp Note Debt Service</t>
  </si>
  <si>
    <t>2011 S.O. Project TIF</t>
  </si>
  <si>
    <t>2011 S.O. Debt Service TIF</t>
  </si>
  <si>
    <t>2011 S. O. Revenue TIF</t>
  </si>
  <si>
    <t>2011 S.O. Cost of Issuance</t>
  </si>
  <si>
    <t>Water/Sewer</t>
  </si>
  <si>
    <t>Recreation &amp; Pool</t>
  </si>
  <si>
    <t>Capital Improvement</t>
  </si>
  <si>
    <t>Municipal Equipment</t>
  </si>
  <si>
    <t>Tourism &amp; Convention</t>
  </si>
  <si>
    <t>TDD Dees &amp; Kunkle</t>
  </si>
  <si>
    <t>Water/Sewer Emer Depriciation</t>
  </si>
  <si>
    <t>TDD Debt Service Reserve</t>
  </si>
  <si>
    <t>TDD Principal &amp; Interest</t>
  </si>
  <si>
    <t>2011 G.O. Redemption</t>
  </si>
  <si>
    <t>2011 G.O. Compliance</t>
  </si>
  <si>
    <t>TDD Project Fund</t>
  </si>
  <si>
    <t>TDD Cost of Issuance</t>
  </si>
  <si>
    <t>W/W Improvement</t>
  </si>
  <si>
    <t>2009 Temp Note Cost of Issuance</t>
  </si>
  <si>
    <t>2009 Temp Note Improvement</t>
  </si>
  <si>
    <t>2011 S.O. Revenue TIF</t>
  </si>
  <si>
    <t>CITY CLERK</t>
  </si>
  <si>
    <t>121 W. FIRST STREET, ELLSWORTH, KS  67439</t>
  </si>
  <si>
    <t>PATTI L. BOOHER</t>
  </si>
  <si>
    <t>Connecting Link</t>
  </si>
  <si>
    <t>Electric Franchise</t>
  </si>
  <si>
    <t>Telephone Franchise</t>
  </si>
  <si>
    <t>Gas Franchise</t>
  </si>
  <si>
    <t>Water/Sewer Franchise</t>
  </si>
  <si>
    <t>Airport</t>
  </si>
  <si>
    <t>Burial Permits</t>
  </si>
  <si>
    <t>Cemetery Lots</t>
  </si>
  <si>
    <t>Building Permits</t>
  </si>
  <si>
    <t>Leases</t>
  </si>
  <si>
    <t>Hall Rent</t>
  </si>
  <si>
    <t>Animal Impound</t>
  </si>
  <si>
    <t>Cable Franchise</t>
  </si>
  <si>
    <t>County Sales Tax</t>
  </si>
  <si>
    <t>Fines</t>
  </si>
  <si>
    <t>Fees</t>
  </si>
  <si>
    <t>Refunds &amp; Reimbursements</t>
  </si>
  <si>
    <t>Rural Fire Contracts</t>
  </si>
  <si>
    <t>Administrative Fees</t>
  </si>
  <si>
    <t>Concessions-Clubhouse</t>
  </si>
  <si>
    <t>Season Passes</t>
  </si>
  <si>
    <t>Sales Tax-Clubhouse</t>
  </si>
  <si>
    <t>Green Fees</t>
  </si>
  <si>
    <t>Cart Rental</t>
  </si>
  <si>
    <t>Sponsorship-Tournaments</t>
  </si>
  <si>
    <t>Tournament Greens Fees</t>
  </si>
  <si>
    <t>Jr. Golf Fees</t>
  </si>
  <si>
    <t>Room Rental-Clubhouse</t>
  </si>
  <si>
    <t>Driving Range</t>
  </si>
  <si>
    <t>Trail Fees</t>
  </si>
  <si>
    <t>Transfer from W/S Non-operating to Emp Benefits</t>
  </si>
  <si>
    <t>General Government</t>
  </si>
  <si>
    <t xml:space="preserve">  Transfer to Capital Improvements</t>
  </si>
  <si>
    <t xml:space="preserve">  Transfer to Municipal Eqipment</t>
  </si>
  <si>
    <t>Police Department</t>
  </si>
  <si>
    <t>Fire Department</t>
  </si>
  <si>
    <t>Street Department</t>
  </si>
  <si>
    <t>Cememtery Department</t>
  </si>
  <si>
    <t>ECF Parks Department</t>
  </si>
  <si>
    <t>Clubhouse Department</t>
  </si>
  <si>
    <t>Industrial Department</t>
  </si>
  <si>
    <t xml:space="preserve">  Personnel</t>
  </si>
  <si>
    <t>Recreation/Community Development Department</t>
  </si>
  <si>
    <t>Airport Department Department</t>
  </si>
  <si>
    <t>Employee Benefits Department</t>
  </si>
  <si>
    <t xml:space="preserve">  Community Development</t>
  </si>
  <si>
    <t>Golf Course Department</t>
  </si>
  <si>
    <t xml:space="preserve">  Transfer to Municipal Equipment</t>
  </si>
  <si>
    <t xml:space="preserve">  Transfer to Recreatio &amp; Pool Department</t>
  </si>
  <si>
    <t>Special Assessments</t>
  </si>
  <si>
    <t>Local Quarter Cent Sales Tax</t>
  </si>
  <si>
    <t>Transfer from 2011 G.O. Cost of Issuance</t>
  </si>
  <si>
    <t>Transfer from 2009 Temp Note Debt Service</t>
  </si>
  <si>
    <t xml:space="preserve">  Contracutal</t>
  </si>
  <si>
    <t xml:space="preserve">  Principal Payments</t>
  </si>
  <si>
    <t xml:space="preserve">  Interest Payments</t>
  </si>
  <si>
    <t xml:space="preserve">  Library Board</t>
  </si>
  <si>
    <t xml:space="preserve">  Police Equipment</t>
  </si>
  <si>
    <t xml:space="preserve">  Fire Equipment</t>
  </si>
  <si>
    <t>Local Alcohol Liquor Tax</t>
  </si>
  <si>
    <t xml:space="preserve">  Summer Recreation</t>
  </si>
  <si>
    <t>Collection Fees</t>
  </si>
  <si>
    <t xml:space="preserve">  Trash Collections</t>
  </si>
  <si>
    <t xml:space="preserve">  Administrative Fees</t>
  </si>
  <si>
    <t>Donations</t>
  </si>
  <si>
    <t>Donations Downtown Beautification</t>
  </si>
  <si>
    <t>Transfer from General Fund</t>
  </si>
  <si>
    <t>Transfer from Special Highway</t>
  </si>
  <si>
    <t>Transfer from Water/Sewer Fund</t>
  </si>
  <si>
    <t>Transfer from Recreation &amp; Pool Fund</t>
  </si>
  <si>
    <t>Fire Insurance Proceeds</t>
  </si>
  <si>
    <t xml:space="preserve">  Downtown Beautification</t>
  </si>
  <si>
    <t xml:space="preserve">  General Government</t>
  </si>
  <si>
    <t xml:space="preserve">  Police Department</t>
  </si>
  <si>
    <t xml:space="preserve">  Fire Department</t>
  </si>
  <si>
    <t xml:space="preserve">  Street, Cemetery, ECF Parks Department</t>
  </si>
  <si>
    <t xml:space="preserve">  Special Highway</t>
  </si>
  <si>
    <t xml:space="preserve">  Airport Improvements</t>
  </si>
  <si>
    <t xml:space="preserve">  Golf Course</t>
  </si>
  <si>
    <t xml:space="preserve">  Water Production Department</t>
  </si>
  <si>
    <t xml:space="preserve">  Sewer Disposal Department</t>
  </si>
  <si>
    <t xml:space="preserve">  Recreation &amp; Pool Fund</t>
  </si>
  <si>
    <t xml:space="preserve">  Water Transmission Department</t>
  </si>
  <si>
    <t>Sales of Equipment</t>
  </si>
  <si>
    <t>Transfer from Special Highway Fund</t>
  </si>
  <si>
    <t xml:space="preserve">  Street, Cemetery, ECF Departments</t>
  </si>
  <si>
    <t xml:space="preserve">  Golf Course Departments</t>
  </si>
  <si>
    <t xml:space="preserve">  Water/Sewer Transmission Department</t>
  </si>
  <si>
    <t xml:space="preserve">  Water/Sewer Sewer Disposal Department</t>
  </si>
  <si>
    <t xml:space="preserve">  Recreation &amp; Pool</t>
  </si>
  <si>
    <t>Transient Guest Tax</t>
  </si>
  <si>
    <t xml:space="preserve">  Special Services</t>
  </si>
  <si>
    <t xml:space="preserve">  Publication-Legal/Advertising</t>
  </si>
  <si>
    <t xml:space="preserve">  Membership Dues</t>
  </si>
  <si>
    <t xml:space="preserve">  Special Expenses</t>
  </si>
  <si>
    <t>One Cent Sales Tax</t>
  </si>
  <si>
    <t xml:space="preserve">  Other Contractual Services</t>
  </si>
  <si>
    <t>Transfer from Water/Sewer Department</t>
  </si>
  <si>
    <t>Note Proceeds</t>
  </si>
  <si>
    <t xml:space="preserve">  Bond Principal</t>
  </si>
  <si>
    <t xml:space="preserve">  Interest</t>
  </si>
  <si>
    <t xml:space="preserve">  Close Out Account</t>
  </si>
  <si>
    <t xml:space="preserve">  Other Capital Outlay</t>
  </si>
  <si>
    <t xml:space="preserve">  Note Proceeds</t>
  </si>
  <si>
    <t xml:space="preserve">  Publication &amp; Legal</t>
  </si>
  <si>
    <t>Close Out Account</t>
  </si>
  <si>
    <t xml:space="preserve">  Professional Services</t>
  </si>
  <si>
    <t>Transfer from W/S Non-Operating</t>
  </si>
  <si>
    <t xml:space="preserve">  Bond Interest</t>
  </si>
  <si>
    <t xml:space="preserve">  Service Fee</t>
  </si>
  <si>
    <t xml:space="preserve">  Loan Principal</t>
  </si>
  <si>
    <t xml:space="preserve">  Loan Interest</t>
  </si>
  <si>
    <t xml:space="preserve">  Budget Stabilization</t>
  </si>
  <si>
    <t>Streetscape Special Assessments</t>
  </si>
  <si>
    <t>Refund &amp; Reimbursements</t>
  </si>
  <si>
    <t xml:space="preserve">  Interest Principal</t>
  </si>
  <si>
    <t xml:space="preserve">  Administrative Expense</t>
  </si>
  <si>
    <t xml:space="preserve">  Close Out Fund</t>
  </si>
  <si>
    <t>2011 S.O. Debt Service</t>
  </si>
  <si>
    <t xml:space="preserve">  Other Contracual Services</t>
  </si>
  <si>
    <t>User Fee</t>
  </si>
  <si>
    <t>Sales &amp; Charges</t>
  </si>
  <si>
    <t>Sales &amp; Charges - WTP</t>
  </si>
  <si>
    <t>Sewer Service Charges</t>
  </si>
  <si>
    <t>Sewer Service Charges - WWTP</t>
  </si>
  <si>
    <t>Penalties</t>
  </si>
  <si>
    <t>Consumer Deposits</t>
  </si>
  <si>
    <t>Sales Tax</t>
  </si>
  <si>
    <t>State Water Fee</t>
  </si>
  <si>
    <t>Administration</t>
  </si>
  <si>
    <t>Production</t>
  </si>
  <si>
    <t>Transmission</t>
  </si>
  <si>
    <t>Sewage Disposal</t>
  </si>
  <si>
    <t>Non-Operating Expense</t>
  </si>
  <si>
    <t xml:space="preserve">  Sales Tax, State Water Fee, Consumption</t>
  </si>
  <si>
    <t xml:space="preserve">  Transfer to Water/Sewer Emer Depr</t>
  </si>
  <si>
    <t xml:space="preserve">  Transfer to Bond &amp; Interest</t>
  </si>
  <si>
    <t xml:space="preserve">  Transfer to General - Employee Benefits</t>
  </si>
  <si>
    <t xml:space="preserve">  Transfer to Recreation &amp; Pool</t>
  </si>
  <si>
    <t xml:space="preserve">  Transfer to Water/Sewer Improvements</t>
  </si>
  <si>
    <t>Seasonal Pass</t>
  </si>
  <si>
    <t>Daily Fees</t>
  </si>
  <si>
    <t>Pool Maintenance</t>
  </si>
  <si>
    <t>Change Fund Return</t>
  </si>
  <si>
    <t>Concessions-Recreation</t>
  </si>
  <si>
    <t>Concessions-Pool</t>
  </si>
  <si>
    <t>Facility User Fee - Recreation</t>
  </si>
  <si>
    <t>Lessons</t>
  </si>
  <si>
    <t>Refunds &amp; Reimbursement</t>
  </si>
  <si>
    <t>Transfer from General Fund-Rec/Community</t>
  </si>
  <si>
    <t>Transfer from Water/Sewer Non-Operating</t>
  </si>
  <si>
    <t>Recreation</t>
  </si>
  <si>
    <t>Pool</t>
  </si>
  <si>
    <t xml:space="preserve">  Oter Capital Outlay</t>
  </si>
  <si>
    <t>General Fund - General Gov't</t>
  </si>
  <si>
    <t>Capital Improvements</t>
  </si>
  <si>
    <t>KSA 12-1, 118</t>
  </si>
  <si>
    <t>General Fund - Police</t>
  </si>
  <si>
    <t>KSA 12-1,117</t>
  </si>
  <si>
    <t>General Fund - Fire</t>
  </si>
  <si>
    <t>General Fund - Street</t>
  </si>
  <si>
    <t>KSA 12-1, 117</t>
  </si>
  <si>
    <t>General Fund - Parks</t>
  </si>
  <si>
    <t>General Fund - Cemetery</t>
  </si>
  <si>
    <t>General Fund - Airport</t>
  </si>
  <si>
    <t>General Fund - Rec/Community</t>
  </si>
  <si>
    <t>KSA 12-197</t>
  </si>
  <si>
    <t>General Fund - Golf Course</t>
  </si>
  <si>
    <t>Water/Sewer - Sewer</t>
  </si>
  <si>
    <t>Water/Sewer - Non-Operating</t>
  </si>
  <si>
    <t>W/S Emergency Depreciation</t>
  </si>
  <si>
    <t>KSA 12-825d</t>
  </si>
  <si>
    <t>Bond &amp; Interest</t>
  </si>
  <si>
    <t>General Fund - Emp Benefits</t>
  </si>
  <si>
    <t>Water/Sewer Improvements</t>
  </si>
  <si>
    <t>Recreation &amp; Pool - Recreation</t>
  </si>
  <si>
    <t>KSA - 12-1, 118</t>
  </si>
  <si>
    <t>Recreation &amp; Pool - Pool</t>
  </si>
  <si>
    <t>G.O. Bonds 2005</t>
  </si>
  <si>
    <t>06/01 &amp; 12/01</t>
  </si>
  <si>
    <t>KDH&amp;E Waste Water Loan</t>
  </si>
  <si>
    <t>03/01 &amp; 09/01</t>
  </si>
  <si>
    <t>Backhoe/Streetsweeper</t>
  </si>
  <si>
    <t>35000</t>
  </si>
  <si>
    <t>G.O. Bonds 2011 (W/S)</t>
  </si>
  <si>
    <t>G.O. Bonds 2011 (Streetscape)</t>
  </si>
  <si>
    <t>TDD Revenue Bond 2007</t>
  </si>
  <si>
    <t>02/01 &amp; 08/01</t>
  </si>
  <si>
    <t>S.O. Bonds 2011 - TIF</t>
  </si>
  <si>
    <t>04/01 &amp; 10/01</t>
  </si>
  <si>
    <t xml:space="preserve">  Other Contractual Expense</t>
  </si>
  <si>
    <t>Transfer from Water/Sewer Non Operating</t>
  </si>
  <si>
    <t xml:space="preserve">  </t>
  </si>
  <si>
    <t>Water/Sewer - Transmission</t>
  </si>
  <si>
    <t>________________________________</t>
  </si>
  <si>
    <t>CITY HALL COUNCIL CHAMBERS</t>
  </si>
  <si>
    <t>ORDINANCE NUMBER 3032</t>
  </si>
  <si>
    <t>SEPTEMBER 10, 2012</t>
  </si>
  <si>
    <t>5:25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</si>
</sst>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409]h:mm:ss\ AM/PM"/>
  </numFmts>
  <fonts count="8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8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19"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22" xfId="0" applyNumberFormat="1" applyFont="1" applyFill="1" applyBorder="1" applyAlignment="1">
      <alignment vertical="center"/>
    </xf>
    <xf numFmtId="0" fontId="5" fillId="34" borderId="22"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1"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19"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19"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19" xfId="0" applyFont="1" applyFill="1" applyBorder="1" applyAlignment="1" applyProtection="1">
      <alignment horizontal="left" vertical="center"/>
      <protection/>
    </xf>
    <xf numFmtId="3" fontId="5" fillId="35" borderId="19"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19" xfId="0"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7" fontId="5" fillId="42" borderId="10" xfId="0" applyNumberFormat="1" applyFont="1" applyFill="1" applyBorder="1" applyAlignment="1" applyProtection="1">
      <alignment vertical="center"/>
      <protection/>
    </xf>
    <xf numFmtId="0" fontId="5" fillId="0" borderId="0" xfId="362" applyFont="1" applyAlignment="1">
      <alignment vertical="center"/>
      <protection/>
    </xf>
    <xf numFmtId="0" fontId="5" fillId="0" borderId="0" xfId="142" applyFont="1" applyAlignment="1">
      <alignment vertical="center" wrapText="1"/>
      <protection/>
    </xf>
    <xf numFmtId="0" fontId="21"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7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5" fillId="41" borderId="19"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19"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19" xfId="82" applyNumberFormat="1" applyFont="1" applyFill="1" applyBorder="1" applyAlignment="1" applyProtection="1">
      <alignment vertical="center"/>
      <protection/>
    </xf>
    <xf numFmtId="0" fontId="5" fillId="34" borderId="19"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19"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19"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19"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19"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3" borderId="26" xfId="82" applyFont="1" applyFill="1" applyBorder="1" applyAlignment="1" applyProtection="1">
      <alignment vertical="center"/>
      <protection locked="0"/>
    </xf>
    <xf numFmtId="0" fontId="5" fillId="43" borderId="20" xfId="82" applyFont="1" applyFill="1" applyBorder="1" applyAlignment="1" applyProtection="1">
      <alignment vertical="center"/>
      <protection locked="0"/>
    </xf>
    <xf numFmtId="195" fontId="13" fillId="43" borderId="26" xfId="82" applyNumberFormat="1" applyFont="1" applyFill="1" applyBorder="1" applyAlignment="1" applyProtection="1">
      <alignment vertical="center"/>
      <protection locked="0"/>
    </xf>
    <xf numFmtId="195" fontId="13" fillId="43" borderId="25" xfId="82" applyNumberFormat="1" applyFont="1" applyFill="1" applyBorder="1" applyAlignment="1" applyProtection="1">
      <alignment horizontal="center" vertical="center"/>
      <protection locked="0"/>
    </xf>
    <xf numFmtId="195" fontId="13" fillId="43" borderId="26" xfId="82" applyNumberFormat="1" applyFont="1" applyFill="1" applyBorder="1" applyAlignment="1" applyProtection="1">
      <alignment horizontal="center" vertical="center"/>
      <protection locked="0"/>
    </xf>
    <xf numFmtId="0" fontId="13" fillId="43" borderId="0" xfId="82" applyFont="1" applyFill="1" applyBorder="1" applyAlignment="1" applyProtection="1">
      <alignment vertical="center"/>
      <protection locked="0"/>
    </xf>
    <xf numFmtId="0" fontId="13" fillId="43" borderId="0" xfId="82" applyFont="1" applyFill="1" applyBorder="1" applyAlignment="1" applyProtection="1">
      <alignment horizontal="left" vertical="center"/>
      <protection locked="0"/>
    </xf>
    <xf numFmtId="37" fontId="5" fillId="33" borderId="19" xfId="82" applyNumberFormat="1" applyFont="1" applyFill="1" applyBorder="1" applyAlignment="1" applyProtection="1">
      <alignment horizontal="right" vertical="center"/>
      <protection locked="0"/>
    </xf>
    <xf numFmtId="3" fontId="4" fillId="35" borderId="19" xfId="82" applyNumberFormat="1" applyFont="1" applyFill="1" applyBorder="1" applyAlignment="1" applyProtection="1">
      <alignment vertical="center"/>
      <protection/>
    </xf>
    <xf numFmtId="3" fontId="5" fillId="34" borderId="19" xfId="82" applyNumberFormat="1" applyFont="1" applyFill="1" applyBorder="1" applyAlignment="1" applyProtection="1">
      <alignment vertical="center"/>
      <protection/>
    </xf>
    <xf numFmtId="37" fontId="5" fillId="33" borderId="19" xfId="82" applyNumberFormat="1" applyFont="1" applyFill="1" applyBorder="1" applyAlignment="1" applyProtection="1">
      <alignment vertical="center"/>
      <protection locked="0"/>
    </xf>
    <xf numFmtId="3" fontId="5" fillId="33" borderId="19" xfId="82" applyNumberFormat="1" applyFont="1" applyFill="1" applyBorder="1" applyAlignment="1" applyProtection="1">
      <alignment vertical="center"/>
      <protection locked="0"/>
    </xf>
    <xf numFmtId="3" fontId="4" fillId="34" borderId="19" xfId="82" applyNumberFormat="1" applyFont="1" applyFill="1" applyBorder="1" applyAlignment="1" applyProtection="1">
      <alignment vertical="center"/>
      <protection/>
    </xf>
    <xf numFmtId="3" fontId="5" fillId="35" borderId="19"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24" fillId="0" borderId="0" xfId="0" applyFont="1" applyAlignment="1" applyProtection="1">
      <alignment vertical="center"/>
      <protection/>
    </xf>
    <xf numFmtId="0" fontId="25" fillId="0" borderId="0" xfId="0" applyFont="1" applyAlignment="1">
      <alignment/>
    </xf>
    <xf numFmtId="0" fontId="25" fillId="44" borderId="0" xfId="0" applyFont="1" applyFill="1" applyAlignment="1">
      <alignment/>
    </xf>
    <xf numFmtId="0" fontId="25" fillId="43" borderId="0" xfId="0" applyFont="1" applyFill="1" applyAlignment="1">
      <alignment/>
    </xf>
    <xf numFmtId="0" fontId="74" fillId="44" borderId="0" xfId="0" applyFont="1" applyFill="1" applyAlignment="1">
      <alignment horizontal="center" wrapText="1"/>
    </xf>
    <xf numFmtId="0" fontId="74" fillId="43" borderId="0" xfId="0" applyFont="1" applyFill="1" applyAlignment="1">
      <alignment/>
    </xf>
    <xf numFmtId="0" fontId="25" fillId="43" borderId="0" xfId="0" applyFont="1" applyFill="1" applyAlignment="1">
      <alignment horizontal="center"/>
    </xf>
    <xf numFmtId="0" fontId="74" fillId="43" borderId="27" xfId="0" applyFont="1" applyFill="1" applyBorder="1" applyAlignment="1">
      <alignment/>
    </xf>
    <xf numFmtId="0" fontId="25" fillId="43" borderId="28" xfId="0" applyFont="1" applyFill="1" applyBorder="1" applyAlignment="1">
      <alignment/>
    </xf>
    <xf numFmtId="0" fontId="25" fillId="43" borderId="29" xfId="0" applyFont="1" applyFill="1" applyBorder="1" applyAlignment="1">
      <alignment/>
    </xf>
    <xf numFmtId="195" fontId="25" fillId="43" borderId="30" xfId="0" applyNumberFormat="1" applyFont="1" applyFill="1" applyBorder="1" applyAlignment="1">
      <alignment/>
    </xf>
    <xf numFmtId="0" fontId="25" fillId="43" borderId="0" xfId="0" applyFont="1" applyFill="1" applyBorder="1" applyAlignment="1">
      <alignment/>
    </xf>
    <xf numFmtId="195" fontId="25" fillId="43" borderId="11" xfId="0" applyNumberFormat="1" applyFont="1" applyFill="1" applyBorder="1" applyAlignment="1">
      <alignment horizontal="center"/>
    </xf>
    <xf numFmtId="0" fontId="25" fillId="43" borderId="31" xfId="0" applyFont="1" applyFill="1" applyBorder="1" applyAlignment="1">
      <alignment/>
    </xf>
    <xf numFmtId="0" fontId="25" fillId="43" borderId="32" xfId="0" applyFont="1" applyFill="1" applyBorder="1" applyAlignment="1">
      <alignment/>
    </xf>
    <xf numFmtId="0" fontId="25" fillId="43" borderId="33" xfId="0" applyFont="1" applyFill="1" applyBorder="1" applyAlignment="1">
      <alignment/>
    </xf>
    <xf numFmtId="0" fontId="25" fillId="43" borderId="34" xfId="0" applyFont="1" applyFill="1" applyBorder="1" applyAlignment="1">
      <alignment/>
    </xf>
    <xf numFmtId="195" fontId="25" fillId="43" borderId="0" xfId="0" applyNumberFormat="1" applyFont="1" applyFill="1" applyAlignment="1">
      <alignment/>
    </xf>
    <xf numFmtId="0" fontId="25" fillId="43" borderId="27" xfId="0" applyFont="1" applyFill="1" applyBorder="1" applyAlignment="1">
      <alignment/>
    </xf>
    <xf numFmtId="0" fontId="25" fillId="43" borderId="35" xfId="0" applyFont="1" applyFill="1" applyBorder="1" applyAlignment="1">
      <alignment/>
    </xf>
    <xf numFmtId="195" fontId="25" fillId="45" borderId="30" xfId="0" applyNumberFormat="1" applyFont="1" applyFill="1" applyBorder="1" applyAlignment="1" applyProtection="1">
      <alignment horizontal="center"/>
      <protection locked="0"/>
    </xf>
    <xf numFmtId="188" fontId="25" fillId="43" borderId="0" xfId="0" applyNumberFormat="1" applyFont="1" applyFill="1" applyBorder="1" applyAlignment="1">
      <alignment horizontal="center"/>
    </xf>
    <xf numFmtId="0" fontId="75" fillId="0" borderId="0" xfId="0" applyFont="1" applyBorder="1" applyAlignment="1">
      <alignment/>
    </xf>
    <xf numFmtId="0" fontId="25" fillId="0" borderId="0" xfId="0" applyFont="1" applyBorder="1" applyAlignment="1">
      <alignment/>
    </xf>
    <xf numFmtId="0" fontId="74" fillId="0" borderId="0" xfId="0" applyFont="1" applyBorder="1" applyAlignment="1">
      <alignment horizontal="centerContinuous"/>
    </xf>
    <xf numFmtId="0" fontId="25" fillId="0" borderId="0" xfId="0" applyFont="1" applyBorder="1" applyAlignment="1">
      <alignment horizontal="centerContinuous"/>
    </xf>
    <xf numFmtId="0" fontId="25" fillId="44" borderId="0" xfId="0" applyFont="1" applyFill="1" applyBorder="1" applyAlignment="1">
      <alignment/>
    </xf>
    <xf numFmtId="0" fontId="25" fillId="43" borderId="36" xfId="0" applyFont="1" applyFill="1" applyBorder="1" applyAlignment="1">
      <alignment/>
    </xf>
    <xf numFmtId="0" fontId="25" fillId="43" borderId="22" xfId="0" applyFont="1" applyFill="1" applyBorder="1" applyAlignment="1">
      <alignment/>
    </xf>
    <xf numFmtId="0" fontId="25" fillId="43" borderId="37" xfId="0" applyFont="1" applyFill="1" applyBorder="1" applyAlignment="1">
      <alignment/>
    </xf>
    <xf numFmtId="5" fontId="25" fillId="43" borderId="33" xfId="0" applyNumberFormat="1" applyFont="1" applyFill="1" applyBorder="1" applyAlignment="1">
      <alignment horizontal="center"/>
    </xf>
    <xf numFmtId="0" fontId="25" fillId="43" borderId="33" xfId="0" applyFont="1" applyFill="1" applyBorder="1" applyAlignment="1">
      <alignment horizontal="center"/>
    </xf>
    <xf numFmtId="188" fontId="25" fillId="43" borderId="33" xfId="0" applyNumberFormat="1" applyFont="1" applyFill="1" applyBorder="1" applyAlignment="1">
      <alignment horizontal="center"/>
    </xf>
    <xf numFmtId="196" fontId="25" fillId="43" borderId="33" xfId="0" applyNumberFormat="1" applyFont="1" applyFill="1" applyBorder="1" applyAlignment="1">
      <alignment horizontal="center"/>
    </xf>
    <xf numFmtId="0" fontId="25" fillId="43" borderId="0" xfId="0" applyFont="1" applyFill="1" applyAlignment="1">
      <alignment horizontal="center" wrapText="1"/>
    </xf>
    <xf numFmtId="0" fontId="74" fillId="43" borderId="27" xfId="0" applyFont="1" applyFill="1" applyBorder="1" applyAlignment="1">
      <alignment/>
    </xf>
    <xf numFmtId="0" fontId="25" fillId="43" borderId="28" xfId="0" applyFont="1" applyFill="1" applyBorder="1" applyAlignment="1">
      <alignment/>
    </xf>
    <xf numFmtId="0" fontId="25" fillId="43" borderId="29" xfId="0" applyFont="1" applyFill="1" applyBorder="1" applyAlignment="1">
      <alignment/>
    </xf>
    <xf numFmtId="0" fontId="25" fillId="43" borderId="35" xfId="0" applyFont="1" applyFill="1" applyBorder="1" applyAlignment="1">
      <alignment/>
    </xf>
    <xf numFmtId="0" fontId="25" fillId="43" borderId="31" xfId="0" applyFont="1" applyFill="1" applyBorder="1" applyAlignment="1">
      <alignment/>
    </xf>
    <xf numFmtId="0" fontId="25" fillId="43" borderId="36" xfId="0" applyFont="1" applyFill="1" applyBorder="1" applyAlignment="1">
      <alignment/>
    </xf>
    <xf numFmtId="0" fontId="25" fillId="43" borderId="22" xfId="0" applyFont="1" applyFill="1" applyBorder="1" applyAlignment="1">
      <alignment/>
    </xf>
    <xf numFmtId="0" fontId="25" fillId="43" borderId="37" xfId="0" applyFont="1" applyFill="1" applyBorder="1" applyAlignment="1">
      <alignment/>
    </xf>
    <xf numFmtId="178" fontId="25" fillId="43" borderId="0" xfId="0" applyNumberFormat="1" applyFont="1" applyFill="1" applyBorder="1" applyAlignment="1">
      <alignment horizontal="center"/>
    </xf>
    <xf numFmtId="0" fontId="25" fillId="43" borderId="32" xfId="0" applyFont="1" applyFill="1" applyBorder="1" applyAlignment="1">
      <alignment/>
    </xf>
    <xf numFmtId="5" fontId="25" fillId="43" borderId="0" xfId="0" applyNumberFormat="1" applyFont="1" applyFill="1" applyBorder="1" applyAlignment="1">
      <alignment horizontal="center"/>
    </xf>
    <xf numFmtId="0" fontId="25" fillId="44" borderId="0" xfId="0" applyFont="1" applyFill="1" applyAlignment="1">
      <alignment/>
    </xf>
    <xf numFmtId="188" fontId="25" fillId="45" borderId="11" xfId="0" applyNumberFormat="1" applyFont="1" applyFill="1" applyBorder="1" applyAlignment="1" applyProtection="1">
      <alignment horizontal="center"/>
      <protection locked="0"/>
    </xf>
    <xf numFmtId="196" fontId="25" fillId="43" borderId="0" xfId="0" applyNumberFormat="1" applyFont="1" applyFill="1" applyBorder="1" applyAlignment="1">
      <alignment/>
    </xf>
    <xf numFmtId="0" fontId="25" fillId="46" borderId="0" xfId="0" applyFont="1" applyFill="1" applyAlignment="1">
      <alignment/>
    </xf>
    <xf numFmtId="0" fontId="27" fillId="0" borderId="0" xfId="0" applyFont="1" applyAlignment="1">
      <alignment horizontal="center"/>
    </xf>
    <xf numFmtId="0" fontId="5" fillId="0" borderId="0" xfId="0" applyFont="1" applyAlignment="1">
      <alignment wrapText="1"/>
    </xf>
    <xf numFmtId="0" fontId="28"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19"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5" fillId="0" borderId="0" xfId="86" applyFont="1" applyAlignment="1">
      <alignment vertical="center"/>
      <protection/>
    </xf>
    <xf numFmtId="0" fontId="6" fillId="0" borderId="0" xfId="118" applyFont="1" applyAlignment="1">
      <alignment vertical="center"/>
      <protection/>
    </xf>
    <xf numFmtId="0" fontId="76" fillId="0" borderId="0" xfId="0" applyFont="1" applyAlignment="1">
      <alignment vertical="center"/>
    </xf>
    <xf numFmtId="0" fontId="77" fillId="0" borderId="0" xfId="0" applyFont="1" applyAlignment="1" applyProtection="1">
      <alignment horizontal="center" vertical="center"/>
      <protection locked="0"/>
    </xf>
    <xf numFmtId="0" fontId="78" fillId="34" borderId="0" xfId="0" applyFont="1" applyFill="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19" xfId="75" applyNumberFormat="1" applyFont="1" applyFill="1" applyBorder="1" applyAlignment="1" applyProtection="1">
      <alignment horizontal="left" vertical="center"/>
      <protection locked="0"/>
    </xf>
    <xf numFmtId="0" fontId="5" fillId="33" borderId="19" xfId="86" applyNumberFormat="1" applyFont="1" applyFill="1" applyBorder="1" applyAlignment="1" applyProtection="1">
      <alignment horizontal="left" vertical="center"/>
      <protection locked="0"/>
    </xf>
    <xf numFmtId="0" fontId="5" fillId="43" borderId="0" xfId="82" applyFont="1" applyFill="1" applyBorder="1" applyAlignment="1" applyProtection="1">
      <alignment vertical="center"/>
      <protection locked="0"/>
    </xf>
    <xf numFmtId="0" fontId="5" fillId="43" borderId="0" xfId="82" applyFont="1" applyFill="1" applyBorder="1" applyAlignment="1" applyProtection="1">
      <alignment vertical="center"/>
      <protection/>
    </xf>
    <xf numFmtId="0" fontId="29" fillId="43" borderId="0" xfId="82" applyFont="1" applyFill="1" applyBorder="1" applyAlignment="1" applyProtection="1">
      <alignment vertical="center"/>
      <protection locked="0"/>
    </xf>
    <xf numFmtId="195" fontId="29" fillId="45" borderId="10" xfId="82" applyNumberFormat="1" applyFont="1" applyFill="1" applyBorder="1" applyAlignment="1" applyProtection="1">
      <alignment horizontal="center" vertical="center"/>
      <protection locked="0"/>
    </xf>
    <xf numFmtId="0" fontId="5" fillId="43" borderId="26" xfId="82" applyFont="1" applyFill="1" applyBorder="1" applyAlignment="1" applyProtection="1">
      <alignment vertical="center"/>
      <protection/>
    </xf>
    <xf numFmtId="0" fontId="5" fillId="43" borderId="20" xfId="82" applyFont="1" applyFill="1" applyBorder="1" applyAlignment="1" applyProtection="1">
      <alignment vertical="center"/>
      <protection/>
    </xf>
    <xf numFmtId="195" fontId="29" fillId="43" borderId="26" xfId="82" applyNumberFormat="1" applyFont="1" applyFill="1" applyBorder="1" applyAlignment="1" applyProtection="1">
      <alignment horizontal="center" vertical="center"/>
      <protection/>
    </xf>
    <xf numFmtId="0" fontId="29" fillId="43" borderId="0" xfId="82" applyFont="1" applyFill="1" applyBorder="1" applyAlignment="1" applyProtection="1">
      <alignment horizontal="left" vertical="center"/>
      <protection/>
    </xf>
    <xf numFmtId="0" fontId="29" fillId="43" borderId="20" xfId="82" applyFont="1" applyFill="1" applyBorder="1" applyAlignment="1" applyProtection="1">
      <alignment vertical="center"/>
      <protection/>
    </xf>
    <xf numFmtId="0" fontId="29" fillId="43" borderId="0" xfId="82" applyFont="1" applyFill="1" applyBorder="1" applyAlignment="1" applyProtection="1">
      <alignment vertical="center"/>
      <protection/>
    </xf>
    <xf numFmtId="195" fontId="29" fillId="43" borderId="25" xfId="82" applyNumberFormat="1" applyFont="1" applyFill="1" applyBorder="1" applyAlignment="1" applyProtection="1">
      <alignment horizontal="center" vertical="center"/>
      <protection/>
    </xf>
    <xf numFmtId="195" fontId="29" fillId="43" borderId="26" xfId="82" applyNumberFormat="1" applyFont="1" applyFill="1" applyBorder="1" applyAlignment="1" applyProtection="1">
      <alignment vertical="center"/>
      <protection/>
    </xf>
    <xf numFmtId="0" fontId="31" fillId="47" borderId="11" xfId="82" applyFont="1" applyFill="1" applyBorder="1" applyAlignment="1" applyProtection="1">
      <alignment vertical="center"/>
      <protection/>
    </xf>
    <xf numFmtId="0" fontId="29" fillId="47" borderId="17" xfId="82" applyFont="1" applyFill="1" applyBorder="1" applyAlignment="1" applyProtection="1">
      <alignment vertical="center"/>
      <protection/>
    </xf>
    <xf numFmtId="0" fontId="5" fillId="47" borderId="17" xfId="82" applyFont="1" applyFill="1" applyBorder="1" applyAlignment="1" applyProtection="1">
      <alignment vertical="center"/>
      <protection/>
    </xf>
    <xf numFmtId="0" fontId="29" fillId="43" borderId="26" xfId="82" applyFont="1" applyFill="1" applyBorder="1" applyAlignment="1" applyProtection="1">
      <alignment horizontal="left" vertical="center"/>
      <protection/>
    </xf>
    <xf numFmtId="195" fontId="31" fillId="47" borderId="25" xfId="82" applyNumberFormat="1" applyFont="1" applyFill="1" applyBorder="1" applyAlignment="1" applyProtection="1">
      <alignment horizontal="center" vertical="center"/>
      <protection/>
    </xf>
    <xf numFmtId="195" fontId="31" fillId="47" borderId="17" xfId="82" applyNumberFormat="1" applyFont="1" applyFill="1" applyBorder="1" applyAlignment="1" applyProtection="1">
      <alignment horizontal="center" vertical="center"/>
      <protection locked="0"/>
    </xf>
    <xf numFmtId="188" fontId="29" fillId="43" borderId="18" xfId="82" applyNumberFormat="1" applyFont="1" applyFill="1" applyBorder="1" applyAlignment="1" applyProtection="1">
      <alignment horizontal="center" vertical="center"/>
      <protection locked="0"/>
    </xf>
    <xf numFmtId="0" fontId="29" fillId="43" borderId="26" xfId="82" applyFont="1" applyFill="1" applyBorder="1" applyAlignment="1" applyProtection="1">
      <alignment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188" fontId="5" fillId="34" borderId="38"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74" fillId="43" borderId="35" xfId="0" applyFont="1" applyFill="1" applyBorder="1" applyAlignment="1">
      <alignment horizontal="centerContinuous" vertical="center"/>
    </xf>
    <xf numFmtId="195" fontId="74" fillId="43" borderId="0" xfId="0" applyNumberFormat="1" applyFont="1" applyFill="1" applyBorder="1" applyAlignment="1">
      <alignment horizontal="centerContinuous" vertical="center"/>
    </xf>
    <xf numFmtId="0" fontId="74" fillId="43" borderId="0" xfId="0" applyFont="1" applyFill="1" applyBorder="1" applyAlignment="1">
      <alignment horizontal="centerContinuous" vertical="center"/>
    </xf>
    <xf numFmtId="188" fontId="74" fillId="43" borderId="0" xfId="0" applyNumberFormat="1" applyFont="1" applyFill="1" applyBorder="1" applyAlignment="1" applyProtection="1">
      <alignment horizontal="centerContinuous" vertical="center"/>
      <protection locked="0"/>
    </xf>
    <xf numFmtId="196" fontId="74" fillId="43" borderId="0" xfId="0" applyNumberFormat="1" applyFont="1" applyFill="1" applyBorder="1" applyAlignment="1">
      <alignment horizontal="centerContinuous" vertical="center"/>
    </xf>
    <xf numFmtId="0" fontId="74" fillId="43" borderId="31" xfId="0" applyFont="1" applyFill="1" applyBorder="1" applyAlignment="1">
      <alignment horizontal="centerContinuous" vertical="center"/>
    </xf>
    <xf numFmtId="0" fontId="74" fillId="43" borderId="35" xfId="0" applyFont="1" applyFill="1" applyBorder="1" applyAlignment="1">
      <alignment horizontal="centerContinuous"/>
    </xf>
    <xf numFmtId="195" fontId="74" fillId="43" borderId="0" xfId="0" applyNumberFormat="1" applyFont="1" applyFill="1" applyBorder="1" applyAlignment="1">
      <alignment horizontal="centerContinuous"/>
    </xf>
    <xf numFmtId="0" fontId="74" fillId="43" borderId="0" xfId="0" applyFont="1" applyFill="1" applyBorder="1" applyAlignment="1">
      <alignment horizontal="centerContinuous"/>
    </xf>
    <xf numFmtId="188" fontId="74" fillId="43" borderId="0" xfId="0" applyNumberFormat="1" applyFont="1" applyFill="1" applyBorder="1" applyAlignment="1" applyProtection="1">
      <alignment horizontal="centerContinuous"/>
      <protection locked="0"/>
    </xf>
    <xf numFmtId="196" fontId="74" fillId="43" borderId="0" xfId="0" applyNumberFormat="1" applyFont="1" applyFill="1" applyBorder="1" applyAlignment="1">
      <alignment horizontal="centerContinuous"/>
    </xf>
    <xf numFmtId="0" fontId="74" fillId="43" borderId="31" xfId="0" applyFont="1" applyFill="1" applyBorder="1" applyAlignment="1">
      <alignment horizontal="centerContinuous"/>
    </xf>
    <xf numFmtId="195" fontId="25" fillId="0" borderId="0" xfId="0" applyNumberFormat="1" applyFont="1" applyAlignment="1">
      <alignment/>
    </xf>
    <xf numFmtId="195" fontId="25" fillId="43" borderId="33" xfId="0" applyNumberFormat="1" applyFont="1" applyFill="1" applyBorder="1" applyAlignment="1">
      <alignment horizontal="center"/>
    </xf>
    <xf numFmtId="188" fontId="25" fillId="43" borderId="33" xfId="0" applyNumberFormat="1" applyFont="1" applyFill="1" applyBorder="1" applyAlignment="1" applyProtection="1">
      <alignment horizontal="center"/>
      <protection locked="0"/>
    </xf>
    <xf numFmtId="196" fontId="25" fillId="43" borderId="33" xfId="0" applyNumberFormat="1" applyFont="1" applyFill="1" applyBorder="1" applyAlignment="1">
      <alignment/>
    </xf>
    <xf numFmtId="188" fontId="25" fillId="43" borderId="0" xfId="0" applyNumberFormat="1" applyFont="1" applyFill="1" applyBorder="1" applyAlignment="1" applyProtection="1">
      <alignment horizontal="center"/>
      <protection locked="0"/>
    </xf>
    <xf numFmtId="195" fontId="25" fillId="43" borderId="28" xfId="0" applyNumberFormat="1" applyFont="1" applyFill="1" applyBorder="1" applyAlignment="1">
      <alignment horizontal="center"/>
    </xf>
    <xf numFmtId="0" fontId="25" fillId="43" borderId="28" xfId="0" applyFont="1" applyFill="1" applyBorder="1" applyAlignment="1">
      <alignment horizontal="center"/>
    </xf>
    <xf numFmtId="188" fontId="25" fillId="43" borderId="28" xfId="0" applyNumberFormat="1" applyFont="1" applyFill="1" applyBorder="1" applyAlignment="1" applyProtection="1">
      <alignment horizontal="center"/>
      <protection locked="0"/>
    </xf>
    <xf numFmtId="196" fontId="25" fillId="43" borderId="28" xfId="0" applyNumberFormat="1" applyFont="1" applyFill="1" applyBorder="1" applyAlignment="1">
      <alignment/>
    </xf>
    <xf numFmtId="195" fontId="25" fillId="43" borderId="0" xfId="0" applyNumberFormat="1" applyFont="1" applyFill="1" applyBorder="1" applyAlignment="1" applyProtection="1">
      <alignment horizontal="center"/>
      <protection locked="0"/>
    </xf>
    <xf numFmtId="195" fontId="25" fillId="43" borderId="0" xfId="0" applyNumberFormat="1" applyFont="1" applyFill="1" applyBorder="1" applyAlignment="1">
      <alignment horizontal="center"/>
    </xf>
    <xf numFmtId="196" fontId="25" fillId="43" borderId="0" xfId="0" applyNumberFormat="1" applyFont="1" applyFill="1" applyBorder="1" applyAlignment="1">
      <alignment horizontal="center"/>
    </xf>
    <xf numFmtId="0" fontId="74" fillId="43" borderId="0" xfId="0" applyFont="1" applyFill="1" applyAlignment="1">
      <alignment horizontal="center" wrapText="1"/>
    </xf>
    <xf numFmtId="0" fontId="25" fillId="43" borderId="0" xfId="0" applyFont="1" applyFill="1" applyBorder="1" applyAlignment="1">
      <alignment horizontal="center"/>
    </xf>
    <xf numFmtId="195" fontId="25" fillId="45" borderId="11" xfId="0" applyNumberFormat="1" applyFont="1" applyFill="1" applyBorder="1" applyAlignment="1" applyProtection="1">
      <alignment horizontal="center"/>
      <protection locked="0"/>
    </xf>
    <xf numFmtId="0" fontId="74" fillId="43" borderId="0" xfId="0" applyFont="1" applyFill="1" applyAlignment="1">
      <alignment horizontal="center"/>
    </xf>
    <xf numFmtId="195" fontId="25" fillId="43" borderId="0" xfId="0" applyNumberFormat="1" applyFont="1" applyFill="1" applyAlignment="1">
      <alignment horizontal="center"/>
    </xf>
    <xf numFmtId="0" fontId="25" fillId="43" borderId="0" xfId="0" applyFont="1" applyFill="1" applyBorder="1" applyAlignment="1">
      <alignment/>
    </xf>
    <xf numFmtId="0" fontId="25" fillId="43" borderId="34" xfId="0" applyFont="1" applyFill="1" applyBorder="1" applyAlignment="1">
      <alignment/>
    </xf>
    <xf numFmtId="0" fontId="25" fillId="43" borderId="22"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79"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1" fillId="33" borderId="0" xfId="365" applyFill="1" applyAlignment="1" applyProtection="1">
      <alignment horizontal="left" vertical="center"/>
      <protection locked="0"/>
    </xf>
    <xf numFmtId="0" fontId="80" fillId="0" borderId="0" xfId="365" applyFont="1">
      <alignment/>
      <protection/>
    </xf>
    <xf numFmtId="189" fontId="81" fillId="0" borderId="0" xfId="365" applyNumberFormat="1" applyFont="1" applyAlignment="1">
      <alignment horizontal="left" vertical="center"/>
      <protection/>
    </xf>
    <xf numFmtId="0" fontId="81" fillId="0" borderId="0" xfId="365" applyNumberFormat="1" applyFont="1" applyAlignment="1">
      <alignment horizontal="left" vertical="center"/>
      <protection/>
    </xf>
    <xf numFmtId="1" fontId="81" fillId="0" borderId="0" xfId="365" applyNumberFormat="1" applyFont="1" applyAlignment="1">
      <alignment horizontal="left" vertical="center"/>
      <protection/>
    </xf>
    <xf numFmtId="0" fontId="82"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1" fillId="47" borderId="26" xfId="82" applyFont="1" applyFill="1" applyBorder="1" applyAlignment="1" applyProtection="1">
      <alignment vertical="center"/>
      <protection locked="0"/>
    </xf>
    <xf numFmtId="0" fontId="5" fillId="47" borderId="0" xfId="82" applyFont="1" applyFill="1" applyBorder="1" applyAlignment="1" applyProtection="1">
      <alignment vertical="center"/>
      <protection locked="0"/>
    </xf>
    <xf numFmtId="0" fontId="29" fillId="47"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29" fillId="43" borderId="25" xfId="0" applyFont="1" applyFill="1" applyBorder="1" applyAlignment="1" applyProtection="1">
      <alignment vertical="center"/>
      <protection locked="0"/>
    </xf>
    <xf numFmtId="0" fontId="29"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29" fillId="43" borderId="26" xfId="0" applyNumberFormat="1" applyFont="1" applyFill="1" applyBorder="1" applyAlignment="1" applyProtection="1">
      <alignment horizontal="center" vertical="center"/>
      <protection/>
    </xf>
    <xf numFmtId="0" fontId="29" fillId="43" borderId="0" xfId="0" applyFont="1" applyFill="1" applyBorder="1" applyAlignment="1" applyProtection="1">
      <alignment horizontal="left" vertical="center"/>
      <protection/>
    </xf>
    <xf numFmtId="0" fontId="30" fillId="43" borderId="0" xfId="0" applyFont="1" applyFill="1" applyBorder="1" applyAlignment="1" applyProtection="1">
      <alignment horizontal="center" vertical="center"/>
      <protection/>
    </xf>
    <xf numFmtId="0" fontId="0" fillId="43" borderId="20" xfId="0" applyFill="1" applyBorder="1" applyAlignment="1" applyProtection="1">
      <alignment vertical="center"/>
      <protection/>
    </xf>
    <xf numFmtId="188" fontId="29" fillId="47" borderId="25" xfId="0" applyNumberFormat="1" applyFont="1" applyFill="1" applyBorder="1" applyAlignment="1" applyProtection="1">
      <alignment horizontal="center" vertical="center"/>
      <protection/>
    </xf>
    <xf numFmtId="188" fontId="29" fillId="43" borderId="19" xfId="0" applyNumberFormat="1" applyFont="1" applyFill="1" applyBorder="1" applyAlignment="1" applyProtection="1">
      <alignment horizontal="center" vertical="center"/>
      <protection/>
    </xf>
    <xf numFmtId="188" fontId="29" fillId="47" borderId="19" xfId="0" applyNumberFormat="1" applyFont="1" applyFill="1" applyBorder="1" applyAlignment="1" applyProtection="1">
      <alignment horizontal="center" vertical="center"/>
      <protection/>
    </xf>
    <xf numFmtId="0" fontId="29" fillId="43" borderId="11" xfId="0" applyFont="1" applyFill="1" applyBorder="1" applyAlignment="1" applyProtection="1">
      <alignment horizontal="left" vertical="center"/>
      <protection/>
    </xf>
    <xf numFmtId="0" fontId="30"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76" fillId="0" borderId="0" xfId="0" applyFont="1" applyAlignment="1" applyProtection="1">
      <alignment/>
      <protection locked="0"/>
    </xf>
    <xf numFmtId="195" fontId="13" fillId="47" borderId="25" xfId="82" applyNumberFormat="1" applyFont="1" applyFill="1" applyBorder="1" applyAlignment="1" applyProtection="1">
      <alignment horizontal="center" vertical="center"/>
      <protection locked="0"/>
    </xf>
    <xf numFmtId="0" fontId="13" fillId="47" borderId="11" xfId="82" applyFont="1" applyFill="1" applyBorder="1" applyAlignment="1" applyProtection="1">
      <alignment vertical="center"/>
      <protection locked="0"/>
    </xf>
    <xf numFmtId="0" fontId="5" fillId="47" borderId="17" xfId="82" applyFont="1" applyFill="1" applyBorder="1" applyAlignment="1" applyProtection="1">
      <alignment vertical="center"/>
      <protection locked="0"/>
    </xf>
    <xf numFmtId="0" fontId="5" fillId="43" borderId="20"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29"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29" fillId="43" borderId="0" xfId="0" applyFont="1" applyFill="1" applyBorder="1" applyAlignment="1" applyProtection="1">
      <alignment vertical="center"/>
      <protection/>
    </xf>
    <xf numFmtId="195" fontId="29" fillId="43" borderId="20" xfId="0" applyNumberFormat="1" applyFont="1" applyFill="1" applyBorder="1" applyAlignment="1" applyProtection="1">
      <alignment horizontal="center" vertical="center"/>
      <protection/>
    </xf>
    <xf numFmtId="0" fontId="29" fillId="43" borderId="26" xfId="0" applyFont="1" applyFill="1" applyBorder="1" applyAlignment="1" applyProtection="1">
      <alignment horizontal="left" vertical="center"/>
      <protection/>
    </xf>
    <xf numFmtId="195" fontId="29" fillId="45" borderId="10" xfId="0" applyNumberFormat="1" applyFont="1" applyFill="1" applyBorder="1" applyAlignment="1" applyProtection="1">
      <alignment horizontal="center" vertical="center"/>
      <protection locked="0"/>
    </xf>
    <xf numFmtId="188" fontId="31" fillId="43" borderId="18" xfId="0" applyNumberFormat="1" applyFont="1" applyFill="1" applyBorder="1" applyAlignment="1" applyProtection="1">
      <alignment horizontal="center" vertical="center"/>
      <protection/>
    </xf>
    <xf numFmtId="0" fontId="31"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29" fillId="47" borderId="0" xfId="0" applyFont="1" applyFill="1" applyBorder="1" applyAlignment="1" applyProtection="1">
      <alignment vertical="center"/>
      <protection/>
    </xf>
    <xf numFmtId="195" fontId="31" fillId="47" borderId="18" xfId="0" applyNumberFormat="1" applyFont="1" applyFill="1" applyBorder="1" applyAlignment="1" applyProtection="1">
      <alignment horizontal="center" vertical="center"/>
      <protection/>
    </xf>
    <xf numFmtId="37" fontId="29" fillId="34" borderId="25" xfId="0" applyNumberFormat="1" applyFont="1" applyFill="1" applyBorder="1" applyAlignment="1" applyProtection="1">
      <alignment horizontal="left" vertical="center"/>
      <protection/>
    </xf>
    <xf numFmtId="0" fontId="33" fillId="43" borderId="11" xfId="0" applyFont="1" applyFill="1" applyBorder="1" applyAlignment="1">
      <alignment horizontal="left" vertical="center"/>
    </xf>
    <xf numFmtId="195" fontId="31"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0" xfId="0" applyFont="1" applyFill="1" applyBorder="1" applyAlignment="1" applyProtection="1">
      <alignment/>
      <protection locked="0"/>
    </xf>
    <xf numFmtId="195" fontId="29" fillId="43" borderId="26" xfId="0" applyNumberFormat="1" applyFont="1" applyFill="1" applyBorder="1" applyAlignment="1" applyProtection="1">
      <alignment horizontal="center" vertical="center"/>
      <protection/>
    </xf>
    <xf numFmtId="0" fontId="29" fillId="43" borderId="20" xfId="0" applyFont="1" applyFill="1" applyBorder="1" applyAlignment="1" applyProtection="1">
      <alignment vertical="center"/>
      <protection/>
    </xf>
    <xf numFmtId="195" fontId="29" fillId="43" borderId="25" xfId="0" applyNumberFormat="1" applyFont="1" applyFill="1" applyBorder="1" applyAlignment="1" applyProtection="1">
      <alignment horizontal="center" vertical="center"/>
      <protection/>
    </xf>
    <xf numFmtId="0" fontId="32"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0"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76" fillId="0" borderId="0" xfId="0" applyFont="1" applyAlignment="1">
      <alignment/>
    </xf>
    <xf numFmtId="0" fontId="5" fillId="43" borderId="0" xfId="75" applyFont="1" applyFill="1">
      <alignment/>
      <protection/>
    </xf>
    <xf numFmtId="0" fontId="0" fillId="0" borderId="0" xfId="75">
      <alignment/>
      <protection/>
    </xf>
    <xf numFmtId="0" fontId="5" fillId="43" borderId="0" xfId="75" applyFont="1" applyFill="1" applyAlignment="1">
      <alignment vertical="center"/>
      <protection/>
    </xf>
    <xf numFmtId="37" fontId="5" fillId="43" borderId="0" xfId="75" applyNumberFormat="1" applyFont="1" applyFill="1" applyAlignment="1">
      <alignment vertical="center"/>
      <protection/>
    </xf>
    <xf numFmtId="0" fontId="5" fillId="43" borderId="11" xfId="75" applyFont="1" applyFill="1" applyBorder="1" applyAlignment="1">
      <alignment vertical="center"/>
      <protection/>
    </xf>
    <xf numFmtId="0" fontId="5" fillId="43" borderId="0" xfId="75" applyFont="1" applyFill="1" applyAlignment="1">
      <alignment horizontal="center" vertical="center"/>
      <protection/>
    </xf>
    <xf numFmtId="0" fontId="6" fillId="43" borderId="0" xfId="75" applyFont="1" applyFill="1" applyAlignment="1">
      <alignment horizontal="center" vertical="center"/>
      <protection/>
    </xf>
    <xf numFmtId="195" fontId="5" fillId="43" borderId="0" xfId="75" applyNumberFormat="1" applyFont="1" applyFill="1" applyAlignment="1">
      <alignment vertical="center"/>
      <protection/>
    </xf>
    <xf numFmtId="195" fontId="5" fillId="43" borderId="22" xfId="75" applyNumberFormat="1" applyFont="1" applyFill="1" applyBorder="1" applyAlignment="1">
      <alignment vertical="center"/>
      <protection/>
    </xf>
    <xf numFmtId="195" fontId="5" fillId="43" borderId="0" xfId="75" applyNumberFormat="1" applyFont="1" applyFill="1" applyBorder="1" applyAlignment="1">
      <alignment vertical="center"/>
      <protection/>
    </xf>
    <xf numFmtId="0" fontId="77" fillId="47" borderId="0" xfId="75" applyFont="1" applyFill="1" applyAlignment="1">
      <alignment vertical="center"/>
      <protection/>
    </xf>
    <xf numFmtId="0" fontId="77" fillId="43" borderId="0" xfId="75" applyFont="1" applyFill="1" applyAlignment="1">
      <alignment horizontal="center" vertical="center"/>
      <protection/>
    </xf>
    <xf numFmtId="188" fontId="5" fillId="43" borderId="0" xfId="75" applyNumberFormat="1" applyFont="1" applyFill="1" applyAlignment="1">
      <alignment horizontal="center" vertical="center"/>
      <protection/>
    </xf>
    <xf numFmtId="199" fontId="77" fillId="43" borderId="0" xfId="75" applyNumberFormat="1" applyFont="1" applyFill="1" applyAlignment="1">
      <alignment horizontal="center" vertical="center"/>
      <protection/>
    </xf>
    <xf numFmtId="0" fontId="77" fillId="47" borderId="0" xfId="75" applyFont="1" applyFill="1" applyAlignment="1">
      <alignment horizontal="center" vertical="center"/>
      <protection/>
    </xf>
    <xf numFmtId="0" fontId="83" fillId="47" borderId="0" xfId="75" applyFont="1" applyFill="1" applyAlignment="1">
      <alignment horizontal="center" vertical="center"/>
      <protection/>
    </xf>
    <xf numFmtId="0" fontId="5" fillId="43" borderId="0" xfId="75" applyFont="1" applyFill="1" applyAlignment="1">
      <alignment horizontal="right" vertical="center"/>
      <protection/>
    </xf>
    <xf numFmtId="0" fontId="5" fillId="43" borderId="0" xfId="75" applyFont="1" applyFill="1" applyAlignment="1">
      <alignment horizontal="left" vertical="center"/>
      <protection/>
    </xf>
    <xf numFmtId="0" fontId="5" fillId="43" borderId="0" xfId="72" applyFont="1" applyFill="1">
      <alignment/>
      <protection/>
    </xf>
    <xf numFmtId="0" fontId="0" fillId="43" borderId="0" xfId="75" applyFill="1">
      <alignment/>
      <protection/>
    </xf>
    <xf numFmtId="0" fontId="4" fillId="43" borderId="0" xfId="72" applyFont="1" applyFill="1">
      <alignment/>
      <protection/>
    </xf>
    <xf numFmtId="0" fontId="0" fillId="43" borderId="0" xfId="72" applyFill="1">
      <alignment/>
      <protection/>
    </xf>
    <xf numFmtId="0" fontId="11" fillId="0" borderId="0" xfId="64" applyAlignment="1" applyProtection="1">
      <alignment/>
      <protection/>
    </xf>
    <xf numFmtId="195" fontId="29" fillId="43" borderId="26" xfId="0" applyNumberFormat="1" applyFont="1" applyFill="1" applyBorder="1" applyAlignment="1" applyProtection="1">
      <alignment vertical="center"/>
      <protection/>
    </xf>
    <xf numFmtId="195" fontId="29" fillId="47" borderId="25" xfId="0" applyNumberFormat="1" applyFont="1" applyFill="1" applyBorder="1" applyAlignment="1" applyProtection="1">
      <alignment horizontal="center" vertical="center"/>
      <protection/>
    </xf>
    <xf numFmtId="0" fontId="29" fillId="47" borderId="11" xfId="0" applyFont="1" applyFill="1" applyBorder="1" applyAlignment="1" applyProtection="1">
      <alignment vertical="center"/>
      <protection/>
    </xf>
    <xf numFmtId="0" fontId="29"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0" xfId="0" applyFont="1" applyFill="1" applyBorder="1" applyAlignment="1" applyProtection="1">
      <alignment horizontal="left" vertical="center"/>
      <protection/>
    </xf>
    <xf numFmtId="37" fontId="8" fillId="34" borderId="21"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32" fillId="0" borderId="0" xfId="0" applyFont="1" applyAlignment="1" applyProtection="1">
      <alignment vertical="center"/>
      <protection/>
    </xf>
    <xf numFmtId="0" fontId="11" fillId="32" borderId="0" xfId="64" applyFill="1" applyAlignment="1" applyProtection="1">
      <alignment/>
      <protection/>
    </xf>
    <xf numFmtId="0" fontId="56" fillId="32" borderId="0" xfId="336" applyFill="1">
      <alignment/>
      <protection/>
    </xf>
    <xf numFmtId="0" fontId="56" fillId="0" borderId="0" xfId="336">
      <alignment/>
      <protection/>
    </xf>
    <xf numFmtId="0" fontId="5" fillId="0" borderId="0" xfId="146" applyFont="1" applyAlignment="1">
      <alignment vertical="center"/>
      <protection/>
    </xf>
    <xf numFmtId="0" fontId="4" fillId="33" borderId="10"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5" fillId="34" borderId="22"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Continuous" vertical="center"/>
      <protection/>
    </xf>
    <xf numFmtId="0" fontId="5" fillId="46" borderId="0" xfId="82" applyFont="1" applyFill="1" applyBorder="1" applyProtection="1">
      <alignment/>
      <protection/>
    </xf>
    <xf numFmtId="0" fontId="5" fillId="46" borderId="0" xfId="0" applyFont="1" applyFill="1" applyAlignment="1">
      <alignment vertical="center"/>
    </xf>
    <xf numFmtId="0" fontId="29" fillId="46" borderId="0" xfId="82" applyFont="1" applyFill="1" applyBorder="1" applyProtection="1">
      <alignment/>
      <protection/>
    </xf>
    <xf numFmtId="195" fontId="5" fillId="46" borderId="0" xfId="82" applyNumberFormat="1" applyFont="1" applyFill="1" applyBorder="1" applyAlignment="1" applyProtection="1">
      <alignment horizontal="center"/>
      <protection/>
    </xf>
    <xf numFmtId="0" fontId="5" fillId="46" borderId="0" xfId="0" applyFont="1" applyFill="1" applyBorder="1" applyAlignment="1">
      <alignment vertical="center"/>
    </xf>
    <xf numFmtId="178" fontId="5" fillId="46" borderId="0" xfId="82" applyNumberFormat="1" applyFont="1" applyFill="1" applyBorder="1" applyAlignment="1" applyProtection="1">
      <alignment horizontal="center"/>
      <protection/>
    </xf>
    <xf numFmtId="195" fontId="5" fillId="46" borderId="0" xfId="0" applyNumberFormat="1" applyFont="1" applyFill="1" applyBorder="1" applyAlignment="1">
      <alignment horizontal="center" vertical="center"/>
    </xf>
    <xf numFmtId="188" fontId="5" fillId="46" borderId="0" xfId="82" applyNumberFormat="1" applyFont="1" applyFill="1" applyBorder="1" applyAlignment="1" applyProtection="1">
      <alignment horizont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19"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22" xfId="0" applyFont="1" applyFill="1" applyBorder="1" applyAlignment="1">
      <alignment vertical="center" wrapText="1"/>
    </xf>
    <xf numFmtId="0" fontId="0" fillId="0" borderId="22"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9" fillId="37" borderId="13"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30" fillId="43" borderId="24" xfId="82" applyFont="1" applyFill="1" applyBorder="1" applyAlignment="1" applyProtection="1">
      <alignment horizontal="center" vertical="center"/>
      <protection/>
    </xf>
    <xf numFmtId="0" fontId="30" fillId="43" borderId="22" xfId="82" applyFont="1" applyFill="1" applyBorder="1" applyAlignment="1" applyProtection="1">
      <alignment horizontal="center" vertical="center"/>
      <protection/>
    </xf>
    <xf numFmtId="0" fontId="0" fillId="0" borderId="21" xfId="82" applyBorder="1" applyAlignment="1" applyProtection="1">
      <alignment vertical="center"/>
      <protection/>
    </xf>
    <xf numFmtId="3" fontId="5" fillId="34" borderId="22" xfId="86" applyNumberFormat="1" applyFont="1" applyFill="1" applyBorder="1" applyAlignment="1" applyProtection="1">
      <alignment horizontal="right" vertical="center"/>
      <protection/>
    </xf>
    <xf numFmtId="0" fontId="0" fillId="0" borderId="21"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0"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22" xfId="0" applyBorder="1" applyAlignment="1">
      <alignment vertical="center"/>
    </xf>
    <xf numFmtId="0" fontId="0" fillId="0" borderId="21" xfId="0" applyBorder="1" applyAlignment="1">
      <alignment vertical="center"/>
    </xf>
    <xf numFmtId="188" fontId="30" fillId="43" borderId="24" xfId="0" applyNumberFormat="1" applyFont="1" applyFill="1" applyBorder="1" applyAlignment="1" applyProtection="1">
      <alignment horizontal="center"/>
      <protection/>
    </xf>
    <xf numFmtId="0" fontId="16" fillId="0" borderId="22" xfId="0" applyFont="1" applyBorder="1" applyAlignment="1">
      <alignment/>
    </xf>
    <xf numFmtId="0" fontId="16" fillId="0" borderId="21" xfId="0" applyFont="1" applyBorder="1" applyAlignment="1">
      <alignment/>
    </xf>
    <xf numFmtId="0" fontId="5" fillId="34" borderId="0" xfId="0" applyFont="1" applyFill="1" applyAlignment="1">
      <alignment horizontal="right" vertical="center"/>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14" fillId="46" borderId="0" xfId="82" applyFont="1" applyFill="1" applyBorder="1" applyAlignment="1" applyProtection="1">
      <alignment horizontal="center"/>
      <protection/>
    </xf>
    <xf numFmtId="0" fontId="0" fillId="46" borderId="0" xfId="0" applyFill="1" applyBorder="1" applyAlignment="1">
      <alignment horizontal="center"/>
    </xf>
    <xf numFmtId="37" fontId="5" fillId="43" borderId="0" xfId="107"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46" borderId="0" xfId="82" applyFill="1" applyBorder="1" applyAlignment="1" applyProtection="1">
      <alignment horizontal="center"/>
      <protection/>
    </xf>
    <xf numFmtId="37" fontId="4" fillId="34" borderId="0" xfId="0" applyNumberFormat="1" applyFont="1" applyFill="1" applyAlignment="1" applyProtection="1">
      <alignment horizontal="center" vertical="center"/>
      <protection/>
    </xf>
    <xf numFmtId="37" fontId="5" fillId="43" borderId="0" xfId="0" applyNumberFormat="1" applyFont="1" applyFill="1" applyAlignment="1" applyProtection="1">
      <alignment horizontal="center" vertical="center"/>
      <protection/>
    </xf>
    <xf numFmtId="0" fontId="5" fillId="0" borderId="0" xfId="365" applyFont="1" applyAlignment="1">
      <alignment horizontal="left" vertical="center" wrapText="1"/>
      <protection/>
    </xf>
    <xf numFmtId="0" fontId="21" fillId="0" borderId="0" xfId="365" applyAlignment="1">
      <alignment horizontal="left" vertical="center" wrapText="1"/>
      <protection/>
    </xf>
    <xf numFmtId="0" fontId="14" fillId="0" borderId="0" xfId="365" applyFont="1" applyAlignment="1">
      <alignment horizontal="left" vertical="center"/>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5" fillId="34"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lignment horizontal="right" vertical="center"/>
    </xf>
    <xf numFmtId="0" fontId="30" fillId="43" borderId="24" xfId="0"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21" xfId="0" applyBorder="1" applyAlignment="1">
      <alignment/>
    </xf>
    <xf numFmtId="0" fontId="33" fillId="0" borderId="22" xfId="0" applyFont="1" applyBorder="1" applyAlignment="1">
      <alignment horizontal="center" vertical="center"/>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23" fillId="43" borderId="24" xfId="82" applyFont="1" applyFill="1" applyBorder="1" applyAlignment="1" applyProtection="1">
      <alignment horizontal="center" vertical="center"/>
      <protection locked="0"/>
    </xf>
    <xf numFmtId="0" fontId="4" fillId="43" borderId="0" xfId="75" applyFont="1" applyFill="1" applyAlignment="1">
      <alignment horizontal="center" vertical="center"/>
      <protection/>
    </xf>
    <xf numFmtId="0" fontId="14" fillId="43" borderId="0" xfId="75" applyFont="1" applyFill="1" applyAlignment="1">
      <alignment horizontal="center" vertical="center"/>
      <protection/>
    </xf>
    <xf numFmtId="0" fontId="5" fillId="43" borderId="0" xfId="75" applyFont="1" applyFill="1" applyAlignment="1">
      <alignment vertical="center" wrapText="1"/>
      <protection/>
    </xf>
    <xf numFmtId="0" fontId="14" fillId="43" borderId="0" xfId="369" applyFont="1" applyFill="1" applyAlignment="1">
      <alignment horizontal="center"/>
      <protection/>
    </xf>
    <xf numFmtId="0" fontId="0" fillId="43" borderId="0" xfId="75" applyFill="1" applyAlignment="1">
      <alignment horizont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25" fillId="43" borderId="0" xfId="0" applyNumberFormat="1" applyFont="1" applyFill="1" applyBorder="1" applyAlignment="1">
      <alignment horizontal="center"/>
    </xf>
    <xf numFmtId="0" fontId="25" fillId="43" borderId="35" xfId="0" applyFont="1" applyFill="1" applyBorder="1" applyAlignment="1">
      <alignment vertical="top" wrapText="1"/>
    </xf>
    <xf numFmtId="0" fontId="25" fillId="0" borderId="0" xfId="0" applyFont="1" applyAlignment="1">
      <alignment vertical="top" wrapText="1"/>
    </xf>
    <xf numFmtId="0" fontId="25" fillId="0" borderId="31" xfId="0" applyFont="1" applyBorder="1" applyAlignment="1">
      <alignment vertical="top" wrapText="1"/>
    </xf>
    <xf numFmtId="196" fontId="25" fillId="43" borderId="0" xfId="0" applyNumberFormat="1" applyFont="1" applyFill="1" applyBorder="1" applyAlignment="1">
      <alignment horizontal="center"/>
    </xf>
    <xf numFmtId="0" fontId="25" fillId="0" borderId="31" xfId="0" applyFont="1" applyBorder="1" applyAlignment="1">
      <alignment horizontal="center"/>
    </xf>
    <xf numFmtId="178" fontId="25" fillId="45" borderId="11" xfId="0" applyNumberFormat="1" applyFont="1" applyFill="1" applyBorder="1" applyAlignment="1" applyProtection="1">
      <alignment horizontal="center"/>
      <protection locked="0"/>
    </xf>
    <xf numFmtId="196" fontId="25" fillId="0" borderId="31" xfId="0" applyNumberFormat="1" applyFont="1" applyBorder="1" applyAlignment="1">
      <alignment horizontal="center"/>
    </xf>
    <xf numFmtId="0" fontId="74" fillId="43" borderId="28" xfId="0" applyFont="1" applyFill="1" applyBorder="1" applyAlignment="1">
      <alignment horizontal="center" vertical="center"/>
    </xf>
    <xf numFmtId="0" fontId="74" fillId="43" borderId="0" xfId="0" applyFont="1" applyFill="1" applyAlignment="1">
      <alignment horizontal="center" wrapText="1"/>
    </xf>
    <xf numFmtId="0" fontId="25" fillId="43" borderId="0" xfId="0" applyFont="1" applyFill="1" applyBorder="1" applyAlignment="1">
      <alignment horizontal="center"/>
    </xf>
    <xf numFmtId="0" fontId="25" fillId="43" borderId="0" xfId="0" applyFont="1" applyFill="1" applyAlignment="1">
      <alignment wrapText="1"/>
    </xf>
    <xf numFmtId="0" fontId="74" fillId="43" borderId="0" xfId="0" applyFont="1" applyFill="1" applyBorder="1" applyAlignment="1">
      <alignment horizontal="center" wrapText="1"/>
    </xf>
    <xf numFmtId="0" fontId="25" fillId="0" borderId="0" xfId="0" applyFont="1" applyAlignment="1">
      <alignment horizontal="center" wrapText="1"/>
    </xf>
    <xf numFmtId="0" fontId="74" fillId="0" borderId="0" xfId="0" applyFont="1" applyAlignment="1">
      <alignment horizontal="center" wrapText="1"/>
    </xf>
    <xf numFmtId="0" fontId="25" fillId="43" borderId="0" xfId="0" applyFont="1" applyFill="1" applyBorder="1" applyAlignment="1">
      <alignment wrapText="1"/>
    </xf>
    <xf numFmtId="0" fontId="25" fillId="0" borderId="0" xfId="0" applyFont="1" applyAlignment="1">
      <alignment wrapText="1"/>
    </xf>
    <xf numFmtId="195" fontId="25" fillId="45" borderId="11" xfId="0" applyNumberFormat="1" applyFont="1" applyFill="1" applyBorder="1" applyAlignment="1" applyProtection="1">
      <alignment horizontal="center"/>
      <protection locked="0"/>
    </xf>
    <xf numFmtId="5" fontId="25" fillId="43" borderId="11" xfId="0" applyNumberFormat="1" applyFont="1" applyFill="1" applyBorder="1" applyAlignment="1">
      <alignment horizontal="center"/>
    </xf>
    <xf numFmtId="0" fontId="74" fillId="43" borderId="0" xfId="0" applyFont="1" applyFill="1" applyAlignment="1">
      <alignment horizontal="center"/>
    </xf>
    <xf numFmtId="195" fontId="25" fillId="43" borderId="0" xfId="0" applyNumberFormat="1" applyFont="1" applyFill="1" applyAlignment="1">
      <alignment horizontal="center"/>
    </xf>
    <xf numFmtId="195" fontId="25" fillId="45" borderId="30" xfId="0" applyNumberFormat="1" applyFont="1" applyFill="1" applyBorder="1" applyAlignment="1" applyProtection="1">
      <alignment horizontal="center"/>
      <protection locked="0"/>
    </xf>
    <xf numFmtId="0" fontId="25" fillId="43" borderId="0" xfId="0" applyFont="1" applyFill="1" applyBorder="1" applyAlignment="1">
      <alignment/>
    </xf>
    <xf numFmtId="0" fontId="25" fillId="0" borderId="0" xfId="0" applyFont="1" applyBorder="1" applyAlignment="1">
      <alignment/>
    </xf>
    <xf numFmtId="0" fontId="25" fillId="43" borderId="33" xfId="0" applyFont="1" applyFill="1" applyBorder="1" applyAlignment="1">
      <alignment/>
    </xf>
    <xf numFmtId="0" fontId="25" fillId="43" borderId="34" xfId="0" applyFont="1" applyFill="1" applyBorder="1" applyAlignment="1">
      <alignment/>
    </xf>
    <xf numFmtId="0" fontId="74" fillId="43" borderId="0" xfId="0" applyFont="1" applyFill="1" applyAlignment="1">
      <alignment horizontal="center" vertical="center"/>
    </xf>
    <xf numFmtId="0" fontId="74" fillId="0" borderId="0" xfId="0" applyFont="1" applyAlignment="1">
      <alignment horizontal="center" vertical="center"/>
    </xf>
    <xf numFmtId="195" fontId="25" fillId="43" borderId="0" xfId="0" applyNumberFormat="1" applyFont="1" applyFill="1" applyAlignment="1">
      <alignment/>
    </xf>
    <xf numFmtId="0" fontId="25" fillId="43" borderId="22" xfId="0" applyFont="1" applyFill="1" applyBorder="1" applyAlignment="1">
      <alignment horizontal="center"/>
    </xf>
    <xf numFmtId="0" fontId="25" fillId="0" borderId="28" xfId="0" applyFont="1" applyBorder="1" applyAlignment="1">
      <alignment horizontal="center" vertic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27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25">
      <selection activeCell="A41" sqref="A41"/>
    </sheetView>
  </sheetViews>
  <sheetFormatPr defaultColWidth="8.796875" defaultRowHeight="15"/>
  <cols>
    <col min="1" max="1" width="75.796875" style="32" customWidth="1"/>
    <col min="2" max="16384" width="8.8984375" style="32" customWidth="1"/>
  </cols>
  <sheetData>
    <row r="1" ht="15.75">
      <c r="A1" s="31" t="s">
        <v>240</v>
      </c>
    </row>
    <row r="3" ht="39.75" customHeight="1">
      <c r="A3" s="33" t="s">
        <v>290</v>
      </c>
    </row>
    <row r="4" ht="15.75">
      <c r="A4" s="34"/>
    </row>
    <row r="5" ht="49.5" customHeight="1">
      <c r="A5" s="35" t="s">
        <v>7</v>
      </c>
    </row>
    <row r="6" ht="15.75">
      <c r="A6" s="35"/>
    </row>
    <row r="7" ht="75" customHeight="1">
      <c r="A7" s="35" t="s">
        <v>865</v>
      </c>
    </row>
    <row r="8" ht="15.75">
      <c r="A8" s="35"/>
    </row>
    <row r="9" ht="32.25" customHeight="1">
      <c r="A9" s="35" t="s">
        <v>291</v>
      </c>
    </row>
    <row r="11" ht="51" customHeight="1">
      <c r="A11" s="35" t="s">
        <v>63</v>
      </c>
    </row>
    <row r="13" ht="15.75">
      <c r="A13" s="31" t="s">
        <v>17</v>
      </c>
    </row>
    <row r="14" ht="15.75">
      <c r="A14" s="31"/>
    </row>
    <row r="15" ht="15.75">
      <c r="A15" s="34" t="s">
        <v>18</v>
      </c>
    </row>
    <row r="17" ht="37.5" customHeight="1">
      <c r="A17" s="36" t="s">
        <v>315</v>
      </c>
    </row>
    <row r="18" ht="9" customHeight="1">
      <c r="A18" s="36"/>
    </row>
    <row r="20" ht="15.75">
      <c r="A20" s="31" t="s">
        <v>69</v>
      </c>
    </row>
    <row r="22" ht="36" customHeight="1">
      <c r="A22" s="35" t="s">
        <v>292</v>
      </c>
    </row>
    <row r="23" ht="15.75">
      <c r="A23" s="35"/>
    </row>
    <row r="24" ht="15.75">
      <c r="A24" s="37" t="s">
        <v>293</v>
      </c>
    </row>
    <row r="25" ht="12" customHeight="1">
      <c r="A25" s="35"/>
    </row>
    <row r="26" ht="15.75">
      <c r="A26" s="38" t="s">
        <v>224</v>
      </c>
    </row>
    <row r="27" ht="15.75">
      <c r="A27" s="39"/>
    </row>
    <row r="28" ht="84.75" customHeight="1">
      <c r="A28" s="40" t="s">
        <v>2</v>
      </c>
    </row>
    <row r="29" ht="12.75" customHeight="1">
      <c r="A29" s="41"/>
    </row>
    <row r="30" ht="15.75">
      <c r="A30" s="42" t="s">
        <v>294</v>
      </c>
    </row>
    <row r="31" ht="15.75">
      <c r="A31" s="41"/>
    </row>
    <row r="32" ht="15.75">
      <c r="A32" s="43" t="s">
        <v>16</v>
      </c>
    </row>
    <row r="33" ht="15.75">
      <c r="A33" s="41"/>
    </row>
    <row r="34" ht="15.75">
      <c r="A34" s="35" t="s">
        <v>160</v>
      </c>
    </row>
    <row r="36" ht="15.75">
      <c r="A36" s="31" t="s">
        <v>161</v>
      </c>
    </row>
    <row r="38" ht="66.75" customHeight="1">
      <c r="A38" s="35" t="s">
        <v>678</v>
      </c>
    </row>
    <row r="39" ht="35.25" customHeight="1">
      <c r="A39" s="35" t="s">
        <v>241</v>
      </c>
    </row>
    <row r="40" ht="53.25" customHeight="1">
      <c r="A40" s="44" t="s">
        <v>295</v>
      </c>
    </row>
    <row r="41" ht="102.75" customHeight="1">
      <c r="A41" s="652" t="s">
        <v>866</v>
      </c>
    </row>
    <row r="43" ht="84" customHeight="1">
      <c r="A43" s="35" t="s">
        <v>679</v>
      </c>
    </row>
    <row r="44" ht="53.25" customHeight="1">
      <c r="A44" s="35" t="s">
        <v>296</v>
      </c>
    </row>
    <row r="45" ht="102" customHeight="1">
      <c r="A45" s="35" t="s">
        <v>64</v>
      </c>
    </row>
    <row r="46" ht="15.75" customHeight="1">
      <c r="A46" s="35"/>
    </row>
    <row r="47" ht="73.5" customHeight="1">
      <c r="A47" s="653" t="s">
        <v>867</v>
      </c>
    </row>
    <row r="48" ht="69.75" customHeight="1">
      <c r="A48" s="337" t="s">
        <v>568</v>
      </c>
    </row>
    <row r="49" ht="75.75" customHeight="1">
      <c r="A49" s="654" t="s">
        <v>868</v>
      </c>
    </row>
    <row r="50" ht="15.75" customHeight="1">
      <c r="A50" s="35"/>
    </row>
    <row r="51" ht="69.75" customHeight="1">
      <c r="A51" s="35" t="s">
        <v>569</v>
      </c>
    </row>
    <row r="52" ht="37.5" customHeight="1">
      <c r="A52" s="35" t="s">
        <v>570</v>
      </c>
    </row>
    <row r="53" ht="69" customHeight="1">
      <c r="A53" s="35" t="s">
        <v>571</v>
      </c>
    </row>
    <row r="54" ht="115.5" customHeight="1">
      <c r="A54" s="655" t="s">
        <v>905</v>
      </c>
    </row>
    <row r="56" ht="84.75" customHeight="1">
      <c r="A56" s="35" t="s">
        <v>904</v>
      </c>
    </row>
    <row r="57" ht="116.25" customHeight="1">
      <c r="A57" s="35" t="s">
        <v>572</v>
      </c>
    </row>
    <row r="58" ht="38.25" customHeight="1">
      <c r="A58" s="35" t="s">
        <v>573</v>
      </c>
    </row>
    <row r="59" ht="15.75">
      <c r="A59" s="35"/>
    </row>
    <row r="60" ht="74.25" customHeight="1">
      <c r="A60" s="655" t="s">
        <v>869</v>
      </c>
    </row>
    <row r="61" ht="15.75">
      <c r="A61" s="35"/>
    </row>
    <row r="62" ht="66.75" customHeight="1">
      <c r="A62" s="35" t="s">
        <v>574</v>
      </c>
    </row>
    <row r="63" ht="37.5" customHeight="1">
      <c r="A63" s="35" t="s">
        <v>583</v>
      </c>
    </row>
    <row r="64" ht="91.5" customHeight="1">
      <c r="A64" s="35" t="s">
        <v>584</v>
      </c>
    </row>
    <row r="65" ht="47.25" customHeight="1">
      <c r="A65" s="317" t="s">
        <v>585</v>
      </c>
    </row>
    <row r="67" s="35" customFormat="1" ht="66.75" customHeight="1">
      <c r="A67" s="35" t="s">
        <v>575</v>
      </c>
    </row>
    <row r="69" ht="67.5" customHeight="1">
      <c r="A69" s="35" t="s">
        <v>576</v>
      </c>
    </row>
    <row r="70" ht="18" customHeight="1">
      <c r="A70" s="35"/>
    </row>
    <row r="71" ht="149.25" customHeight="1">
      <c r="A71" s="655" t="s">
        <v>870</v>
      </c>
    </row>
    <row r="73" ht="95.25" customHeight="1">
      <c r="A73" s="35" t="s">
        <v>871</v>
      </c>
    </row>
    <row r="74" ht="84.75" customHeight="1">
      <c r="A74" s="655" t="s">
        <v>903</v>
      </c>
    </row>
    <row r="75" ht="104.25" customHeight="1">
      <c r="A75" s="457" t="s">
        <v>872</v>
      </c>
    </row>
    <row r="76" ht="75" customHeight="1">
      <c r="A76" s="457" t="s">
        <v>873</v>
      </c>
    </row>
    <row r="77" ht="75" customHeight="1">
      <c r="A77" s="457" t="s">
        <v>874</v>
      </c>
    </row>
    <row r="78" ht="137.25" customHeight="1">
      <c r="A78" s="35" t="s">
        <v>875</v>
      </c>
    </row>
    <row r="79" ht="91.5" customHeight="1">
      <c r="A79" s="655" t="s">
        <v>876</v>
      </c>
    </row>
    <row r="80" ht="135" customHeight="1">
      <c r="A80" s="35" t="s">
        <v>877</v>
      </c>
    </row>
    <row r="81" ht="141.75" customHeight="1">
      <c r="A81" s="35" t="s">
        <v>878</v>
      </c>
    </row>
    <row r="82" ht="87" customHeight="1">
      <c r="A82" s="35" t="s">
        <v>879</v>
      </c>
    </row>
    <row r="83" ht="105" customHeight="1">
      <c r="A83" s="35" t="s">
        <v>880</v>
      </c>
    </row>
    <row r="84" ht="86.25" customHeight="1">
      <c r="A84" s="35" t="s">
        <v>881</v>
      </c>
    </row>
    <row r="85" ht="129.75" customHeight="1">
      <c r="A85" s="35" t="s">
        <v>882</v>
      </c>
    </row>
    <row r="86" ht="110.25" customHeight="1">
      <c r="A86" s="656" t="s">
        <v>883</v>
      </c>
    </row>
    <row r="87" ht="117" customHeight="1">
      <c r="A87" s="657" t="s">
        <v>884</v>
      </c>
    </row>
    <row r="88" ht="72" customHeight="1">
      <c r="A88" s="336" t="s">
        <v>885</v>
      </c>
    </row>
    <row r="89" ht="63.75" customHeight="1">
      <c r="A89" s="655" t="s">
        <v>577</v>
      </c>
    </row>
    <row r="90" ht="43.5" customHeight="1">
      <c r="A90" s="658" t="s">
        <v>578</v>
      </c>
    </row>
    <row r="91" ht="53.25" customHeight="1">
      <c r="A91" s="457" t="s">
        <v>890</v>
      </c>
    </row>
    <row r="92" ht="144.75" customHeight="1">
      <c r="A92" s="457" t="s">
        <v>891</v>
      </c>
    </row>
    <row r="93" ht="159" customHeight="1">
      <c r="A93" s="457" t="s">
        <v>892</v>
      </c>
    </row>
    <row r="94" ht="107.25" customHeight="1">
      <c r="A94" s="659" t="s">
        <v>893</v>
      </c>
    </row>
    <row r="95" ht="114.75" customHeight="1">
      <c r="A95" s="660" t="s">
        <v>894</v>
      </c>
    </row>
    <row r="96" ht="20.25" customHeight="1"/>
    <row r="97" ht="157.5" customHeight="1">
      <c r="A97" s="35" t="s">
        <v>886</v>
      </c>
    </row>
    <row r="98" ht="134.25" customHeight="1">
      <c r="A98" s="35" t="s">
        <v>887</v>
      </c>
    </row>
    <row r="99" ht="59.25" customHeight="1">
      <c r="A99" s="35" t="s">
        <v>888</v>
      </c>
    </row>
    <row r="100" ht="30.75" customHeight="1">
      <c r="A100" s="35" t="s">
        <v>889</v>
      </c>
    </row>
    <row r="101" ht="15" customHeight="1"/>
    <row r="102" ht="83.25" customHeight="1">
      <c r="A102" s="655" t="s">
        <v>895</v>
      </c>
    </row>
    <row r="103" ht="15.75" customHeight="1">
      <c r="A103" s="338"/>
    </row>
    <row r="104" ht="73.5" customHeight="1">
      <c r="A104" s="457" t="s">
        <v>896</v>
      </c>
    </row>
    <row r="105" ht="112.5" customHeight="1">
      <c r="A105" s="457" t="s">
        <v>897</v>
      </c>
    </row>
    <row r="106" ht="122.25" customHeight="1">
      <c r="A106" s="457" t="s">
        <v>898</v>
      </c>
    </row>
    <row r="107" ht="91.5" customHeight="1">
      <c r="A107" s="457"/>
    </row>
    <row r="108" ht="58.5" customHeight="1">
      <c r="A108" s="338"/>
    </row>
    <row r="109" ht="66" customHeight="1">
      <c r="A109" s="338"/>
    </row>
    <row r="110" ht="16.5" customHeight="1">
      <c r="A110" s="35"/>
    </row>
    <row r="111" ht="72.75" customHeight="1">
      <c r="A111" s="35"/>
    </row>
    <row r="113" ht="69" customHeight="1">
      <c r="A113" s="457"/>
    </row>
    <row r="114" ht="110.25" customHeight="1">
      <c r="A114" s="457"/>
    </row>
    <row r="115" ht="132" customHeight="1">
      <c r="A115" s="457"/>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C1" sqref="C1"/>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0"/>
      <c r="B1" s="170"/>
      <c r="C1" s="171" t="str">
        <f>inputPrYr!D2</f>
        <v>CITY OF ELLSWORTH</v>
      </c>
      <c r="D1" s="170"/>
      <c r="E1" s="170"/>
      <c r="F1" s="170"/>
      <c r="G1" s="170"/>
      <c r="H1" s="170"/>
      <c r="I1" s="170"/>
      <c r="J1" s="170">
        <f>inputPrYr!C5</f>
        <v>2013</v>
      </c>
    </row>
    <row r="2" spans="1:10" ht="15.75" customHeight="1">
      <c r="A2" s="170"/>
      <c r="B2" s="170"/>
      <c r="C2" s="170"/>
      <c r="D2" s="170"/>
      <c r="E2" s="170"/>
      <c r="F2" s="170"/>
      <c r="G2" s="170"/>
      <c r="H2" s="170"/>
      <c r="I2" s="170"/>
      <c r="J2" s="170"/>
    </row>
    <row r="3" spans="1:10" ht="15.75">
      <c r="A3" s="731" t="str">
        <f>CONCATENATE("Computation to Determine Limit for ",J1,"")</f>
        <v>Computation to Determine Limit for 2013</v>
      </c>
      <c r="B3" s="732"/>
      <c r="C3" s="732"/>
      <c r="D3" s="732"/>
      <c r="E3" s="732"/>
      <c r="F3" s="732"/>
      <c r="G3" s="732"/>
      <c r="H3" s="732"/>
      <c r="I3" s="732"/>
      <c r="J3" s="732"/>
    </row>
    <row r="4" spans="1:10" ht="15.75">
      <c r="A4" s="170"/>
      <c r="B4" s="170"/>
      <c r="C4" s="170"/>
      <c r="D4" s="170"/>
      <c r="E4" s="732"/>
      <c r="F4" s="732"/>
      <c r="G4" s="732"/>
      <c r="H4" s="172"/>
      <c r="I4" s="170"/>
      <c r="J4" s="173" t="s">
        <v>175</v>
      </c>
    </row>
    <row r="5" spans="1:10" ht="15.75">
      <c r="A5" s="174" t="s">
        <v>176</v>
      </c>
      <c r="B5" s="170" t="str">
        <f>CONCATENATE("Total Tax Levy Amount in ",J1-1," Budget")</f>
        <v>Total Tax Levy Amount in 2012 Budget</v>
      </c>
      <c r="C5" s="170"/>
      <c r="D5" s="170"/>
      <c r="E5" s="175"/>
      <c r="F5" s="175"/>
      <c r="G5" s="175"/>
      <c r="H5" s="176" t="s">
        <v>177</v>
      </c>
      <c r="I5" s="175" t="s">
        <v>178</v>
      </c>
      <c r="J5" s="177">
        <f>inputPrYr!E31</f>
        <v>878182</v>
      </c>
    </row>
    <row r="6" spans="1:10" ht="15.75">
      <c r="A6" s="174" t="s">
        <v>179</v>
      </c>
      <c r="B6" s="170" t="str">
        <f>CONCATENATE("Debt Service Levy in ",J1-1," Budget")</f>
        <v>Debt Service Levy in 2012 Budget</v>
      </c>
      <c r="C6" s="170"/>
      <c r="D6" s="170"/>
      <c r="E6" s="175"/>
      <c r="F6" s="175"/>
      <c r="G6" s="175"/>
      <c r="H6" s="176" t="s">
        <v>180</v>
      </c>
      <c r="I6" s="175" t="s">
        <v>178</v>
      </c>
      <c r="J6" s="178">
        <f>inputPrYr!E18</f>
        <v>141740</v>
      </c>
    </row>
    <row r="7" spans="1:10" ht="15.75">
      <c r="A7" s="174" t="s">
        <v>206</v>
      </c>
      <c r="B7" s="179" t="s">
        <v>203</v>
      </c>
      <c r="C7" s="170"/>
      <c r="D7" s="170"/>
      <c r="E7" s="175"/>
      <c r="F7" s="175"/>
      <c r="G7" s="175"/>
      <c r="H7" s="175"/>
      <c r="I7" s="175" t="s">
        <v>178</v>
      </c>
      <c r="J7" s="180">
        <f>J5-J6</f>
        <v>736442</v>
      </c>
    </row>
    <row r="8" spans="1:10" ht="15.75">
      <c r="A8" s="170"/>
      <c r="B8" s="170"/>
      <c r="C8" s="170"/>
      <c r="D8" s="170"/>
      <c r="E8" s="175"/>
      <c r="F8" s="175"/>
      <c r="G8" s="175"/>
      <c r="H8" s="175"/>
      <c r="I8" s="175"/>
      <c r="J8" s="175"/>
    </row>
    <row r="9" spans="1:10" ht="15.75">
      <c r="A9" s="170"/>
      <c r="B9" s="179" t="str">
        <f>CONCATENATE("",J1-1," Valuation Information for Valuation Adjustments:")</f>
        <v>2012 Valuation Information for Valuation Adjustments:</v>
      </c>
      <c r="C9" s="170"/>
      <c r="D9" s="170"/>
      <c r="E9" s="175"/>
      <c r="F9" s="175"/>
      <c r="G9" s="175"/>
      <c r="H9" s="175"/>
      <c r="I9" s="175"/>
      <c r="J9" s="175"/>
    </row>
    <row r="10" spans="1:10" ht="15.75">
      <c r="A10" s="170"/>
      <c r="B10" s="170"/>
      <c r="C10" s="179"/>
      <c r="D10" s="170"/>
      <c r="E10" s="175"/>
      <c r="F10" s="175"/>
      <c r="G10" s="175"/>
      <c r="H10" s="175"/>
      <c r="I10" s="175"/>
      <c r="J10" s="175"/>
    </row>
    <row r="11" spans="1:10" ht="15.75">
      <c r="A11" s="174" t="s">
        <v>181</v>
      </c>
      <c r="B11" s="179" t="str">
        <f>CONCATENATE("New Improvements for ",J1-1,":")</f>
        <v>New Improvements for 2012:</v>
      </c>
      <c r="C11" s="170"/>
      <c r="D11" s="170"/>
      <c r="E11" s="176"/>
      <c r="F11" s="176" t="s">
        <v>177</v>
      </c>
      <c r="G11" s="181">
        <f>inputOth!E8</f>
        <v>846046</v>
      </c>
      <c r="H11" s="182"/>
      <c r="I11" s="175"/>
      <c r="J11" s="175"/>
    </row>
    <row r="12" spans="1:10" ht="15.75">
      <c r="A12" s="174"/>
      <c r="B12" s="183"/>
      <c r="C12" s="170"/>
      <c r="D12" s="170"/>
      <c r="E12" s="176"/>
      <c r="F12" s="176"/>
      <c r="G12" s="182"/>
      <c r="H12" s="182"/>
      <c r="I12" s="175"/>
      <c r="J12" s="175"/>
    </row>
    <row r="13" spans="1:10" ht="15.75">
      <c r="A13" s="174" t="s">
        <v>182</v>
      </c>
      <c r="B13" s="179" t="str">
        <f>CONCATENATE("Increase in Personal Property for ",J1-1,":")</f>
        <v>Increase in Personal Property for 2012:</v>
      </c>
      <c r="C13" s="170"/>
      <c r="D13" s="170"/>
      <c r="E13" s="176"/>
      <c r="F13" s="176"/>
      <c r="G13" s="182"/>
      <c r="H13" s="182"/>
      <c r="I13" s="175"/>
      <c r="J13" s="175"/>
    </row>
    <row r="14" spans="1:10" ht="15.75">
      <c r="A14" s="184"/>
      <c r="B14" s="170" t="s">
        <v>183</v>
      </c>
      <c r="C14" s="170" t="str">
        <f>CONCATENATE("Personal Property ",J1-1,"")</f>
        <v>Personal Property 2012</v>
      </c>
      <c r="D14" s="183" t="s">
        <v>177</v>
      </c>
      <c r="E14" s="181">
        <f>inputOth!E9</f>
        <v>558607</v>
      </c>
      <c r="F14" s="176"/>
      <c r="G14" s="175"/>
      <c r="H14" s="175"/>
      <c r="I14" s="182"/>
      <c r="J14" s="175"/>
    </row>
    <row r="15" spans="1:10" ht="15.75">
      <c r="A15" s="183"/>
      <c r="B15" s="170" t="s">
        <v>184</v>
      </c>
      <c r="C15" s="170" t="str">
        <f>CONCATENATE("Personal Property ",J1-2,"")</f>
        <v>Personal Property 2011</v>
      </c>
      <c r="D15" s="183" t="s">
        <v>180</v>
      </c>
      <c r="E15" s="185">
        <f>inputOth!E15</f>
        <v>626761</v>
      </c>
      <c r="F15" s="176"/>
      <c r="G15" s="182"/>
      <c r="H15" s="182"/>
      <c r="I15" s="175"/>
      <c r="J15" s="175"/>
    </row>
    <row r="16" spans="1:10" ht="15.75">
      <c r="A16" s="183"/>
      <c r="B16" s="170" t="s">
        <v>185</v>
      </c>
      <c r="C16" s="170" t="s">
        <v>205</v>
      </c>
      <c r="D16" s="170"/>
      <c r="E16" s="175"/>
      <c r="F16" s="175" t="s">
        <v>177</v>
      </c>
      <c r="G16" s="177">
        <f>IF(E14&gt;E15,E14-E15,0)</f>
        <v>0</v>
      </c>
      <c r="H16" s="182"/>
      <c r="I16" s="175"/>
      <c r="J16" s="175"/>
    </row>
    <row r="17" spans="1:10" ht="15.75">
      <c r="A17" s="183"/>
      <c r="B17" s="183"/>
      <c r="C17" s="170"/>
      <c r="D17" s="170"/>
      <c r="E17" s="175"/>
      <c r="F17" s="175"/>
      <c r="G17" s="182" t="s">
        <v>198</v>
      </c>
      <c r="H17" s="182"/>
      <c r="I17" s="175"/>
      <c r="J17" s="175"/>
    </row>
    <row r="18" spans="1:10" ht="15.75">
      <c r="A18" s="183" t="s">
        <v>186</v>
      </c>
      <c r="B18" s="179" t="str">
        <f>CONCATENATE("Valuation of annexed territory for ",J1-1,"")</f>
        <v>Valuation of annexed territory for 2012</v>
      </c>
      <c r="C18" s="170"/>
      <c r="D18" s="170"/>
      <c r="E18" s="182"/>
      <c r="F18" s="175"/>
      <c r="G18" s="175"/>
      <c r="H18" s="175"/>
      <c r="I18" s="175"/>
      <c r="J18" s="175"/>
    </row>
    <row r="19" spans="1:10" ht="15.75">
      <c r="A19" s="183"/>
      <c r="B19" s="170" t="s">
        <v>187</v>
      </c>
      <c r="C19" s="170" t="s">
        <v>207</v>
      </c>
      <c r="D19" s="183" t="s">
        <v>177</v>
      </c>
      <c r="E19" s="181">
        <f>inputOth!E11</f>
        <v>0</v>
      </c>
      <c r="F19" s="175"/>
      <c r="G19" s="175"/>
      <c r="H19" s="175"/>
      <c r="I19" s="175"/>
      <c r="J19" s="175"/>
    </row>
    <row r="20" spans="1:10" ht="15.75">
      <c r="A20" s="183"/>
      <c r="B20" s="170" t="s">
        <v>188</v>
      </c>
      <c r="C20" s="170" t="s">
        <v>208</v>
      </c>
      <c r="D20" s="183" t="s">
        <v>177</v>
      </c>
      <c r="E20" s="181">
        <f>inputOth!E12</f>
        <v>0</v>
      </c>
      <c r="F20" s="175"/>
      <c r="G20" s="182"/>
      <c r="H20" s="182"/>
      <c r="I20" s="175"/>
      <c r="J20" s="175"/>
    </row>
    <row r="21" spans="1:10" ht="15.75">
      <c r="A21" s="183"/>
      <c r="B21" s="170" t="s">
        <v>189</v>
      </c>
      <c r="C21" s="170" t="s">
        <v>204</v>
      </c>
      <c r="D21" s="183" t="s">
        <v>180</v>
      </c>
      <c r="E21" s="181">
        <f>inputOth!E13</f>
        <v>0</v>
      </c>
      <c r="F21" s="175"/>
      <c r="G21" s="182"/>
      <c r="H21" s="182"/>
      <c r="I21" s="175"/>
      <c r="J21" s="175"/>
    </row>
    <row r="22" spans="1:10" ht="15.75">
      <c r="A22" s="183"/>
      <c r="B22" s="170" t="s">
        <v>190</v>
      </c>
      <c r="C22" s="170" t="s">
        <v>209</v>
      </c>
      <c r="D22" s="183"/>
      <c r="E22" s="182"/>
      <c r="F22" s="175" t="s">
        <v>177</v>
      </c>
      <c r="G22" s="177">
        <f>E19+E20-E21</f>
        <v>0</v>
      </c>
      <c r="H22" s="182"/>
      <c r="I22" s="175"/>
      <c r="J22" s="175"/>
    </row>
    <row r="23" spans="1:10" ht="15.75">
      <c r="A23" s="183"/>
      <c r="B23" s="183"/>
      <c r="C23" s="170"/>
      <c r="D23" s="183"/>
      <c r="E23" s="182"/>
      <c r="F23" s="175"/>
      <c r="G23" s="182"/>
      <c r="H23" s="182"/>
      <c r="I23" s="175"/>
      <c r="J23" s="175"/>
    </row>
    <row r="24" spans="1:10" ht="15.75">
      <c r="A24" s="183" t="s">
        <v>191</v>
      </c>
      <c r="B24" s="179" t="str">
        <f>CONCATENATE("Valuation of Property that has Changed in Use during ",J1-1,"")</f>
        <v>Valuation of Property that has Changed in Use during 2012</v>
      </c>
      <c r="C24" s="170"/>
      <c r="D24" s="170"/>
      <c r="E24" s="175"/>
      <c r="F24" s="175"/>
      <c r="G24" s="96">
        <f>inputOth!E14</f>
        <v>125402</v>
      </c>
      <c r="H24" s="175"/>
      <c r="I24" s="175"/>
      <c r="J24" s="175"/>
    </row>
    <row r="25" spans="1:10" ht="15.75">
      <c r="A25" s="170" t="s">
        <v>80</v>
      </c>
      <c r="B25" s="170"/>
      <c r="C25" s="170"/>
      <c r="D25" s="183"/>
      <c r="E25" s="182"/>
      <c r="F25" s="175"/>
      <c r="G25" s="186"/>
      <c r="H25" s="182"/>
      <c r="I25" s="175"/>
      <c r="J25" s="175"/>
    </row>
    <row r="26" spans="1:10" ht="15.75">
      <c r="A26" s="183" t="s">
        <v>192</v>
      </c>
      <c r="B26" s="179" t="s">
        <v>210</v>
      </c>
      <c r="C26" s="170"/>
      <c r="D26" s="170"/>
      <c r="E26" s="175"/>
      <c r="F26" s="175"/>
      <c r="G26" s="177">
        <f>G11+G16+G22+G24</f>
        <v>971448</v>
      </c>
      <c r="H26" s="182"/>
      <c r="I26" s="175"/>
      <c r="J26" s="175"/>
    </row>
    <row r="27" spans="1:10" ht="15.75">
      <c r="A27" s="183"/>
      <c r="B27" s="183"/>
      <c r="C27" s="179"/>
      <c r="D27" s="170"/>
      <c r="E27" s="175"/>
      <c r="F27" s="175"/>
      <c r="G27" s="182"/>
      <c r="H27" s="182"/>
      <c r="I27" s="175"/>
      <c r="J27" s="175"/>
    </row>
    <row r="28" spans="1:10" ht="15.75">
      <c r="A28" s="183" t="s">
        <v>193</v>
      </c>
      <c r="B28" s="170" t="str">
        <f>CONCATENATE("Total Estimated Valuation July 1,",J1-1,"")</f>
        <v>Total Estimated Valuation July 1,2012</v>
      </c>
      <c r="C28" s="170"/>
      <c r="D28" s="170"/>
      <c r="E28" s="177">
        <f>inputOth!E7</f>
        <v>12452089</v>
      </c>
      <c r="F28" s="175"/>
      <c r="G28" s="175"/>
      <c r="H28" s="175"/>
      <c r="I28" s="176"/>
      <c r="J28" s="175"/>
    </row>
    <row r="29" spans="1:10" ht="15.75">
      <c r="A29" s="183"/>
      <c r="B29" s="183"/>
      <c r="C29" s="170"/>
      <c r="D29" s="170"/>
      <c r="E29" s="182"/>
      <c r="F29" s="175"/>
      <c r="G29" s="175"/>
      <c r="H29" s="175"/>
      <c r="I29" s="176"/>
      <c r="J29" s="175"/>
    </row>
    <row r="30" spans="1:10" ht="15.75">
      <c r="A30" s="183" t="s">
        <v>194</v>
      </c>
      <c r="B30" s="179" t="s">
        <v>211</v>
      </c>
      <c r="C30" s="170"/>
      <c r="D30" s="170"/>
      <c r="E30" s="175"/>
      <c r="F30" s="175"/>
      <c r="G30" s="177">
        <f>E28-G26</f>
        <v>11480641</v>
      </c>
      <c r="H30" s="182"/>
      <c r="I30" s="176"/>
      <c r="J30" s="175"/>
    </row>
    <row r="31" spans="1:10" ht="15.75">
      <c r="A31" s="183"/>
      <c r="B31" s="183"/>
      <c r="C31" s="179"/>
      <c r="D31" s="170"/>
      <c r="E31" s="170"/>
      <c r="F31" s="170"/>
      <c r="G31" s="187"/>
      <c r="H31" s="188"/>
      <c r="I31" s="183"/>
      <c r="J31" s="170"/>
    </row>
    <row r="32" spans="1:10" ht="15.75">
      <c r="A32" s="183" t="s">
        <v>195</v>
      </c>
      <c r="B32" s="170" t="s">
        <v>212</v>
      </c>
      <c r="C32" s="170"/>
      <c r="D32" s="170"/>
      <c r="E32" s="170"/>
      <c r="F32" s="170"/>
      <c r="G32" s="189">
        <f>IF(G30&gt;0,G26/G30,0)</f>
        <v>0.08461618127419888</v>
      </c>
      <c r="H32" s="188"/>
      <c r="I32" s="170"/>
      <c r="J32" s="170"/>
    </row>
    <row r="33" spans="1:10" ht="15.75">
      <c r="A33" s="183"/>
      <c r="B33" s="183"/>
      <c r="C33" s="170"/>
      <c r="D33" s="170"/>
      <c r="E33" s="170"/>
      <c r="F33" s="170"/>
      <c r="G33" s="188"/>
      <c r="H33" s="188"/>
      <c r="I33" s="170"/>
      <c r="J33" s="170"/>
    </row>
    <row r="34" spans="1:10" ht="15.75">
      <c r="A34" s="183" t="s">
        <v>196</v>
      </c>
      <c r="B34" s="170" t="s">
        <v>213</v>
      </c>
      <c r="C34" s="170"/>
      <c r="D34" s="170"/>
      <c r="E34" s="170"/>
      <c r="F34" s="170"/>
      <c r="G34" s="188"/>
      <c r="H34" s="190" t="s">
        <v>177</v>
      </c>
      <c r="I34" s="170" t="s">
        <v>178</v>
      </c>
      <c r="J34" s="177">
        <f>ROUND(G32*J7,0)</f>
        <v>62315</v>
      </c>
    </row>
    <row r="35" spans="1:10" ht="15.75">
      <c r="A35" s="183"/>
      <c r="B35" s="183"/>
      <c r="C35" s="170"/>
      <c r="D35" s="170"/>
      <c r="E35" s="170"/>
      <c r="F35" s="170"/>
      <c r="G35" s="188"/>
      <c r="H35" s="190"/>
      <c r="I35" s="170"/>
      <c r="J35" s="182"/>
    </row>
    <row r="36" spans="1:10" ht="16.5" thickBot="1">
      <c r="A36" s="183" t="s">
        <v>197</v>
      </c>
      <c r="B36" s="179" t="s">
        <v>219</v>
      </c>
      <c r="C36" s="170"/>
      <c r="D36" s="170"/>
      <c r="E36" s="170"/>
      <c r="F36" s="170"/>
      <c r="G36" s="170"/>
      <c r="H36" s="170"/>
      <c r="I36" s="170" t="s">
        <v>178</v>
      </c>
      <c r="J36" s="191">
        <f>J7+J34</f>
        <v>798757</v>
      </c>
    </row>
    <row r="37" spans="1:10" ht="16.5" thickTop="1">
      <c r="A37" s="170"/>
      <c r="B37" s="170"/>
      <c r="C37" s="170"/>
      <c r="D37" s="170"/>
      <c r="E37" s="170"/>
      <c r="F37" s="170"/>
      <c r="G37" s="170"/>
      <c r="H37" s="170"/>
      <c r="I37" s="170"/>
      <c r="J37" s="170"/>
    </row>
    <row r="38" spans="1:10" ht="15.75">
      <c r="A38" s="183" t="s">
        <v>217</v>
      </c>
      <c r="B38" s="179" t="str">
        <f>CONCATENATE("Debt Service in this ",J1," Budget")</f>
        <v>Debt Service in this 2013 Budget</v>
      </c>
      <c r="C38" s="170"/>
      <c r="D38" s="170"/>
      <c r="E38" s="170"/>
      <c r="F38" s="170"/>
      <c r="G38" s="170"/>
      <c r="H38" s="170"/>
      <c r="I38" s="170"/>
      <c r="J38" s="192">
        <f>'DebtSvs-library'!E41</f>
        <v>168374</v>
      </c>
    </row>
    <row r="39" spans="1:10" ht="15.75">
      <c r="A39" s="183"/>
      <c r="B39" s="179"/>
      <c r="C39" s="170"/>
      <c r="D39" s="170"/>
      <c r="E39" s="170"/>
      <c r="F39" s="170"/>
      <c r="G39" s="170"/>
      <c r="H39" s="170"/>
      <c r="I39" s="170"/>
      <c r="J39" s="188"/>
    </row>
    <row r="40" spans="1:10" ht="16.5" thickBot="1">
      <c r="A40" s="183" t="s">
        <v>218</v>
      </c>
      <c r="B40" s="179" t="s">
        <v>220</v>
      </c>
      <c r="C40" s="170"/>
      <c r="D40" s="170"/>
      <c r="E40" s="170"/>
      <c r="F40" s="170"/>
      <c r="G40" s="170"/>
      <c r="H40" s="170"/>
      <c r="I40" s="170"/>
      <c r="J40" s="191">
        <f>J36+J38</f>
        <v>967131</v>
      </c>
    </row>
    <row r="41" spans="1:10" ht="16.5" thickTop="1">
      <c r="A41" s="170"/>
      <c r="B41" s="170"/>
      <c r="C41" s="170"/>
      <c r="D41" s="170"/>
      <c r="E41" s="170"/>
      <c r="F41" s="170"/>
      <c r="G41" s="170"/>
      <c r="H41" s="170"/>
      <c r="I41" s="170"/>
      <c r="J41" s="170"/>
    </row>
    <row r="42" spans="1:10" s="193" customFormat="1" ht="18.75">
      <c r="A42" s="730" t="str">
        <f>CONCATENATE("If the ",J1," budget includes tax levies exceeding the total on line 15, you must")</f>
        <v>If the 2013 budget includes tax levies exceeding the total on line 15, you must</v>
      </c>
      <c r="B42" s="730"/>
      <c r="C42" s="730"/>
      <c r="D42" s="730"/>
      <c r="E42" s="730"/>
      <c r="F42" s="730"/>
      <c r="G42" s="730"/>
      <c r="H42" s="730"/>
      <c r="I42" s="730"/>
      <c r="J42" s="730"/>
    </row>
    <row r="43" spans="1:10" s="193" customFormat="1" ht="18.75">
      <c r="A43" s="730" t="s">
        <v>272</v>
      </c>
      <c r="B43" s="730"/>
      <c r="C43" s="730"/>
      <c r="D43" s="730"/>
      <c r="E43" s="730"/>
      <c r="F43" s="730"/>
      <c r="G43" s="730"/>
      <c r="H43" s="730"/>
      <c r="I43" s="730"/>
      <c r="J43" s="730"/>
    </row>
    <row r="44" spans="1:10" s="193" customFormat="1" ht="18.75">
      <c r="A44" s="730" t="s">
        <v>273</v>
      </c>
      <c r="B44" s="730"/>
      <c r="C44" s="730"/>
      <c r="D44" s="730"/>
      <c r="E44" s="730"/>
      <c r="F44" s="730"/>
      <c r="G44" s="730"/>
      <c r="H44" s="730"/>
      <c r="I44" s="730"/>
      <c r="J44" s="730"/>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D7" sqref="D7"/>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634"/>
      <c r="B1" s="194" t="str">
        <f>inputPrYr!D2</f>
        <v>CITY OF ELLSWORTH</v>
      </c>
      <c r="C1" s="194"/>
      <c r="D1" s="47"/>
      <c r="E1" s="47"/>
      <c r="F1" s="47"/>
      <c r="G1" s="47">
        <f>inputPrYr!C5</f>
        <v>2013</v>
      </c>
    </row>
    <row r="2" spans="1:7" ht="15.75">
      <c r="A2" s="634"/>
      <c r="B2" s="47"/>
      <c r="C2" s="47"/>
      <c r="D2" s="47"/>
      <c r="E2" s="47"/>
      <c r="F2" s="47"/>
      <c r="G2" s="47"/>
    </row>
    <row r="3" spans="1:7" ht="15.75">
      <c r="A3" s="634"/>
      <c r="B3" s="725" t="s">
        <v>8</v>
      </c>
      <c r="C3" s="725"/>
      <c r="D3" s="725"/>
      <c r="E3" s="725"/>
      <c r="F3" s="725"/>
      <c r="G3" s="47"/>
    </row>
    <row r="4" spans="1:7" ht="15.75">
      <c r="A4" s="634"/>
      <c r="B4" s="47"/>
      <c r="C4" s="195"/>
      <c r="D4" s="195"/>
      <c r="E4" s="195"/>
      <c r="F4" s="47"/>
      <c r="G4" s="76"/>
    </row>
    <row r="5" spans="1:8" ht="21" customHeight="1">
      <c r="A5" s="634"/>
      <c r="B5" s="196" t="s">
        <v>271</v>
      </c>
      <c r="C5" s="141" t="s">
        <v>861</v>
      </c>
      <c r="D5" s="733" t="str">
        <f>CONCATENATE("Allocation for Year ",G1,"")</f>
        <v>Allocation for Year 2013</v>
      </c>
      <c r="E5" s="734"/>
      <c r="F5" s="735"/>
      <c r="G5" s="47"/>
      <c r="H5" s="553"/>
    </row>
    <row r="6" spans="1:7" ht="15.75">
      <c r="A6" s="634"/>
      <c r="B6" s="197" t="str">
        <f>CONCATENATE("for ",G1-1,"")</f>
        <v>for 2012</v>
      </c>
      <c r="C6" s="197" t="str">
        <f>CONCATENATE("Amount for ",G1-2,"")</f>
        <v>Amount for 2011</v>
      </c>
      <c r="D6" s="145" t="s">
        <v>171</v>
      </c>
      <c r="E6" s="145" t="s">
        <v>172</v>
      </c>
      <c r="F6" s="145" t="s">
        <v>170</v>
      </c>
      <c r="G6" s="633"/>
    </row>
    <row r="7" spans="1:7" ht="15.75">
      <c r="A7" s="634"/>
      <c r="B7" s="86" t="str">
        <f>(inputPrYr!B17)</f>
        <v>General</v>
      </c>
      <c r="C7" s="148">
        <f>(inputPrYr!E17)</f>
        <v>608256</v>
      </c>
      <c r="D7" s="148">
        <f>IF(inputPrYr!E17=0,0,D22-SUM(D8:D19))</f>
        <v>91807</v>
      </c>
      <c r="E7" s="148">
        <f>IF(inputPrYr!E17=0,0,E23-SUM(E8:E19))</f>
        <v>1791</v>
      </c>
      <c r="F7" s="148">
        <f>IF(inputPrYr!E17=0,0,F24-SUM(F8:F19))</f>
        <v>1068</v>
      </c>
      <c r="G7" s="634"/>
    </row>
    <row r="8" spans="1:7" ht="15.75">
      <c r="A8" s="634"/>
      <c r="B8" s="86" t="str">
        <f>IF(inputPrYr!$B18&gt;"  ",(inputPrYr!$B18),"  ")</f>
        <v>Debt Service</v>
      </c>
      <c r="C8" s="148">
        <f>IF(inputPrYr!$E18&gt;0,(inputPrYr!$E18),"  ")</f>
        <v>141740</v>
      </c>
      <c r="D8" s="148">
        <f>IF(inputPrYr!E18&gt;0,ROUND(C8*$D$26,0),"  ")</f>
        <v>21393</v>
      </c>
      <c r="E8" s="148">
        <f>IF(inputPrYr!E18&gt;0,ROUND(+C8*E$27,0)," ")</f>
        <v>418</v>
      </c>
      <c r="F8" s="148">
        <f>IF(inputPrYr!E18&gt;0,ROUND(C8*F$28,0)," ")</f>
        <v>249</v>
      </c>
      <c r="G8" s="634"/>
    </row>
    <row r="9" spans="1:7" ht="15.75">
      <c r="A9" s="634"/>
      <c r="B9" s="86" t="str">
        <f>IF(inputPrYr!$B19&gt;"  ",(inputPrYr!$B19),"  ")</f>
        <v>Library</v>
      </c>
      <c r="C9" s="148">
        <f>IF(inputPrYr!$E19&gt;0,(inputPrYr!$E19),"  ")</f>
        <v>91347</v>
      </c>
      <c r="D9" s="148">
        <f>IF(inputPrYr!E19&gt;0,ROUND(C9*$D$26,0),"  ")</f>
        <v>13787</v>
      </c>
      <c r="E9" s="148">
        <f>IF(inputPrYr!E19&gt;0,ROUND(+C9*E$27,0)," ")</f>
        <v>269</v>
      </c>
      <c r="F9" s="148">
        <f>IF(inputPrYr!E19&gt;0,ROUND(+C9*F$28,0)," ")</f>
        <v>160</v>
      </c>
      <c r="G9" s="634"/>
    </row>
    <row r="10" spans="1:7" ht="15.75">
      <c r="A10" s="634"/>
      <c r="B10" s="86" t="str">
        <f>IF(inputPrYr!$B21&gt;"  ",(inputPrYr!$B21),"  ")</f>
        <v>Fire/Police Equipment</v>
      </c>
      <c r="C10" s="148">
        <f>IF(inputPrYr!$E21&gt;0,(inputPrYr!$E21),"  ")</f>
        <v>36839</v>
      </c>
      <c r="D10" s="148">
        <f>IF(inputPrYr!E21&gt;0,ROUND(C10*$D$26,0),"  ")</f>
        <v>5560</v>
      </c>
      <c r="E10" s="148">
        <f>IF(inputPrYr!E21&gt;0,ROUND(+C10*E$27,0)," ")</f>
        <v>109</v>
      </c>
      <c r="F10" s="148">
        <f>IF(inputPrYr!E21&gt;0,ROUND(+C10*F$28,0)," ")</f>
        <v>65</v>
      </c>
      <c r="G10" s="634"/>
    </row>
    <row r="11" spans="1:7" ht="15.75">
      <c r="A11" s="634"/>
      <c r="B11" s="86" t="str">
        <f>IF(inputPrYr!$B22&gt;"  ",(inputPrYr!$B22),"  ")</f>
        <v>  </v>
      </c>
      <c r="C11" s="148" t="str">
        <f>IF(inputPrYr!$E22&gt;0,(inputPrYr!$E22),"  ")</f>
        <v>  </v>
      </c>
      <c r="D11" s="148" t="str">
        <f>IF(inputPrYr!E22&gt;0,ROUND(C11*$D$26,0),"  ")</f>
        <v>  </v>
      </c>
      <c r="E11" s="148" t="str">
        <f>IF(inputPrYr!E22&gt;0,ROUND(+C11*E$27,0)," ")</f>
        <v> </v>
      </c>
      <c r="F11" s="148" t="str">
        <f>IF(inputPrYr!E22&gt;0,ROUND(+C11*F$28,0)," ")</f>
        <v> </v>
      </c>
      <c r="G11" s="634"/>
    </row>
    <row r="12" spans="1:7" ht="15.75">
      <c r="A12" s="634"/>
      <c r="B12" s="86" t="str">
        <f>IF(inputPrYr!$B23&gt;"  ",(inputPrYr!$B23),"  ")</f>
        <v>  </v>
      </c>
      <c r="C12" s="148" t="str">
        <f>IF(inputPrYr!$E23&gt;0,(inputPrYr!$E23),"  ")</f>
        <v>  </v>
      </c>
      <c r="D12" s="148" t="str">
        <f>IF(inputPrYr!E23&gt;0,ROUND(C12*$D$26,0),"  ")</f>
        <v>  </v>
      </c>
      <c r="E12" s="148" t="str">
        <f>IF(inputPrYr!E23&gt;0,ROUND(+C12*E$27,0)," ")</f>
        <v> </v>
      </c>
      <c r="F12" s="148" t="str">
        <f>IF(inputPrYr!E23&gt;0,ROUND(+C12*F$28,0)," ")</f>
        <v> </v>
      </c>
      <c r="G12" s="634"/>
    </row>
    <row r="13" spans="1:7" ht="15.75">
      <c r="A13" s="634"/>
      <c r="B13" s="86" t="str">
        <f>IF(inputPrYr!$B24&gt;"  ",(inputPrYr!$B24),"  ")</f>
        <v>  </v>
      </c>
      <c r="C13" s="148" t="str">
        <f>IF(inputPrYr!$E24&gt;0,(inputPrYr!$E24),"  ")</f>
        <v>  </v>
      </c>
      <c r="D13" s="148" t="str">
        <f>IF(inputPrYr!E24&gt;0,ROUND(C13*$D$26,0),"  ")</f>
        <v>  </v>
      </c>
      <c r="E13" s="148" t="str">
        <f>IF(inputPrYr!E24&gt;0,ROUND(+C13*E$27,0)," ")</f>
        <v> </v>
      </c>
      <c r="F13" s="148" t="str">
        <f>IF(inputPrYr!E24&gt;0,ROUND(+C13*F$28,0)," ")</f>
        <v> </v>
      </c>
      <c r="G13" s="634"/>
    </row>
    <row r="14" spans="1:7" ht="15.75">
      <c r="A14" s="634"/>
      <c r="B14" s="86" t="str">
        <f>IF(inputPrYr!$B25&gt;"  ",(inputPrYr!$B25),"  ")</f>
        <v>  </v>
      </c>
      <c r="C14" s="148" t="str">
        <f>IF(inputPrYr!$E25&gt;0,(inputPrYr!$E25),"  ")</f>
        <v>  </v>
      </c>
      <c r="D14" s="148" t="str">
        <f>IF(inputPrYr!E25&gt;0,ROUND(C14*$D$26,0),"  ")</f>
        <v>  </v>
      </c>
      <c r="E14" s="148" t="str">
        <f>IF(inputPrYr!E25&gt;0,ROUND(+C14*E$27,0)," ")</f>
        <v> </v>
      </c>
      <c r="F14" s="148" t="str">
        <f>IF(inputPrYr!E25&gt;0,ROUND(+C14*F$28,0)," ")</f>
        <v> </v>
      </c>
      <c r="G14" s="634"/>
    </row>
    <row r="15" spans="1:7" ht="15.75">
      <c r="A15" s="634"/>
      <c r="B15" s="86" t="str">
        <f>IF(inputPrYr!$B26&gt;"  ",(inputPrYr!$B26),"  ")</f>
        <v>  </v>
      </c>
      <c r="C15" s="148" t="str">
        <f>IF(inputPrYr!$E26&gt;0,(inputPrYr!$E26),"  ")</f>
        <v>  </v>
      </c>
      <c r="D15" s="148" t="str">
        <f>IF(inputPrYr!E26&gt;0,ROUND(C15*$D$26,0),"  ")</f>
        <v>  </v>
      </c>
      <c r="E15" s="148" t="str">
        <f>IF(inputPrYr!E26&gt;0,ROUND(+C15*E$27,0)," ")</f>
        <v> </v>
      </c>
      <c r="F15" s="148" t="str">
        <f>IF(inputPrYr!E26&gt;0,ROUND(+C15*F$28,0)," ")</f>
        <v> </v>
      </c>
      <c r="G15" s="634"/>
    </row>
    <row r="16" spans="1:7" ht="15.75">
      <c r="A16" s="634"/>
      <c r="B16" s="86" t="str">
        <f>IF(inputPrYr!$B27&gt;"  ",(inputPrYr!$B27),"  ")</f>
        <v>  </v>
      </c>
      <c r="C16" s="148" t="str">
        <f>IF(inputPrYr!$E27&gt;0,(inputPrYr!$E27),"  ")</f>
        <v>  </v>
      </c>
      <c r="D16" s="148" t="str">
        <f>IF(inputPrYr!E27&gt;0,ROUND(C16*$D$26,0),"  ")</f>
        <v>  </v>
      </c>
      <c r="E16" s="148" t="str">
        <f>IF(inputPrYr!E27&gt;0,ROUND(+C16*E$27,0)," ")</f>
        <v> </v>
      </c>
      <c r="F16" s="148" t="str">
        <f>IF(inputPrYr!E27&gt;0,ROUND(+C16*F$28,0)," ")</f>
        <v> </v>
      </c>
      <c r="G16" s="634"/>
    </row>
    <row r="17" spans="1:7" ht="15.75">
      <c r="A17" s="634"/>
      <c r="B17" s="86" t="str">
        <f>IF(inputPrYr!$B28&gt;"  ",(inputPrYr!$B28),"  ")</f>
        <v>  </v>
      </c>
      <c r="C17" s="148" t="str">
        <f>IF(inputPrYr!$E28&gt;0,(inputPrYr!$E28),"  ")</f>
        <v>  </v>
      </c>
      <c r="D17" s="148" t="str">
        <f>IF(inputPrYr!E28&gt;0,ROUND(C17*$D$26,0),"  ")</f>
        <v>  </v>
      </c>
      <c r="E17" s="148" t="str">
        <f>IF(inputPrYr!E28&gt;0,ROUND(+C17*E$27,0)," ")</f>
        <v> </v>
      </c>
      <c r="F17" s="148" t="str">
        <f>IF(inputPrYr!E28&gt;0,ROUND(+C17*F$28,0)," ")</f>
        <v> </v>
      </c>
      <c r="G17" s="634"/>
    </row>
    <row r="18" spans="1:7" ht="15.75">
      <c r="A18" s="634"/>
      <c r="B18" s="86" t="str">
        <f>IF(inputPrYr!$B29&gt;"  ",(inputPrYr!$B29),"  ")</f>
        <v>  </v>
      </c>
      <c r="C18" s="148" t="str">
        <f>IF(inputPrYr!$E29&gt;0,(inputPrYr!$E29),"  ")</f>
        <v>  </v>
      </c>
      <c r="D18" s="148" t="str">
        <f>IF(inputPrYr!E29&gt;0,ROUND(C18*$D$26,0),"  ")</f>
        <v>  </v>
      </c>
      <c r="E18" s="148" t="str">
        <f>IF(inputPrYr!E29&gt;0,ROUND(+C18*E$27,0)," ")</f>
        <v> </v>
      </c>
      <c r="F18" s="148" t="str">
        <f>IF(inputPrYr!E29&gt;0,ROUND(+C18*F$28,0)," ")</f>
        <v> </v>
      </c>
      <c r="G18" s="634"/>
    </row>
    <row r="19" spans="1:7" ht="15.75">
      <c r="A19" s="634"/>
      <c r="B19" s="86" t="str">
        <f>IF(inputPrYr!B30&gt;"  ",(inputPrYr!B30),"  ")</f>
        <v>  </v>
      </c>
      <c r="C19" s="148" t="str">
        <f>IF(inputPrYr!E30&gt;0,(inputPrYr!E30),"  ")</f>
        <v>  </v>
      </c>
      <c r="D19" s="148" t="str">
        <f>IF(inputPrYr!E30&gt;0,ROUND(C19*$D$26,0),"  ")</f>
        <v>  </v>
      </c>
      <c r="E19" s="148" t="str">
        <f>IF(inputPrYr!E30&gt;0,ROUND(+C19*E$27,0)," ")</f>
        <v> </v>
      </c>
      <c r="F19" s="148" t="str">
        <f>IF(inputPrYr!E30&gt;0,ROUND(+C19*F$28,0)," ")</f>
        <v> </v>
      </c>
      <c r="G19" s="634"/>
    </row>
    <row r="20" spans="1:7" ht="15.75">
      <c r="A20" s="634"/>
      <c r="B20" s="47" t="s">
        <v>97</v>
      </c>
      <c r="C20" s="155">
        <f>SUM(C7:C19)</f>
        <v>878182</v>
      </c>
      <c r="D20" s="155">
        <f>SUM(D7:D19)</f>
        <v>132547</v>
      </c>
      <c r="E20" s="155">
        <f>SUM(E7:E19)</f>
        <v>2587</v>
      </c>
      <c r="F20" s="155">
        <f>SUM(F7:F19)</f>
        <v>1542</v>
      </c>
      <c r="G20" s="47"/>
    </row>
    <row r="21" spans="1:7" ht="15.75">
      <c r="A21" s="634"/>
      <c r="B21" s="47"/>
      <c r="C21" s="77"/>
      <c r="D21" s="77"/>
      <c r="E21" s="77"/>
      <c r="F21" s="77"/>
      <c r="G21" s="47"/>
    </row>
    <row r="22" spans="1:7" ht="15.75">
      <c r="A22" s="634"/>
      <c r="B22" s="52" t="s">
        <v>98</v>
      </c>
      <c r="C22" s="198"/>
      <c r="D22" s="199">
        <f>(inputOth!E31)</f>
        <v>132547</v>
      </c>
      <c r="E22" s="198"/>
      <c r="F22" s="47"/>
      <c r="G22" s="47"/>
    </row>
    <row r="23" spans="1:7" ht="15.75">
      <c r="A23" s="634"/>
      <c r="B23" s="52" t="s">
        <v>99</v>
      </c>
      <c r="C23" s="47"/>
      <c r="D23" s="47"/>
      <c r="E23" s="199">
        <f>(inputOth!E32)</f>
        <v>2587</v>
      </c>
      <c r="F23" s="47"/>
      <c r="G23" s="47"/>
    </row>
    <row r="24" spans="1:7" ht="15.75">
      <c r="A24" s="634"/>
      <c r="B24" s="52" t="s">
        <v>173</v>
      </c>
      <c r="C24" s="47"/>
      <c r="D24" s="47"/>
      <c r="E24" s="47"/>
      <c r="F24" s="199">
        <f>inputOth!E33</f>
        <v>1542</v>
      </c>
      <c r="G24" s="47"/>
    </row>
    <row r="25" spans="1:7" ht="15.75">
      <c r="A25" s="634"/>
      <c r="B25" s="52"/>
      <c r="C25" s="47"/>
      <c r="D25" s="47"/>
      <c r="E25" s="47"/>
      <c r="F25" s="77"/>
      <c r="G25" s="346"/>
    </row>
    <row r="26" spans="1:7" ht="15.75">
      <c r="A26" s="634"/>
      <c r="B26" s="52" t="s">
        <v>100</v>
      </c>
      <c r="C26" s="47"/>
      <c r="D26" s="200">
        <f>IF(C20=0,0,D22/C20)</f>
        <v>0.15093340560384977</v>
      </c>
      <c r="E26" s="47"/>
      <c r="F26" s="47"/>
      <c r="G26" s="47"/>
    </row>
    <row r="27" spans="1:7" ht="15.75">
      <c r="A27" s="634"/>
      <c r="B27" s="47"/>
      <c r="C27" s="52" t="s">
        <v>101</v>
      </c>
      <c r="D27" s="47"/>
      <c r="E27" s="200">
        <f>IF(C20=0,0,E23/C20)</f>
        <v>0.002945858603341904</v>
      </c>
      <c r="F27" s="47"/>
      <c r="G27" s="47"/>
    </row>
    <row r="28" spans="1:7" ht="15.75">
      <c r="A28" s="634"/>
      <c r="B28" s="47"/>
      <c r="C28" s="47"/>
      <c r="D28" s="52" t="s">
        <v>174</v>
      </c>
      <c r="E28" s="47"/>
      <c r="F28" s="200">
        <f>IF(C20=0,0,F24/C20)</f>
        <v>0.0017559002575775863</v>
      </c>
      <c r="G28" s="47"/>
    </row>
    <row r="29" spans="1:7" ht="15.75">
      <c r="A29" s="634"/>
      <c r="B29" s="47"/>
      <c r="C29" s="47"/>
      <c r="D29" s="47"/>
      <c r="E29" s="47"/>
      <c r="F29" s="47"/>
      <c r="G29" s="47"/>
    </row>
    <row r="30" spans="1:7" ht="15.75">
      <c r="A30" s="634"/>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600" verticalDpi="600" orientation="portrait" scale="87" r:id="rId1"/>
  <headerFooter alignWithMargins="0">
    <oddHeader>&amp;RState of Kansas
City
</oddHeader>
    <oddFooter>&amp;CPage No.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E43" sqref="E43"/>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(inputPrYr!B36)</f>
        <v>Solid Waste</v>
      </c>
      <c r="C5" s="222" t="str">
        <f>CONCATENATE("Actual for ",E1-2,"")</f>
        <v>Actual for 2011</v>
      </c>
      <c r="D5" s="222" t="str">
        <f>CONCATENATE("Estimate for ",E1-1,"")</f>
        <v>Estimate for 2012</v>
      </c>
      <c r="E5" s="205" t="str">
        <f>CONCATENATE("Year for ",E1,"")</f>
        <v>Year for 2013</v>
      </c>
    </row>
    <row r="6" spans="2:5" ht="15.75">
      <c r="B6" s="249" t="s">
        <v>221</v>
      </c>
      <c r="C6" s="67">
        <v>8237</v>
      </c>
      <c r="D6" s="225">
        <f>C20</f>
        <v>8319</v>
      </c>
      <c r="E6" s="225">
        <f>D20</f>
        <v>7069</v>
      </c>
    </row>
    <row r="7" spans="2:5" ht="15.75">
      <c r="B7" s="253" t="s">
        <v>223</v>
      </c>
      <c r="C7" s="86"/>
      <c r="D7" s="86"/>
      <c r="E7" s="86"/>
    </row>
    <row r="8" spans="2:5" ht="15.75">
      <c r="B8" s="270" t="s">
        <v>1010</v>
      </c>
      <c r="C8" s="67">
        <v>148793</v>
      </c>
      <c r="D8" s="67">
        <v>148250</v>
      </c>
      <c r="E8" s="67">
        <v>148000</v>
      </c>
    </row>
    <row r="9" spans="2:5" ht="15.75">
      <c r="B9" s="258" t="s">
        <v>108</v>
      </c>
      <c r="C9" s="67">
        <v>109</v>
      </c>
      <c r="D9" s="67">
        <v>100</v>
      </c>
      <c r="E9" s="67">
        <v>100</v>
      </c>
    </row>
    <row r="10" spans="2:5" ht="15.75">
      <c r="B10" s="156" t="s">
        <v>14</v>
      </c>
      <c r="C10" s="67">
        <v>0</v>
      </c>
      <c r="D10" s="255">
        <v>0</v>
      </c>
      <c r="E10" s="255">
        <v>0</v>
      </c>
    </row>
    <row r="11" spans="2:5" ht="15.75">
      <c r="B11" s="249" t="s">
        <v>700</v>
      </c>
      <c r="C11" s="293">
        <f>IF(C12*0.1&lt;C10,"Exceed 10% Rule","")</f>
      </c>
      <c r="D11" s="260">
        <f>IF(D12*0.1&lt;D10,"Exceed 10% Rule","")</f>
      </c>
      <c r="E11" s="260">
        <f>IF(E12*0.1&lt;E10,"Exceed 10% Rule","")</f>
      </c>
    </row>
    <row r="12" spans="2:5" ht="15.75">
      <c r="B12" s="261" t="s">
        <v>109</v>
      </c>
      <c r="C12" s="264">
        <f>SUM(C8:C10)</f>
        <v>148902</v>
      </c>
      <c r="D12" s="264">
        <f>SUM(D8:D10)</f>
        <v>148350</v>
      </c>
      <c r="E12" s="264">
        <f>SUM(E8:E10)</f>
        <v>148100</v>
      </c>
    </row>
    <row r="13" spans="2:5" ht="15.75">
      <c r="B13" s="261" t="s">
        <v>110</v>
      </c>
      <c r="C13" s="264">
        <f>C6+C12</f>
        <v>157139</v>
      </c>
      <c r="D13" s="264">
        <f>D6+D12</f>
        <v>156669</v>
      </c>
      <c r="E13" s="264">
        <f>E6+E12</f>
        <v>155169</v>
      </c>
    </row>
    <row r="14" spans="2:5" ht="15.75">
      <c r="B14" s="147" t="s">
        <v>112</v>
      </c>
      <c r="C14" s="225"/>
      <c r="D14" s="225"/>
      <c r="E14" s="225"/>
    </row>
    <row r="15" spans="2:5" ht="15.75">
      <c r="B15" s="270" t="s">
        <v>1011</v>
      </c>
      <c r="C15" s="67">
        <v>143299</v>
      </c>
      <c r="D15" s="67">
        <v>144000</v>
      </c>
      <c r="E15" s="67">
        <v>144000</v>
      </c>
    </row>
    <row r="16" spans="2:5" ht="15.75">
      <c r="B16" s="270" t="s">
        <v>1012</v>
      </c>
      <c r="C16" s="67">
        <v>5521</v>
      </c>
      <c r="D16" s="67">
        <v>5600</v>
      </c>
      <c r="E16" s="67">
        <v>5600</v>
      </c>
    </row>
    <row r="17" spans="2:5" ht="15.75">
      <c r="B17" s="271" t="s">
        <v>14</v>
      </c>
      <c r="C17" s="67"/>
      <c r="D17" s="255"/>
      <c r="E17" s="255">
        <v>5569</v>
      </c>
    </row>
    <row r="18" spans="2:5" ht="15.75">
      <c r="B18" s="271" t="s">
        <v>701</v>
      </c>
      <c r="C18" s="293">
        <f>IF(C19*0.1&lt;C17,"Exceed 10% Rule","")</f>
      </c>
      <c r="D18" s="260">
        <f>IF(D19*0.1&lt;D17,"Exceed 10% Rule","")</f>
      </c>
      <c r="E18" s="260">
        <f>IF(E19*0.1&lt;E17,"Exceed 10% Rule","")</f>
      </c>
    </row>
    <row r="19" spans="2:5" ht="15.75">
      <c r="B19" s="261" t="s">
        <v>116</v>
      </c>
      <c r="C19" s="264">
        <f>SUM(C15:C17)</f>
        <v>148820</v>
      </c>
      <c r="D19" s="264">
        <f>SUM(D15:D17)</f>
        <v>149600</v>
      </c>
      <c r="E19" s="264">
        <f>SUM(E15:E17)</f>
        <v>155169</v>
      </c>
    </row>
    <row r="20" spans="2:5" ht="15.75">
      <c r="B20" s="147" t="s">
        <v>222</v>
      </c>
      <c r="C20" s="82">
        <f>C13-C19</f>
        <v>8319</v>
      </c>
      <c r="D20" s="82">
        <f>D13-D19</f>
        <v>7069</v>
      </c>
      <c r="E20" s="82">
        <f>E13-E19</f>
        <v>0</v>
      </c>
    </row>
    <row r="21" spans="2:5" ht="15.75">
      <c r="B21" s="133" t="str">
        <f>CONCATENATE("",E1-2,"/",E1-1," Budget Authority Amount:")</f>
        <v>2011/2012 Budget Authority Amount:</v>
      </c>
      <c r="C21" s="238">
        <f>inputOth!B58</f>
        <v>155701</v>
      </c>
      <c r="D21" s="238">
        <f>inputPrYr!D36</f>
        <v>155187</v>
      </c>
      <c r="E21" s="344">
        <f>IF(E20&lt;0,"See Tab E","")</f>
      </c>
    </row>
    <row r="22" spans="2:5" ht="15.75">
      <c r="B22" s="133"/>
      <c r="C22" s="274">
        <f>IF(C19&gt;C21,"See Tab A","")</f>
      </c>
      <c r="D22" s="274">
        <f>IF(D19&gt;D21,"See Tab C","")</f>
      </c>
      <c r="E22" s="96"/>
    </row>
    <row r="23" spans="2:5" ht="15.75">
      <c r="B23" s="133"/>
      <c r="C23" s="274">
        <f>IF(C20&lt;0,"See Tab B","")</f>
      </c>
      <c r="D23" s="274">
        <f>IF(D20&lt;0,"See Tab D","")</f>
      </c>
      <c r="E23" s="96"/>
    </row>
    <row r="24" spans="2:5" ht="15.75">
      <c r="B24" s="47"/>
      <c r="C24" s="96"/>
      <c r="D24" s="96"/>
      <c r="E24" s="96"/>
    </row>
    <row r="25" spans="2:5" ht="15.75">
      <c r="B25" s="52" t="s">
        <v>102</v>
      </c>
      <c r="C25" s="288"/>
      <c r="D25" s="288"/>
      <c r="E25" s="288"/>
    </row>
    <row r="26" spans="2:5" ht="15.75">
      <c r="B26" s="47"/>
      <c r="C26" s="639" t="s">
        <v>862</v>
      </c>
      <c r="D26" s="640" t="s">
        <v>863</v>
      </c>
      <c r="E26" s="141" t="s">
        <v>864</v>
      </c>
    </row>
    <row r="27" spans="2:5" ht="15.75">
      <c r="B27" s="464" t="str">
        <f>(inputPrYr!B37)</f>
        <v>Capital Improvement</v>
      </c>
      <c r="C27" s="222" t="str">
        <f>CONCATENATE("Actual for ",$E$1-2,"")</f>
        <v>Actual for 2011</v>
      </c>
      <c r="D27" s="222" t="str">
        <f>CONCATENATE("Estimate for ",$E$1-1,"")</f>
        <v>Estimate for 2012</v>
      </c>
      <c r="E27" s="205" t="str">
        <f>CONCATENATE("Year for ",$E$1,"")</f>
        <v>Year for 2013</v>
      </c>
    </row>
    <row r="28" spans="2:5" ht="15.75">
      <c r="B28" s="249" t="s">
        <v>221</v>
      </c>
      <c r="C28" s="67">
        <v>150864</v>
      </c>
      <c r="D28" s="225">
        <f>C61</f>
        <v>304648</v>
      </c>
      <c r="E28" s="225">
        <f>D61</f>
        <v>290876</v>
      </c>
    </row>
    <row r="29" spans="2:5" ht="15.75">
      <c r="B29" s="253" t="s">
        <v>223</v>
      </c>
      <c r="C29" s="86"/>
      <c r="D29" s="86"/>
      <c r="E29" s="86"/>
    </row>
    <row r="30" spans="2:5" ht="15.75">
      <c r="B30" s="270" t="s">
        <v>958</v>
      </c>
      <c r="C30" s="67">
        <v>2969</v>
      </c>
      <c r="D30" s="67">
        <v>2000</v>
      </c>
      <c r="E30" s="67">
        <v>1800</v>
      </c>
    </row>
    <row r="31" spans="2:5" ht="15.75">
      <c r="B31" s="270" t="s">
        <v>1013</v>
      </c>
      <c r="C31" s="67">
        <v>0</v>
      </c>
      <c r="D31" s="67">
        <v>10</v>
      </c>
      <c r="E31" s="67">
        <v>10</v>
      </c>
    </row>
    <row r="32" spans="2:5" ht="15.75">
      <c r="B32" s="270" t="s">
        <v>1014</v>
      </c>
      <c r="C32" s="67">
        <v>250</v>
      </c>
      <c r="D32" s="67">
        <v>50</v>
      </c>
      <c r="E32" s="67">
        <v>50</v>
      </c>
    </row>
    <row r="33" spans="2:5" ht="15.75">
      <c r="B33" s="270" t="s">
        <v>965</v>
      </c>
      <c r="C33" s="67">
        <v>18834</v>
      </c>
      <c r="D33" s="67">
        <v>160000</v>
      </c>
      <c r="E33" s="67">
        <v>150000</v>
      </c>
    </row>
    <row r="34" spans="2:5" ht="15.75">
      <c r="B34" s="270" t="s">
        <v>1015</v>
      </c>
      <c r="C34" s="67">
        <v>186750</v>
      </c>
      <c r="D34" s="67">
        <v>135500</v>
      </c>
      <c r="E34" s="67">
        <v>114718</v>
      </c>
    </row>
    <row r="35" spans="2:5" ht="15.75">
      <c r="B35" s="270" t="s">
        <v>1016</v>
      </c>
      <c r="C35" s="67">
        <v>7000</v>
      </c>
      <c r="D35" s="67">
        <v>7000</v>
      </c>
      <c r="E35" s="67">
        <v>0</v>
      </c>
    </row>
    <row r="36" spans="2:5" ht="15.75">
      <c r="B36" s="270" t="s">
        <v>1017</v>
      </c>
      <c r="C36" s="67">
        <v>50000</v>
      </c>
      <c r="D36" s="67">
        <v>85000</v>
      </c>
      <c r="E36" s="67">
        <v>70000</v>
      </c>
    </row>
    <row r="37" spans="2:5" ht="15.75">
      <c r="B37" s="270" t="s">
        <v>1018</v>
      </c>
      <c r="C37" s="67">
        <v>23000</v>
      </c>
      <c r="D37" s="67">
        <v>13000</v>
      </c>
      <c r="E37" s="67">
        <v>11000</v>
      </c>
    </row>
    <row r="38" spans="2:5" ht="15.75">
      <c r="B38" s="270" t="s">
        <v>1019</v>
      </c>
      <c r="C38" s="67">
        <v>34228</v>
      </c>
      <c r="D38" s="67">
        <v>0</v>
      </c>
      <c r="E38" s="67">
        <v>0</v>
      </c>
    </row>
    <row r="39" spans="2:5" ht="15.75">
      <c r="B39" s="258" t="s">
        <v>108</v>
      </c>
      <c r="C39" s="67">
        <v>2223</v>
      </c>
      <c r="D39" s="67">
        <v>1850</v>
      </c>
      <c r="E39" s="67">
        <v>1500</v>
      </c>
    </row>
    <row r="40" spans="2:5" ht="15.75">
      <c r="B40" s="156" t="s">
        <v>14</v>
      </c>
      <c r="C40" s="67"/>
      <c r="D40" s="255">
        <v>1000</v>
      </c>
      <c r="E40" s="255">
        <v>1000</v>
      </c>
    </row>
    <row r="41" spans="2:5" ht="15.75">
      <c r="B41" s="249" t="s">
        <v>700</v>
      </c>
      <c r="C41" s="293">
        <f>IF(C42*0.1&lt;C40,"Exceed 10% Rule","")</f>
      </c>
      <c r="D41" s="260">
        <f>IF(D42*0.1&lt;D40,"Exceed 10% Rule","")</f>
      </c>
      <c r="E41" s="260">
        <f>IF(E42*0.1&lt;E40,"Exceed 10% Rule","")</f>
      </c>
    </row>
    <row r="42" spans="2:5" ht="15.75">
      <c r="B42" s="261" t="s">
        <v>109</v>
      </c>
      <c r="C42" s="264">
        <f>SUM(C30:C40)</f>
        <v>325254</v>
      </c>
      <c r="D42" s="264">
        <f>SUM(D30:D40)</f>
        <v>405410</v>
      </c>
      <c r="E42" s="264">
        <f>SUM(E30:E40)</f>
        <v>350078</v>
      </c>
    </row>
    <row r="43" spans="2:5" ht="15.75">
      <c r="B43" s="261" t="s">
        <v>110</v>
      </c>
      <c r="C43" s="264">
        <f>C28+C42</f>
        <v>476118</v>
      </c>
      <c r="D43" s="264">
        <f>D28+D42</f>
        <v>710058</v>
      </c>
      <c r="E43" s="264">
        <f>E28+E42</f>
        <v>640954</v>
      </c>
    </row>
    <row r="44" spans="2:5" ht="15.75">
      <c r="B44" s="147" t="s">
        <v>112</v>
      </c>
      <c r="C44" s="225"/>
      <c r="D44" s="225"/>
      <c r="E44" s="225"/>
    </row>
    <row r="45" spans="2:5" ht="15.75">
      <c r="B45" s="270" t="s">
        <v>115</v>
      </c>
      <c r="C45" s="67">
        <v>43439</v>
      </c>
      <c r="D45" s="67">
        <v>41934</v>
      </c>
      <c r="E45" s="67">
        <v>40000</v>
      </c>
    </row>
    <row r="46" spans="2:5" ht="15.75">
      <c r="B46" s="270" t="s">
        <v>1020</v>
      </c>
      <c r="C46" s="67">
        <v>6114</v>
      </c>
      <c r="D46" s="67">
        <v>1512</v>
      </c>
      <c r="E46" s="67">
        <v>6000</v>
      </c>
    </row>
    <row r="47" spans="2:5" ht="15.75">
      <c r="B47" s="270" t="s">
        <v>1021</v>
      </c>
      <c r="C47" s="67">
        <v>1662</v>
      </c>
      <c r="D47" s="67">
        <v>8236</v>
      </c>
      <c r="E47" s="67">
        <v>10000</v>
      </c>
    </row>
    <row r="48" spans="2:5" ht="15.75">
      <c r="B48" s="270" t="s">
        <v>1022</v>
      </c>
      <c r="C48" s="67">
        <v>0</v>
      </c>
      <c r="D48" s="67">
        <v>0</v>
      </c>
      <c r="E48" s="67">
        <v>1000</v>
      </c>
    </row>
    <row r="49" spans="2:5" ht="15.75">
      <c r="B49" s="270" t="s">
        <v>1023</v>
      </c>
      <c r="C49" s="67">
        <v>0</v>
      </c>
      <c r="D49" s="67">
        <v>0</v>
      </c>
      <c r="E49" s="67">
        <v>1000</v>
      </c>
    </row>
    <row r="50" spans="2:5" ht="15.75">
      <c r="B50" s="270" t="s">
        <v>1024</v>
      </c>
      <c r="C50" s="67">
        <v>66741</v>
      </c>
      <c r="D50" s="67">
        <v>200000</v>
      </c>
      <c r="E50" s="67">
        <v>146718</v>
      </c>
    </row>
    <row r="51" spans="2:5" ht="15.75">
      <c r="B51" s="270" t="s">
        <v>1026</v>
      </c>
      <c r="C51" s="67">
        <v>30201</v>
      </c>
      <c r="D51" s="67">
        <v>150000</v>
      </c>
      <c r="E51" s="67">
        <v>300000</v>
      </c>
    </row>
    <row r="52" spans="2:5" ht="15.75">
      <c r="B52" s="270" t="s">
        <v>1025</v>
      </c>
      <c r="C52" s="67">
        <v>0</v>
      </c>
      <c r="D52" s="67">
        <v>0</v>
      </c>
      <c r="E52" s="67">
        <v>0</v>
      </c>
    </row>
    <row r="53" spans="2:5" ht="15.75">
      <c r="B53" s="270" t="s">
        <v>1027</v>
      </c>
      <c r="C53" s="67">
        <v>1116</v>
      </c>
      <c r="D53" s="67">
        <v>0</v>
      </c>
      <c r="E53" s="67">
        <v>10000</v>
      </c>
    </row>
    <row r="54" spans="2:5" ht="15.75">
      <c r="B54" s="270" t="s">
        <v>1028</v>
      </c>
      <c r="C54" s="67">
        <v>0</v>
      </c>
      <c r="D54" s="67">
        <v>1500</v>
      </c>
      <c r="E54" s="67">
        <v>5000</v>
      </c>
    </row>
    <row r="55" spans="2:5" ht="15.75">
      <c r="B55" s="270" t="s">
        <v>1031</v>
      </c>
      <c r="C55" s="67">
        <v>4255</v>
      </c>
      <c r="D55" s="67">
        <v>5000</v>
      </c>
      <c r="E55" s="67">
        <v>35000</v>
      </c>
    </row>
    <row r="56" spans="2:5" ht="15.75">
      <c r="B56" s="270" t="s">
        <v>1029</v>
      </c>
      <c r="C56" s="67">
        <v>0</v>
      </c>
      <c r="D56" s="67">
        <v>5000</v>
      </c>
      <c r="E56" s="67">
        <v>5000</v>
      </c>
    </row>
    <row r="57" spans="2:5" ht="15.75">
      <c r="B57" s="270" t="s">
        <v>1030</v>
      </c>
      <c r="C57" s="67">
        <v>17942</v>
      </c>
      <c r="D57" s="67">
        <v>6000</v>
      </c>
      <c r="E57" s="67">
        <v>19000</v>
      </c>
    </row>
    <row r="58" spans="2:5" ht="15.75">
      <c r="B58" s="271" t="s">
        <v>14</v>
      </c>
      <c r="C58" s="67">
        <v>0</v>
      </c>
      <c r="D58" s="255">
        <v>0</v>
      </c>
      <c r="E58" s="255">
        <v>62236</v>
      </c>
    </row>
    <row r="59" spans="2:5" ht="15.75">
      <c r="B59" s="271" t="s">
        <v>701</v>
      </c>
      <c r="C59" s="293">
        <f>IF(C60*0.1&lt;C58,"Exceed 10% Rule","")</f>
      </c>
      <c r="D59" s="260">
        <f>IF(D60*0.1&lt;D58,"Exceed 10% Rule","")</f>
      </c>
      <c r="E59" s="260">
        <f>IF(E60*0.1&lt;E58,"Exceed 10% Rule","")</f>
      </c>
    </row>
    <row r="60" spans="2:5" ht="15.75">
      <c r="B60" s="261" t="s">
        <v>116</v>
      </c>
      <c r="C60" s="264">
        <f>SUM(C45:C58)</f>
        <v>171470</v>
      </c>
      <c r="D60" s="264">
        <f>SUM(D45:D58)</f>
        <v>419182</v>
      </c>
      <c r="E60" s="264">
        <f>SUM(E45:E58)</f>
        <v>640954</v>
      </c>
    </row>
    <row r="61" spans="2:5" ht="15.75">
      <c r="B61" s="147" t="s">
        <v>222</v>
      </c>
      <c r="C61" s="82">
        <f>C43-C60</f>
        <v>304648</v>
      </c>
      <c r="D61" s="82">
        <f>D43-D60</f>
        <v>290876</v>
      </c>
      <c r="E61" s="82">
        <f>E43-E60</f>
        <v>0</v>
      </c>
    </row>
    <row r="62" spans="2:5" ht="15.75">
      <c r="B62" s="133" t="str">
        <f>CONCATENATE("",E1-2,"/",E1-1," Budget Authority Amount:")</f>
        <v>2011/2012 Budget Authority Amount:</v>
      </c>
      <c r="C62" s="238">
        <f>inputOth!B59</f>
        <v>645671</v>
      </c>
      <c r="D62" s="238">
        <f>inputPrYr!D37</f>
        <v>923352</v>
      </c>
      <c r="E62" s="344">
        <f>IF(E61&lt;0,"See Tab E","")</f>
      </c>
    </row>
    <row r="63" spans="2:5" ht="15.75">
      <c r="B63" s="133"/>
      <c r="C63" s="274">
        <f>IF(C60&gt;C62,"See Tab A","")</f>
      </c>
      <c r="D63" s="274">
        <f>IF(D60&gt;D62,"See Tab C","")</f>
      </c>
      <c r="E63" s="47"/>
    </row>
    <row r="64" spans="2:5" ht="15.75">
      <c r="B64" s="133"/>
      <c r="C64" s="274">
        <f>IF(C61&lt;0,"See Tab B","")</f>
      </c>
      <c r="D64" s="274">
        <f>IF(D61&lt;0,"See Tab D","")</f>
      </c>
      <c r="E64" s="47"/>
    </row>
    <row r="65" spans="2:5" ht="15.75">
      <c r="B65" s="47"/>
      <c r="C65" s="47"/>
      <c r="D65" s="47"/>
      <c r="E65" s="47"/>
    </row>
    <row r="66" spans="2:5" ht="15.75">
      <c r="B66" s="367" t="s">
        <v>119</v>
      </c>
      <c r="C66" s="278">
        <v>12</v>
      </c>
      <c r="D66" s="47"/>
      <c r="E66" s="47"/>
    </row>
  </sheetData>
  <sheetProtection/>
  <conditionalFormatting sqref="C10">
    <cfRule type="cellIs" priority="3" dxfId="274" operator="greaterThan" stopIfTrue="1">
      <formula>$C$12*0.1</formula>
    </cfRule>
  </conditionalFormatting>
  <conditionalFormatting sqref="D10">
    <cfRule type="cellIs" priority="4" dxfId="274" operator="greaterThan" stopIfTrue="1">
      <formula>$D$12*0.1</formula>
    </cfRule>
  </conditionalFormatting>
  <conditionalFormatting sqref="E10">
    <cfRule type="cellIs" priority="5" dxfId="274" operator="greaterThan" stopIfTrue="1">
      <formula>$E$12*0.1</formula>
    </cfRule>
  </conditionalFormatting>
  <conditionalFormatting sqref="C17">
    <cfRule type="cellIs" priority="6" dxfId="274" operator="greaterThan" stopIfTrue="1">
      <formula>$C$19*0.1</formula>
    </cfRule>
  </conditionalFormatting>
  <conditionalFormatting sqref="D17">
    <cfRule type="cellIs" priority="7" dxfId="274" operator="greaterThan" stopIfTrue="1">
      <formula>$D$19*0.1</formula>
    </cfRule>
  </conditionalFormatting>
  <conditionalFormatting sqref="E17">
    <cfRule type="cellIs" priority="8" dxfId="274" operator="greaterThan" stopIfTrue="1">
      <formula>$E$19*0.1</formula>
    </cfRule>
  </conditionalFormatting>
  <conditionalFormatting sqref="C40">
    <cfRule type="cellIs" priority="9" dxfId="274" operator="greaterThan" stopIfTrue="1">
      <formula>$C$42*0.1</formula>
    </cfRule>
  </conditionalFormatting>
  <conditionalFormatting sqref="D40">
    <cfRule type="cellIs" priority="10" dxfId="274" operator="greaterThan" stopIfTrue="1">
      <formula>$D$42*0.1</formula>
    </cfRule>
  </conditionalFormatting>
  <conditionalFormatting sqref="E40">
    <cfRule type="cellIs" priority="11" dxfId="274" operator="greaterThan" stopIfTrue="1">
      <formula>$E$42*0.1</formula>
    </cfRule>
  </conditionalFormatting>
  <conditionalFormatting sqref="C58">
    <cfRule type="cellIs" priority="12" dxfId="274" operator="greaterThan" stopIfTrue="1">
      <formula>$C$60*0.1</formula>
    </cfRule>
  </conditionalFormatting>
  <conditionalFormatting sqref="D58">
    <cfRule type="cellIs" priority="13" dxfId="274" operator="greaterThan" stopIfTrue="1">
      <formula>$D$60*0.1</formula>
    </cfRule>
  </conditionalFormatting>
  <conditionalFormatting sqref="E58">
    <cfRule type="cellIs" priority="14" dxfId="274" operator="greaterThan" stopIfTrue="1">
      <formula>$E$60*0.1</formula>
    </cfRule>
  </conditionalFormatting>
  <conditionalFormatting sqref="D60">
    <cfRule type="cellIs" priority="15" dxfId="3" operator="greaterThan" stopIfTrue="1">
      <formula>$D$62</formula>
    </cfRule>
  </conditionalFormatting>
  <conditionalFormatting sqref="C60">
    <cfRule type="cellIs" priority="16" dxfId="3" operator="greaterThan" stopIfTrue="1">
      <formula>$C$62</formula>
    </cfRule>
  </conditionalFormatting>
  <conditionalFormatting sqref="C61 E61 C20 E20">
    <cfRule type="cellIs" priority="17" dxfId="3" operator="lessThan" stopIfTrue="1">
      <formula>0</formula>
    </cfRule>
  </conditionalFormatting>
  <conditionalFormatting sqref="D19">
    <cfRule type="cellIs" priority="18" dxfId="3" operator="greaterThan" stopIfTrue="1">
      <formula>$D$21</formula>
    </cfRule>
  </conditionalFormatting>
  <conditionalFormatting sqref="C19">
    <cfRule type="cellIs" priority="19" dxfId="3" operator="greaterThan" stopIfTrue="1">
      <formula>$C$21</formula>
    </cfRule>
  </conditionalFormatting>
  <conditionalFormatting sqref="D61">
    <cfRule type="cellIs" priority="2" dxfId="0" operator="lessThan" stopIfTrue="1">
      <formula>0</formula>
    </cfRule>
  </conditionalFormatting>
  <conditionalFormatting sqref="D20">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dimension ref="B1:G43"/>
  <sheetViews>
    <sheetView view="pageBreakPreview" zoomScale="60" zoomScalePageLayoutView="0" workbookViewId="0" topLeftCell="B1">
      <selection activeCell="F15" sqref="F15"/>
    </sheetView>
  </sheetViews>
  <sheetFormatPr defaultColWidth="8.796875" defaultRowHeight="15"/>
  <cols>
    <col min="1" max="1" width="4.19921875" style="32" customWidth="1"/>
    <col min="2" max="2" width="24.796875" style="32" customWidth="1"/>
    <col min="3" max="3" width="18.796875" style="32" customWidth="1"/>
    <col min="4" max="4" width="13.296875" style="32" customWidth="1"/>
    <col min="5" max="5" width="19.796875" style="32" customWidth="1"/>
    <col min="6" max="6" width="22.296875" style="32" customWidth="1"/>
    <col min="7" max="7" width="23.796875" style="32" customWidth="1"/>
    <col min="8" max="16384" width="8.8984375" style="32" customWidth="1"/>
  </cols>
  <sheetData>
    <row r="1" spans="2:7" ht="15.75">
      <c r="B1" s="171" t="str">
        <f>inputPrYr!D2</f>
        <v>CITY OF ELLSWORTH</v>
      </c>
      <c r="C1" s="171"/>
      <c r="D1" s="170"/>
      <c r="E1" s="170"/>
      <c r="F1" s="170"/>
      <c r="G1" s="170">
        <f>inputPrYr!$C$5</f>
        <v>2013</v>
      </c>
    </row>
    <row r="2" spans="2:7" ht="15.75">
      <c r="B2" s="170"/>
      <c r="C2" s="170"/>
      <c r="D2" s="170"/>
      <c r="E2" s="170"/>
      <c r="F2" s="170"/>
      <c r="G2" s="170"/>
    </row>
    <row r="3" spans="2:7" ht="15.75">
      <c r="B3" s="717" t="s">
        <v>226</v>
      </c>
      <c r="C3" s="717"/>
      <c r="D3" s="717"/>
      <c r="E3" s="717"/>
      <c r="F3" s="717"/>
      <c r="G3" s="717"/>
    </row>
    <row r="4" spans="2:7" ht="15.75">
      <c r="B4" s="201"/>
      <c r="C4" s="201"/>
      <c r="D4" s="201"/>
      <c r="E4" s="201"/>
      <c r="F4" s="201"/>
      <c r="G4" s="201"/>
    </row>
    <row r="5" spans="2:7" ht="15.75">
      <c r="B5" s="202" t="s">
        <v>587</v>
      </c>
      <c r="C5" s="202" t="s">
        <v>588</v>
      </c>
      <c r="D5" s="202" t="s">
        <v>122</v>
      </c>
      <c r="E5" s="202" t="s">
        <v>238</v>
      </c>
      <c r="F5" s="202" t="s">
        <v>239</v>
      </c>
      <c r="G5" s="202" t="s">
        <v>263</v>
      </c>
    </row>
    <row r="6" spans="2:7" ht="15.75">
      <c r="B6" s="203" t="s">
        <v>589</v>
      </c>
      <c r="C6" s="203" t="s">
        <v>590</v>
      </c>
      <c r="D6" s="203" t="s">
        <v>264</v>
      </c>
      <c r="E6" s="203" t="s">
        <v>264</v>
      </c>
      <c r="F6" s="203" t="s">
        <v>264</v>
      </c>
      <c r="G6" s="203" t="s">
        <v>265</v>
      </c>
    </row>
    <row r="7" spans="2:7" ht="15" customHeight="1">
      <c r="B7" s="204" t="s">
        <v>266</v>
      </c>
      <c r="C7" s="204" t="s">
        <v>267</v>
      </c>
      <c r="D7" s="205">
        <f>G1-2</f>
        <v>2011</v>
      </c>
      <c r="E7" s="205">
        <f>G1-1</f>
        <v>2012</v>
      </c>
      <c r="F7" s="205">
        <f>G1</f>
        <v>2013</v>
      </c>
      <c r="G7" s="204" t="s">
        <v>268</v>
      </c>
    </row>
    <row r="8" spans="2:7" ht="14.25" customHeight="1">
      <c r="B8" s="206" t="s">
        <v>1103</v>
      </c>
      <c r="C8" s="206" t="s">
        <v>1104</v>
      </c>
      <c r="D8" s="207">
        <v>5000</v>
      </c>
      <c r="E8" s="207">
        <v>3000</v>
      </c>
      <c r="F8" s="207">
        <v>4000</v>
      </c>
      <c r="G8" s="208" t="s">
        <v>1105</v>
      </c>
    </row>
    <row r="9" spans="2:7" ht="15" customHeight="1">
      <c r="B9" s="209" t="s">
        <v>1103</v>
      </c>
      <c r="C9" s="209" t="s">
        <v>932</v>
      </c>
      <c r="D9" s="210">
        <v>2500</v>
      </c>
      <c r="E9" s="210">
        <v>1500</v>
      </c>
      <c r="F9" s="210">
        <v>2500</v>
      </c>
      <c r="G9" s="208" t="s">
        <v>1110</v>
      </c>
    </row>
    <row r="10" spans="2:7" ht="15" customHeight="1">
      <c r="B10" s="209" t="s">
        <v>1106</v>
      </c>
      <c r="C10" s="209" t="s">
        <v>1104</v>
      </c>
      <c r="D10" s="210">
        <v>5000</v>
      </c>
      <c r="E10" s="210">
        <v>1000</v>
      </c>
      <c r="F10" s="210">
        <v>1000</v>
      </c>
      <c r="G10" s="208" t="s">
        <v>1105</v>
      </c>
    </row>
    <row r="11" spans="2:7" ht="15" customHeight="1">
      <c r="B11" s="209" t="s">
        <v>1106</v>
      </c>
      <c r="C11" s="209" t="s">
        <v>932</v>
      </c>
      <c r="D11" s="210">
        <v>500</v>
      </c>
      <c r="E11" s="210">
        <v>1000</v>
      </c>
      <c r="F11" s="210">
        <v>3000</v>
      </c>
      <c r="G11" s="208" t="s">
        <v>1110</v>
      </c>
    </row>
    <row r="12" spans="2:7" ht="15" customHeight="1">
      <c r="B12" s="209" t="s">
        <v>1108</v>
      </c>
      <c r="C12" s="209" t="s">
        <v>1104</v>
      </c>
      <c r="D12" s="210">
        <v>1500</v>
      </c>
      <c r="E12" s="210">
        <v>1500</v>
      </c>
      <c r="F12" s="210">
        <v>1000</v>
      </c>
      <c r="G12" s="208" t="s">
        <v>1105</v>
      </c>
    </row>
    <row r="13" spans="2:7" ht="15" customHeight="1">
      <c r="B13" s="209" t="s">
        <v>1108</v>
      </c>
      <c r="C13" s="209" t="s">
        <v>932</v>
      </c>
      <c r="D13" s="210">
        <v>5000</v>
      </c>
      <c r="E13" s="210">
        <v>3000</v>
      </c>
      <c r="F13" s="210">
        <v>2000</v>
      </c>
      <c r="G13" s="208" t="s">
        <v>1110</v>
      </c>
    </row>
    <row r="14" spans="2:7" ht="15" customHeight="1">
      <c r="B14" s="209" t="s">
        <v>1109</v>
      </c>
      <c r="C14" s="209" t="s">
        <v>1104</v>
      </c>
      <c r="D14" s="210">
        <v>150000</v>
      </c>
      <c r="E14" s="210">
        <v>100000</v>
      </c>
      <c r="F14" s="210">
        <v>82718</v>
      </c>
      <c r="G14" s="208" t="s">
        <v>1105</v>
      </c>
    </row>
    <row r="15" spans="2:7" ht="15" customHeight="1">
      <c r="B15" s="209" t="s">
        <v>1109</v>
      </c>
      <c r="C15" s="209" t="s">
        <v>932</v>
      </c>
      <c r="D15" s="210">
        <v>17500</v>
      </c>
      <c r="E15" s="210">
        <v>12000</v>
      </c>
      <c r="F15" s="210">
        <v>10000</v>
      </c>
      <c r="G15" s="208" t="s">
        <v>1110</v>
      </c>
    </row>
    <row r="16" spans="2:7" ht="15" customHeight="1">
      <c r="B16" s="209" t="s">
        <v>1111</v>
      </c>
      <c r="C16" s="209" t="s">
        <v>1104</v>
      </c>
      <c r="D16" s="210">
        <v>1500</v>
      </c>
      <c r="E16" s="210">
        <v>4000</v>
      </c>
      <c r="F16" s="210">
        <v>4000</v>
      </c>
      <c r="G16" s="208" t="s">
        <v>1105</v>
      </c>
    </row>
    <row r="17" spans="2:7" ht="15" customHeight="1">
      <c r="B17" s="209" t="s">
        <v>1111</v>
      </c>
      <c r="C17" s="209" t="s">
        <v>932</v>
      </c>
      <c r="D17" s="210">
        <v>4500</v>
      </c>
      <c r="E17" s="210">
        <v>1500</v>
      </c>
      <c r="F17" s="210">
        <v>3000</v>
      </c>
      <c r="G17" s="208" t="s">
        <v>1110</v>
      </c>
    </row>
    <row r="18" spans="2:7" ht="15" customHeight="1">
      <c r="B18" s="209" t="s">
        <v>1112</v>
      </c>
      <c r="C18" s="209" t="s">
        <v>932</v>
      </c>
      <c r="D18" s="210">
        <v>500</v>
      </c>
      <c r="E18" s="210">
        <v>500</v>
      </c>
      <c r="F18" s="210">
        <v>1000</v>
      </c>
      <c r="G18" s="208" t="s">
        <v>1110</v>
      </c>
    </row>
    <row r="19" spans="2:7" ht="15" customHeight="1">
      <c r="B19" s="209" t="s">
        <v>1113</v>
      </c>
      <c r="C19" s="209" t="s">
        <v>1104</v>
      </c>
      <c r="D19" s="210">
        <v>21750</v>
      </c>
      <c r="E19" s="210">
        <v>24000</v>
      </c>
      <c r="F19" s="210">
        <v>20000</v>
      </c>
      <c r="G19" s="208" t="s">
        <v>1105</v>
      </c>
    </row>
    <row r="20" spans="2:7" ht="15" customHeight="1">
      <c r="B20" s="209" t="s">
        <v>1114</v>
      </c>
      <c r="C20" s="209" t="s">
        <v>930</v>
      </c>
      <c r="D20" s="210">
        <v>47000</v>
      </c>
      <c r="E20" s="210">
        <v>46000</v>
      </c>
      <c r="F20" s="210">
        <v>46000</v>
      </c>
      <c r="G20" s="208" t="s">
        <v>1115</v>
      </c>
    </row>
    <row r="21" spans="2:7" ht="15" customHeight="1">
      <c r="B21" s="209" t="s">
        <v>1116</v>
      </c>
      <c r="C21" s="209" t="s">
        <v>1104</v>
      </c>
      <c r="D21" s="210">
        <v>2000</v>
      </c>
      <c r="E21" s="210">
        <v>2000</v>
      </c>
      <c r="F21" s="210">
        <v>2000</v>
      </c>
      <c r="G21" s="208" t="s">
        <v>1105</v>
      </c>
    </row>
    <row r="22" spans="2:7" ht="15" customHeight="1">
      <c r="B22" s="209" t="s">
        <v>1116</v>
      </c>
      <c r="C22" s="209" t="s">
        <v>932</v>
      </c>
      <c r="D22" s="210">
        <v>5333</v>
      </c>
      <c r="E22" s="210">
        <v>10000</v>
      </c>
      <c r="F22" s="210">
        <v>12000</v>
      </c>
      <c r="G22" s="208" t="s">
        <v>1107</v>
      </c>
    </row>
    <row r="23" spans="2:7" ht="15" customHeight="1">
      <c r="B23" s="209" t="s">
        <v>200</v>
      </c>
      <c r="C23" s="209" t="s">
        <v>1104</v>
      </c>
      <c r="D23" s="210">
        <v>7000</v>
      </c>
      <c r="E23" s="210">
        <v>7000</v>
      </c>
      <c r="F23" s="210">
        <v>0</v>
      </c>
      <c r="G23" s="208" t="s">
        <v>1105</v>
      </c>
    </row>
    <row r="24" spans="2:7" ht="15" customHeight="1">
      <c r="B24" s="209" t="s">
        <v>200</v>
      </c>
      <c r="C24" s="209" t="s">
        <v>932</v>
      </c>
      <c r="D24" s="210">
        <v>3850</v>
      </c>
      <c r="E24" s="210">
        <v>3850</v>
      </c>
      <c r="F24" s="210">
        <v>3850</v>
      </c>
      <c r="G24" s="208" t="s">
        <v>1110</v>
      </c>
    </row>
    <row r="25" spans="2:7" ht="15" customHeight="1">
      <c r="B25" s="209" t="s">
        <v>1142</v>
      </c>
      <c r="C25" s="209" t="s">
        <v>1104</v>
      </c>
      <c r="D25" s="210">
        <v>30000</v>
      </c>
      <c r="E25" s="210">
        <v>50000</v>
      </c>
      <c r="F25" s="210">
        <v>40000</v>
      </c>
      <c r="G25" s="208" t="s">
        <v>1105</v>
      </c>
    </row>
    <row r="26" spans="2:7" ht="15" customHeight="1">
      <c r="B26" s="209" t="s">
        <v>1142</v>
      </c>
      <c r="C26" s="209" t="s">
        <v>932</v>
      </c>
      <c r="D26" s="210">
        <v>65000</v>
      </c>
      <c r="E26" s="210">
        <v>21000</v>
      </c>
      <c r="F26" s="210">
        <v>65000</v>
      </c>
      <c r="G26" s="208" t="s">
        <v>1110</v>
      </c>
    </row>
    <row r="27" spans="2:7" ht="15" customHeight="1">
      <c r="B27" s="209" t="s">
        <v>1117</v>
      </c>
      <c r="C27" s="209" t="s">
        <v>1104</v>
      </c>
      <c r="D27" s="210">
        <v>20000</v>
      </c>
      <c r="E27" s="210">
        <v>35000</v>
      </c>
      <c r="F27" s="210">
        <v>30000</v>
      </c>
      <c r="G27" s="208" t="s">
        <v>1105</v>
      </c>
    </row>
    <row r="28" spans="2:7" ht="15" customHeight="1">
      <c r="B28" s="209" t="s">
        <v>1117</v>
      </c>
      <c r="C28" s="209" t="s">
        <v>932</v>
      </c>
      <c r="D28" s="210">
        <v>24000</v>
      </c>
      <c r="E28" s="210">
        <v>15000</v>
      </c>
      <c r="F28" s="210">
        <v>30000</v>
      </c>
      <c r="G28" s="208" t="s">
        <v>1110</v>
      </c>
    </row>
    <row r="29" spans="2:7" ht="15" customHeight="1">
      <c r="B29" s="209" t="s">
        <v>1118</v>
      </c>
      <c r="C29" s="209" t="s">
        <v>1119</v>
      </c>
      <c r="D29" s="210">
        <v>15000</v>
      </c>
      <c r="E29" s="210">
        <v>5000</v>
      </c>
      <c r="F29" s="210">
        <v>5000</v>
      </c>
      <c r="G29" s="208" t="s">
        <v>1120</v>
      </c>
    </row>
    <row r="30" spans="2:7" ht="15" customHeight="1">
      <c r="B30" s="209" t="s">
        <v>1118</v>
      </c>
      <c r="C30" s="209" t="s">
        <v>1121</v>
      </c>
      <c r="D30" s="210">
        <v>0</v>
      </c>
      <c r="E30" s="210">
        <v>225000</v>
      </c>
      <c r="F30" s="210">
        <v>225000</v>
      </c>
      <c r="G30" s="208" t="s">
        <v>1120</v>
      </c>
    </row>
    <row r="31" spans="2:7" ht="15" customHeight="1">
      <c r="B31" s="209" t="s">
        <v>1118</v>
      </c>
      <c r="C31" s="209" t="s">
        <v>1122</v>
      </c>
      <c r="D31" s="210">
        <v>70000</v>
      </c>
      <c r="E31" s="210">
        <v>75000</v>
      </c>
      <c r="F31" s="210">
        <v>78000</v>
      </c>
      <c r="G31" s="208" t="s">
        <v>1120</v>
      </c>
    </row>
    <row r="32" spans="2:7" ht="15" customHeight="1">
      <c r="B32" s="209" t="s">
        <v>1118</v>
      </c>
      <c r="C32" s="209" t="s">
        <v>930</v>
      </c>
      <c r="D32" s="210">
        <v>65000</v>
      </c>
      <c r="E32" s="210">
        <v>63000</v>
      </c>
      <c r="F32" s="210">
        <v>63000</v>
      </c>
      <c r="G32" s="208" t="s">
        <v>1120</v>
      </c>
    </row>
    <row r="33" spans="2:7" ht="15" customHeight="1">
      <c r="B33" s="209" t="s">
        <v>1118</v>
      </c>
      <c r="C33" s="209" t="s">
        <v>1123</v>
      </c>
      <c r="D33" s="210">
        <v>230000</v>
      </c>
      <c r="E33" s="210">
        <v>50000</v>
      </c>
      <c r="F33" s="210">
        <v>50000</v>
      </c>
      <c r="G33" s="208" t="s">
        <v>1120</v>
      </c>
    </row>
    <row r="34" spans="2:7" ht="15" customHeight="1">
      <c r="B34" s="209" t="s">
        <v>1124</v>
      </c>
      <c r="C34" s="209" t="s">
        <v>1104</v>
      </c>
      <c r="D34" s="210">
        <v>19000</v>
      </c>
      <c r="E34" s="210">
        <v>10000</v>
      </c>
      <c r="F34" s="210">
        <v>8000</v>
      </c>
      <c r="G34" s="208" t="s">
        <v>1125</v>
      </c>
    </row>
    <row r="35" spans="2:7" ht="15" customHeight="1">
      <c r="B35" s="209" t="s">
        <v>1124</v>
      </c>
      <c r="C35" s="209" t="s">
        <v>932</v>
      </c>
      <c r="D35" s="210">
        <v>8000</v>
      </c>
      <c r="E35" s="210">
        <v>4000</v>
      </c>
      <c r="F35" s="210">
        <v>2000</v>
      </c>
      <c r="G35" s="208" t="s">
        <v>1105</v>
      </c>
    </row>
    <row r="36" spans="2:7" ht="15" customHeight="1">
      <c r="B36" s="209" t="s">
        <v>1126</v>
      </c>
      <c r="C36" s="209" t="s">
        <v>1104</v>
      </c>
      <c r="D36" s="210">
        <v>4000</v>
      </c>
      <c r="E36" s="210">
        <v>3000</v>
      </c>
      <c r="F36" s="210">
        <v>3000</v>
      </c>
      <c r="G36" s="208" t="s">
        <v>1105</v>
      </c>
    </row>
    <row r="37" spans="2:7" ht="15" customHeight="1">
      <c r="B37" s="209"/>
      <c r="C37" s="209"/>
      <c r="D37" s="210"/>
      <c r="E37" s="210"/>
      <c r="F37" s="210"/>
      <c r="G37" s="208"/>
    </row>
    <row r="38" spans="2:7" ht="15" customHeight="1">
      <c r="B38" s="97"/>
      <c r="C38" s="211" t="s">
        <v>91</v>
      </c>
      <c r="D38" s="212">
        <f>SUM(D8:D37)</f>
        <v>830433</v>
      </c>
      <c r="E38" s="212">
        <f>SUM(E8:E37)</f>
        <v>777850</v>
      </c>
      <c r="F38" s="212">
        <f>SUM(F8:F37)</f>
        <v>797068</v>
      </c>
      <c r="G38" s="213"/>
    </row>
    <row r="39" spans="2:7" ht="15" customHeight="1">
      <c r="B39" s="97"/>
      <c r="C39" s="214" t="s">
        <v>269</v>
      </c>
      <c r="D39" s="153"/>
      <c r="E39" s="215"/>
      <c r="F39" s="215"/>
      <c r="G39" s="213"/>
    </row>
    <row r="40" spans="2:7" ht="15" customHeight="1">
      <c r="B40" s="97"/>
      <c r="C40" s="211" t="s">
        <v>270</v>
      </c>
      <c r="D40" s="212">
        <f>D38</f>
        <v>830433</v>
      </c>
      <c r="E40" s="212">
        <f>SUM(E38-E39)</f>
        <v>777850</v>
      </c>
      <c r="F40" s="212">
        <f>SUM(F38-F39)</f>
        <v>797068</v>
      </c>
      <c r="G40" s="213"/>
    </row>
    <row r="41" spans="2:7" ht="15" customHeight="1">
      <c r="B41" s="97"/>
      <c r="C41" s="97"/>
      <c r="D41" s="97"/>
      <c r="E41" s="97"/>
      <c r="F41" s="97"/>
      <c r="G41" s="97"/>
    </row>
    <row r="42" spans="2:7" ht="15" customHeight="1">
      <c r="B42" s="97"/>
      <c r="C42" s="97"/>
      <c r="D42" s="97"/>
      <c r="E42" s="97"/>
      <c r="F42" s="97"/>
      <c r="G42" s="97"/>
    </row>
    <row r="43" spans="2:7" ht="15" customHeight="1">
      <c r="B43" s="340" t="s">
        <v>586</v>
      </c>
      <c r="C43" s="341" t="str">
        <f>CONCATENATE("Adjustments are required only if the transfer is being made in ",E7," and/or ",F7," from a non-budgeted fund.")</f>
        <v>Adjustments are required only if the transfer is being made in 2012 and/or 2013 from a non-budgeted fund.</v>
      </c>
      <c r="D43" s="97"/>
      <c r="E43" s="97"/>
      <c r="F43" s="97"/>
      <c r="G43" s="97"/>
    </row>
    <row r="44" ht="15" customHeight="1"/>
  </sheetData>
  <sheetProtection/>
  <mergeCells count="1">
    <mergeCell ref="B3:G3"/>
  </mergeCells>
  <printOptions/>
  <pageMargins left="0.75" right="0.75" top="1" bottom="1" header="0.5" footer="0.5"/>
  <pageSetup blackAndWhite="1" horizontalDpi="600" verticalDpi="600" orientation="landscape" scale="71" r:id="rId1"/>
  <headerFooter alignWithMargins="0">
    <oddHeader>&amp;RState of Kansas
City</oddHeader>
    <oddFooter>&amp;CPage No. 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B1">
      <selection activeCell="B36" sqref="B36"/>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4" t="str">
        <f>inputPrYr!$D$2</f>
        <v>CITY OF ELLSWORTH</v>
      </c>
      <c r="C1" s="47"/>
      <c r="D1" s="47"/>
      <c r="E1" s="47"/>
      <c r="F1" s="47"/>
      <c r="G1" s="47"/>
      <c r="H1" s="47"/>
      <c r="I1" s="47"/>
      <c r="J1" s="47"/>
      <c r="K1" s="47"/>
      <c r="L1" s="47"/>
      <c r="M1" s="216">
        <f>inputPrYr!$C$5</f>
        <v>2013</v>
      </c>
    </row>
    <row r="2" spans="2:13" ht="15.75">
      <c r="B2" s="194"/>
      <c r="C2" s="47"/>
      <c r="D2" s="47"/>
      <c r="E2" s="47"/>
      <c r="F2" s="47"/>
      <c r="G2" s="47"/>
      <c r="H2" s="47"/>
      <c r="I2" s="47"/>
      <c r="J2" s="47"/>
      <c r="K2" s="47"/>
      <c r="L2" s="47"/>
      <c r="M2" s="166"/>
    </row>
    <row r="3" spans="2:13" ht="15.75">
      <c r="B3" s="217" t="s">
        <v>169</v>
      </c>
      <c r="C3" s="56"/>
      <c r="D3" s="56"/>
      <c r="E3" s="56"/>
      <c r="F3" s="56"/>
      <c r="G3" s="56"/>
      <c r="H3" s="56"/>
      <c r="I3" s="56"/>
      <c r="J3" s="56"/>
      <c r="K3" s="56"/>
      <c r="L3" s="56"/>
      <c r="M3" s="56"/>
    </row>
    <row r="4" spans="2:13" ht="10.5" customHeight="1">
      <c r="B4" s="47"/>
      <c r="C4" s="218"/>
      <c r="D4" s="218"/>
      <c r="E4" s="218"/>
      <c r="F4" s="218"/>
      <c r="G4" s="218"/>
      <c r="H4" s="218"/>
      <c r="I4" s="218"/>
      <c r="J4" s="218"/>
      <c r="K4" s="218"/>
      <c r="L4" s="218"/>
      <c r="M4" s="218"/>
    </row>
    <row r="5" spans="2:13" ht="18" customHeight="1">
      <c r="B5" s="149"/>
      <c r="C5" s="196" t="s">
        <v>137</v>
      </c>
      <c r="D5" s="196" t="s">
        <v>137</v>
      </c>
      <c r="E5" s="196" t="s">
        <v>151</v>
      </c>
      <c r="F5" s="196"/>
      <c r="G5" s="196" t="s">
        <v>258</v>
      </c>
      <c r="H5" s="47"/>
      <c r="I5" s="47"/>
      <c r="J5" s="219" t="s">
        <v>138</v>
      </c>
      <c r="K5" s="220"/>
      <c r="L5" s="219" t="s">
        <v>138</v>
      </c>
      <c r="M5" s="220"/>
    </row>
    <row r="6" spans="2:13" ht="15.75">
      <c r="B6" s="221" t="s">
        <v>783</v>
      </c>
      <c r="C6" s="221" t="s">
        <v>139</v>
      </c>
      <c r="D6" s="221" t="s">
        <v>259</v>
      </c>
      <c r="E6" s="221" t="s">
        <v>140</v>
      </c>
      <c r="F6" s="221" t="s">
        <v>95</v>
      </c>
      <c r="G6" s="221" t="s">
        <v>260</v>
      </c>
      <c r="H6" s="736" t="s">
        <v>141</v>
      </c>
      <c r="I6" s="737"/>
      <c r="J6" s="738">
        <f>M1-1</f>
        <v>2012</v>
      </c>
      <c r="K6" s="739"/>
      <c r="L6" s="738">
        <f>M1</f>
        <v>2013</v>
      </c>
      <c r="M6" s="739"/>
    </row>
    <row r="7" spans="2:13" ht="15.75">
      <c r="B7" s="197" t="s">
        <v>782</v>
      </c>
      <c r="C7" s="197" t="s">
        <v>142</v>
      </c>
      <c r="D7" s="197" t="s">
        <v>261</v>
      </c>
      <c r="E7" s="197" t="s">
        <v>118</v>
      </c>
      <c r="F7" s="197" t="s">
        <v>143</v>
      </c>
      <c r="G7" s="222" t="str">
        <f>CONCATENATE("Jan 1,",M1-1,"")</f>
        <v>Jan 1,2012</v>
      </c>
      <c r="H7" s="153" t="s">
        <v>151</v>
      </c>
      <c r="I7" s="153" t="s">
        <v>153</v>
      </c>
      <c r="J7" s="153" t="s">
        <v>151</v>
      </c>
      <c r="K7" s="153" t="s">
        <v>153</v>
      </c>
      <c r="L7" s="153" t="s">
        <v>151</v>
      </c>
      <c r="M7" s="153" t="s">
        <v>153</v>
      </c>
    </row>
    <row r="8" spans="2:13" ht="15.75">
      <c r="B8" s="223" t="s">
        <v>144</v>
      </c>
      <c r="C8" s="65"/>
      <c r="D8" s="65"/>
      <c r="E8" s="224"/>
      <c r="F8" s="225"/>
      <c r="G8" s="225"/>
      <c r="H8" s="65"/>
      <c r="I8" s="65"/>
      <c r="J8" s="225"/>
      <c r="K8" s="225"/>
      <c r="L8" s="225"/>
      <c r="M8" s="225"/>
    </row>
    <row r="9" spans="2:13" ht="15.75">
      <c r="B9" s="69" t="s">
        <v>1127</v>
      </c>
      <c r="C9" s="342">
        <v>38565</v>
      </c>
      <c r="D9" s="342">
        <v>42339</v>
      </c>
      <c r="E9" s="226">
        <v>3.99</v>
      </c>
      <c r="F9" s="227">
        <v>2085500</v>
      </c>
      <c r="G9" s="228">
        <v>830000</v>
      </c>
      <c r="H9" s="229" t="s">
        <v>1128</v>
      </c>
      <c r="I9" s="229">
        <v>41244</v>
      </c>
      <c r="J9" s="228">
        <v>55625</v>
      </c>
      <c r="K9" s="227">
        <v>33500</v>
      </c>
      <c r="L9" s="228">
        <v>42990</v>
      </c>
      <c r="M9" s="228">
        <v>335000</v>
      </c>
    </row>
    <row r="10" spans="2:13" ht="15.75">
      <c r="B10" s="69" t="s">
        <v>1133</v>
      </c>
      <c r="C10" s="342">
        <v>40581</v>
      </c>
      <c r="D10" s="342">
        <v>44896</v>
      </c>
      <c r="E10" s="226">
        <v>3.36</v>
      </c>
      <c r="F10" s="227">
        <v>1385000</v>
      </c>
      <c r="G10" s="228">
        <v>1350000</v>
      </c>
      <c r="H10" s="229" t="s">
        <v>1128</v>
      </c>
      <c r="I10" s="229">
        <v>41244</v>
      </c>
      <c r="J10" s="228">
        <v>46328</v>
      </c>
      <c r="K10" s="348" t="s">
        <v>1132</v>
      </c>
      <c r="L10" s="228">
        <v>43178</v>
      </c>
      <c r="M10" s="228">
        <v>105000</v>
      </c>
    </row>
    <row r="11" spans="2:13" ht="15.75">
      <c r="B11" s="69" t="s">
        <v>1134</v>
      </c>
      <c r="C11" s="342">
        <v>40581</v>
      </c>
      <c r="D11" s="342">
        <v>44166</v>
      </c>
      <c r="E11" s="226">
        <v>3.33</v>
      </c>
      <c r="F11" s="227">
        <v>370000</v>
      </c>
      <c r="G11" s="228">
        <v>370000</v>
      </c>
      <c r="H11" s="229" t="s">
        <v>1128</v>
      </c>
      <c r="I11" s="229">
        <v>41244</v>
      </c>
      <c r="J11" s="228">
        <v>12450</v>
      </c>
      <c r="K11" s="228">
        <v>35000</v>
      </c>
      <c r="L11" s="228">
        <v>11400</v>
      </c>
      <c r="M11" s="228">
        <v>40000</v>
      </c>
    </row>
    <row r="12" spans="2:13" ht="15.75">
      <c r="B12" s="69"/>
      <c r="C12" s="342"/>
      <c r="D12" s="342"/>
      <c r="E12" s="226"/>
      <c r="F12" s="227"/>
      <c r="G12" s="228"/>
      <c r="H12" s="229"/>
      <c r="I12" s="229"/>
      <c r="J12" s="228"/>
      <c r="K12" s="228"/>
      <c r="L12" s="228"/>
      <c r="M12" s="228"/>
    </row>
    <row r="13" spans="2:13" ht="15.75">
      <c r="B13" s="69"/>
      <c r="C13" s="342"/>
      <c r="D13" s="342"/>
      <c r="E13" s="226"/>
      <c r="F13" s="227"/>
      <c r="G13" s="228"/>
      <c r="H13" s="229"/>
      <c r="I13" s="229"/>
      <c r="J13" s="228"/>
      <c r="K13" s="228"/>
      <c r="L13" s="228"/>
      <c r="M13" s="228"/>
    </row>
    <row r="14" spans="2:13" ht="15.75">
      <c r="B14" s="69"/>
      <c r="C14" s="342"/>
      <c r="D14" s="342"/>
      <c r="E14" s="226"/>
      <c r="F14" s="227"/>
      <c r="G14" s="228"/>
      <c r="H14" s="229"/>
      <c r="I14" s="229"/>
      <c r="J14" s="228"/>
      <c r="K14" s="228"/>
      <c r="L14" s="228"/>
      <c r="M14" s="228"/>
    </row>
    <row r="15" spans="2:13" ht="15.75">
      <c r="B15" s="69"/>
      <c r="C15" s="342"/>
      <c r="D15" s="342"/>
      <c r="E15" s="226"/>
      <c r="F15" s="227"/>
      <c r="G15" s="228"/>
      <c r="H15" s="229"/>
      <c r="I15" s="229"/>
      <c r="J15" s="228"/>
      <c r="K15" s="228"/>
      <c r="L15" s="228"/>
      <c r="M15" s="228"/>
    </row>
    <row r="16" spans="2:13" ht="15.75">
      <c r="B16" s="69"/>
      <c r="C16" s="342"/>
      <c r="D16" s="342"/>
      <c r="E16" s="226"/>
      <c r="F16" s="227"/>
      <c r="G16" s="228"/>
      <c r="H16" s="229"/>
      <c r="I16" s="229"/>
      <c r="J16" s="228"/>
      <c r="K16" s="228"/>
      <c r="L16" s="228"/>
      <c r="M16" s="228"/>
    </row>
    <row r="17" spans="2:13" ht="15.75">
      <c r="B17" s="69"/>
      <c r="C17" s="342"/>
      <c r="D17" s="342"/>
      <c r="E17" s="226"/>
      <c r="F17" s="227"/>
      <c r="G17" s="228"/>
      <c r="H17" s="229"/>
      <c r="I17" s="229"/>
      <c r="J17" s="228"/>
      <c r="K17" s="228"/>
      <c r="L17" s="228"/>
      <c r="M17" s="228"/>
    </row>
    <row r="18" spans="2:13" ht="15.75">
      <c r="B18" s="69"/>
      <c r="C18" s="342"/>
      <c r="D18" s="342"/>
      <c r="E18" s="226"/>
      <c r="F18" s="227"/>
      <c r="G18" s="228"/>
      <c r="H18" s="229"/>
      <c r="I18" s="229"/>
      <c r="J18" s="228"/>
      <c r="K18" s="228"/>
      <c r="L18" s="228"/>
      <c r="M18" s="228"/>
    </row>
    <row r="19" spans="2:13" ht="15.75">
      <c r="B19" s="69"/>
      <c r="C19" s="342"/>
      <c r="D19" s="342"/>
      <c r="E19" s="226"/>
      <c r="F19" s="227"/>
      <c r="G19" s="228"/>
      <c r="H19" s="229"/>
      <c r="I19" s="229"/>
      <c r="J19" s="228"/>
      <c r="K19" s="228"/>
      <c r="L19" s="228"/>
      <c r="M19" s="228"/>
    </row>
    <row r="20" spans="2:13" ht="15.75">
      <c r="B20" s="230" t="s">
        <v>145</v>
      </c>
      <c r="C20" s="231"/>
      <c r="D20" s="231"/>
      <c r="E20" s="232"/>
      <c r="F20" s="233"/>
      <c r="G20" s="234">
        <f>SUM(G9:G19)</f>
        <v>2550000</v>
      </c>
      <c r="H20" s="235"/>
      <c r="I20" s="235"/>
      <c r="J20" s="234">
        <f>SUM(J9:J19)</f>
        <v>114403</v>
      </c>
      <c r="K20" s="234">
        <f>SUM(K9:K19)</f>
        <v>68500</v>
      </c>
      <c r="L20" s="234">
        <f>SUM(L9:L19)</f>
        <v>97568</v>
      </c>
      <c r="M20" s="234">
        <f>SUM(M9:M19)</f>
        <v>480000</v>
      </c>
    </row>
    <row r="21" spans="2:13" ht="15.75">
      <c r="B21" s="223" t="s">
        <v>146</v>
      </c>
      <c r="C21" s="236"/>
      <c r="D21" s="236"/>
      <c r="E21" s="237"/>
      <c r="F21" s="238"/>
      <c r="G21" s="238"/>
      <c r="H21" s="239"/>
      <c r="I21" s="239"/>
      <c r="J21" s="238"/>
      <c r="K21" s="238"/>
      <c r="L21" s="238"/>
      <c r="M21" s="238"/>
    </row>
    <row r="22" spans="2:13" ht="15.75">
      <c r="B22" s="69" t="s">
        <v>1135</v>
      </c>
      <c r="C22" s="342">
        <v>39321</v>
      </c>
      <c r="D22" s="342">
        <v>47331</v>
      </c>
      <c r="E22" s="226">
        <v>4.82</v>
      </c>
      <c r="F22" s="227">
        <v>1190000</v>
      </c>
      <c r="G22" s="228">
        <v>1125000</v>
      </c>
      <c r="H22" s="229" t="s">
        <v>1136</v>
      </c>
      <c r="I22" s="229">
        <v>41122</v>
      </c>
      <c r="J22" s="228">
        <v>56324</v>
      </c>
      <c r="K22" s="228">
        <v>25000</v>
      </c>
      <c r="L22" s="228">
        <v>55230</v>
      </c>
      <c r="M22" s="228">
        <v>30000</v>
      </c>
    </row>
    <row r="23" spans="2:13" ht="15.75">
      <c r="B23" s="69"/>
      <c r="C23" s="342"/>
      <c r="D23" s="342"/>
      <c r="E23" s="226"/>
      <c r="F23" s="227"/>
      <c r="G23" s="228"/>
      <c r="H23" s="229"/>
      <c r="I23" s="229"/>
      <c r="J23" s="228"/>
      <c r="K23" s="228"/>
      <c r="L23" s="228"/>
      <c r="M23" s="228"/>
    </row>
    <row r="24" spans="2:13" ht="15.75">
      <c r="B24" s="69"/>
      <c r="C24" s="342"/>
      <c r="D24" s="342"/>
      <c r="E24" s="226"/>
      <c r="F24" s="227"/>
      <c r="G24" s="228"/>
      <c r="H24" s="229"/>
      <c r="I24" s="229"/>
      <c r="J24" s="228"/>
      <c r="K24" s="228"/>
      <c r="L24" s="228"/>
      <c r="M24" s="228"/>
    </row>
    <row r="25" spans="2:13" ht="15.75">
      <c r="B25" s="69"/>
      <c r="C25" s="342"/>
      <c r="D25" s="342"/>
      <c r="E25" s="226"/>
      <c r="F25" s="227"/>
      <c r="G25" s="228"/>
      <c r="H25" s="229"/>
      <c r="I25" s="229"/>
      <c r="J25" s="228"/>
      <c r="K25" s="228"/>
      <c r="L25" s="228"/>
      <c r="M25" s="228"/>
    </row>
    <row r="26" spans="2:13" ht="15.75">
      <c r="B26" s="69"/>
      <c r="C26" s="342"/>
      <c r="D26" s="342"/>
      <c r="E26" s="226"/>
      <c r="F26" s="227"/>
      <c r="G26" s="228"/>
      <c r="H26" s="229"/>
      <c r="I26" s="229"/>
      <c r="J26" s="228"/>
      <c r="K26" s="228"/>
      <c r="L26" s="228"/>
      <c r="M26" s="228"/>
    </row>
    <row r="27" spans="2:13" ht="15.75">
      <c r="B27" s="69"/>
      <c r="C27" s="342"/>
      <c r="D27" s="342"/>
      <c r="E27" s="226"/>
      <c r="F27" s="227"/>
      <c r="G27" s="228"/>
      <c r="H27" s="229"/>
      <c r="I27" s="229"/>
      <c r="J27" s="228"/>
      <c r="K27" s="228"/>
      <c r="L27" s="228"/>
      <c r="M27" s="228"/>
    </row>
    <row r="28" spans="2:13" ht="15.75">
      <c r="B28" s="69"/>
      <c r="C28" s="342"/>
      <c r="D28" s="342"/>
      <c r="E28" s="226"/>
      <c r="F28" s="227"/>
      <c r="G28" s="228"/>
      <c r="H28" s="229"/>
      <c r="I28" s="229"/>
      <c r="J28" s="228"/>
      <c r="K28" s="228"/>
      <c r="L28" s="228"/>
      <c r="M28" s="228"/>
    </row>
    <row r="29" spans="2:13" ht="15.75">
      <c r="B29" s="69"/>
      <c r="C29" s="342"/>
      <c r="D29" s="342"/>
      <c r="E29" s="226"/>
      <c r="F29" s="227"/>
      <c r="G29" s="228"/>
      <c r="H29" s="229"/>
      <c r="I29" s="229"/>
      <c r="J29" s="228"/>
      <c r="K29" s="228"/>
      <c r="L29" s="228"/>
      <c r="M29" s="228"/>
    </row>
    <row r="30" spans="2:13" ht="15.75">
      <c r="B30" s="69"/>
      <c r="C30" s="342"/>
      <c r="D30" s="342"/>
      <c r="E30" s="226"/>
      <c r="F30" s="227"/>
      <c r="G30" s="228"/>
      <c r="H30" s="229"/>
      <c r="I30" s="229"/>
      <c r="J30" s="228"/>
      <c r="K30" s="228"/>
      <c r="L30" s="228"/>
      <c r="M30" s="228"/>
    </row>
    <row r="31" spans="2:13" ht="15.75">
      <c r="B31" s="69"/>
      <c r="C31" s="342"/>
      <c r="D31" s="342"/>
      <c r="E31" s="226"/>
      <c r="F31" s="227"/>
      <c r="G31" s="228"/>
      <c r="H31" s="229"/>
      <c r="I31" s="229"/>
      <c r="J31" s="228"/>
      <c r="K31" s="228"/>
      <c r="L31" s="228"/>
      <c r="M31" s="228"/>
    </row>
    <row r="32" spans="2:13" ht="15.75">
      <c r="B32" s="230" t="s">
        <v>147</v>
      </c>
      <c r="C32" s="231"/>
      <c r="D32" s="231"/>
      <c r="E32" s="240"/>
      <c r="F32" s="233"/>
      <c r="G32" s="241">
        <f>SUM(G22:G31)</f>
        <v>1125000</v>
      </c>
      <c r="H32" s="235"/>
      <c r="I32" s="235"/>
      <c r="J32" s="241">
        <f>SUM(J22:J31)</f>
        <v>56324</v>
      </c>
      <c r="K32" s="241">
        <f>SUM(K22:K31)</f>
        <v>25000</v>
      </c>
      <c r="L32" s="234">
        <f>SUM(L22:L31)</f>
        <v>55230</v>
      </c>
      <c r="M32" s="241">
        <f>SUM(M22:M31)</f>
        <v>30000</v>
      </c>
    </row>
    <row r="33" spans="2:13" ht="15.75">
      <c r="B33" s="223" t="s">
        <v>148</v>
      </c>
      <c r="C33" s="236"/>
      <c r="D33" s="236"/>
      <c r="E33" s="237"/>
      <c r="F33" s="238"/>
      <c r="G33" s="242"/>
      <c r="H33" s="239"/>
      <c r="I33" s="239"/>
      <c r="J33" s="238"/>
      <c r="K33" s="238"/>
      <c r="L33" s="238"/>
      <c r="M33" s="238"/>
    </row>
    <row r="34" spans="2:13" ht="15.75">
      <c r="B34" s="69" t="s">
        <v>1129</v>
      </c>
      <c r="C34" s="342">
        <v>39664</v>
      </c>
      <c r="D34" s="342">
        <v>47362</v>
      </c>
      <c r="E34" s="226">
        <v>2.27</v>
      </c>
      <c r="F34" s="227">
        <v>1500000</v>
      </c>
      <c r="G34" s="228">
        <v>1321898.3</v>
      </c>
      <c r="H34" s="229" t="s">
        <v>1130</v>
      </c>
      <c r="I34" s="229">
        <v>41153</v>
      </c>
      <c r="J34" s="228">
        <v>32930</v>
      </c>
      <c r="K34" s="228">
        <v>60950</v>
      </c>
      <c r="L34" s="228">
        <v>31385</v>
      </c>
      <c r="M34" s="228">
        <v>62496</v>
      </c>
    </row>
    <row r="35" spans="2:13" ht="15.75">
      <c r="B35" s="69" t="s">
        <v>1137</v>
      </c>
      <c r="C35" s="342">
        <v>40849</v>
      </c>
      <c r="D35" s="342">
        <v>48153</v>
      </c>
      <c r="E35" s="226">
        <v>4.33</v>
      </c>
      <c r="F35" s="227">
        <v>1200000</v>
      </c>
      <c r="G35" s="228">
        <v>1200000</v>
      </c>
      <c r="H35" s="229" t="s">
        <v>1138</v>
      </c>
      <c r="I35" s="229">
        <v>41183</v>
      </c>
      <c r="J35" s="228">
        <v>51173</v>
      </c>
      <c r="K35" s="228">
        <v>0</v>
      </c>
      <c r="L35" s="228">
        <v>55825</v>
      </c>
      <c r="M35" s="228">
        <v>0</v>
      </c>
    </row>
    <row r="36" spans="2:13" ht="15.75">
      <c r="B36" s="69"/>
      <c r="C36" s="342"/>
      <c r="D36" s="342"/>
      <c r="E36" s="226"/>
      <c r="F36" s="227"/>
      <c r="G36" s="228"/>
      <c r="H36" s="229"/>
      <c r="I36" s="229"/>
      <c r="J36" s="228"/>
      <c r="K36" s="228"/>
      <c r="L36" s="228"/>
      <c r="M36" s="228"/>
    </row>
    <row r="37" spans="2:13" ht="15.75">
      <c r="B37" s="69"/>
      <c r="C37" s="342"/>
      <c r="D37" s="342"/>
      <c r="E37" s="226"/>
      <c r="F37" s="227"/>
      <c r="G37" s="228"/>
      <c r="H37" s="229"/>
      <c r="I37" s="229"/>
      <c r="J37" s="228"/>
      <c r="K37" s="228"/>
      <c r="L37" s="228"/>
      <c r="M37" s="228"/>
    </row>
    <row r="38" spans="2:13" ht="15.75">
      <c r="B38" s="69"/>
      <c r="C38" s="342"/>
      <c r="D38" s="342"/>
      <c r="E38" s="226"/>
      <c r="F38" s="227"/>
      <c r="G38" s="228"/>
      <c r="H38" s="229"/>
      <c r="I38" s="229"/>
      <c r="J38" s="228"/>
      <c r="K38" s="228"/>
      <c r="L38" s="228"/>
      <c r="M38" s="228"/>
    </row>
    <row r="39" spans="2:13" ht="15.75">
      <c r="B39" s="69"/>
      <c r="C39" s="342"/>
      <c r="D39" s="342"/>
      <c r="E39" s="226"/>
      <c r="F39" s="227"/>
      <c r="G39" s="228"/>
      <c r="H39" s="229"/>
      <c r="I39" s="229"/>
      <c r="J39" s="228"/>
      <c r="K39" s="228"/>
      <c r="L39" s="228"/>
      <c r="M39" s="228"/>
    </row>
    <row r="40" spans="2:13" ht="15.75">
      <c r="B40" s="69"/>
      <c r="C40" s="342"/>
      <c r="D40" s="342"/>
      <c r="E40" s="226"/>
      <c r="F40" s="227"/>
      <c r="G40" s="228"/>
      <c r="H40" s="229"/>
      <c r="I40" s="229"/>
      <c r="J40" s="228"/>
      <c r="K40" s="228"/>
      <c r="L40" s="228"/>
      <c r="M40" s="228"/>
    </row>
    <row r="41" spans="2:29" ht="15.75">
      <c r="B41" s="69"/>
      <c r="C41" s="342"/>
      <c r="D41" s="342"/>
      <c r="E41" s="226"/>
      <c r="F41" s="227"/>
      <c r="G41" s="228"/>
      <c r="H41" s="229"/>
      <c r="I41" s="229"/>
      <c r="J41" s="228"/>
      <c r="K41" s="228"/>
      <c r="L41" s="228"/>
      <c r="M41" s="228"/>
      <c r="N41" s="32"/>
      <c r="O41" s="32"/>
      <c r="P41" s="32"/>
      <c r="Q41" s="32"/>
      <c r="R41" s="32"/>
      <c r="S41" s="32"/>
      <c r="T41" s="32"/>
      <c r="U41" s="32"/>
      <c r="V41" s="32"/>
      <c r="W41" s="32"/>
      <c r="X41" s="32"/>
      <c r="Y41" s="32"/>
      <c r="Z41" s="32"/>
      <c r="AA41" s="32"/>
      <c r="AB41" s="32"/>
      <c r="AC41" s="32"/>
    </row>
    <row r="42" spans="2:13" ht="15.75">
      <c r="B42" s="230" t="s">
        <v>262</v>
      </c>
      <c r="C42" s="211"/>
      <c r="D42" s="211"/>
      <c r="E42" s="240"/>
      <c r="F42" s="233"/>
      <c r="G42" s="241">
        <f>SUM(G34:G41)</f>
        <v>2521898.3</v>
      </c>
      <c r="H42" s="233"/>
      <c r="I42" s="233"/>
      <c r="J42" s="241">
        <f>SUM(J34:J41)</f>
        <v>84103</v>
      </c>
      <c r="K42" s="241">
        <f>SUM(K34:K41)</f>
        <v>60950</v>
      </c>
      <c r="L42" s="241">
        <f>SUM(L34:L41)</f>
        <v>87210</v>
      </c>
      <c r="M42" s="241">
        <f>SUM(M34:M41)</f>
        <v>62496</v>
      </c>
    </row>
    <row r="43" spans="2:13" ht="15.75">
      <c r="B43" s="230" t="s">
        <v>149</v>
      </c>
      <c r="C43" s="211"/>
      <c r="D43" s="211"/>
      <c r="E43" s="211"/>
      <c r="F43" s="233"/>
      <c r="G43" s="241">
        <f>SUM(G20+G32+G42)</f>
        <v>6196898.3</v>
      </c>
      <c r="H43" s="233"/>
      <c r="I43" s="233"/>
      <c r="J43" s="241">
        <f>SUM(J20+J32+J42)</f>
        <v>254830</v>
      </c>
      <c r="K43" s="241">
        <f>SUM(K20+K32+K42)</f>
        <v>154450</v>
      </c>
      <c r="L43" s="241">
        <f>SUM(L20+L32+L42)</f>
        <v>240008</v>
      </c>
      <c r="M43" s="241">
        <f>SUM(M20+M32+M42)</f>
        <v>572496</v>
      </c>
    </row>
    <row r="44" spans="2:13" ht="15.75">
      <c r="B44" s="32"/>
      <c r="C44" s="32"/>
      <c r="D44" s="32"/>
      <c r="E44" s="32"/>
      <c r="F44" s="32"/>
      <c r="G44" s="32"/>
      <c r="H44" s="32"/>
      <c r="I44" s="32"/>
      <c r="J44" s="32"/>
      <c r="K44" s="32"/>
      <c r="L44" s="32"/>
      <c r="M44" s="32"/>
    </row>
    <row r="45" spans="6:13" ht="15.75">
      <c r="F45" s="243"/>
      <c r="G45" s="243"/>
      <c r="J45" s="243"/>
      <c r="K45" s="243"/>
      <c r="L45" s="243"/>
      <c r="M45" s="243"/>
    </row>
    <row r="46" spans="6:14" ht="15.75">
      <c r="F46" s="32"/>
      <c r="H46" s="244"/>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mergeCells count="3">
    <mergeCell ref="H6:I6"/>
    <mergeCell ref="J6:K6"/>
    <mergeCell ref="L6:M6"/>
  </mergeCells>
  <printOptions/>
  <pageMargins left="0.25" right="0.25" top="1" bottom="0.5" header="0.5" footer="0.25"/>
  <pageSetup blackAndWhite="1" fitToHeight="1" fitToWidth="1" horizontalDpi="600" verticalDpi="600" orientation="landscape" scale="76" r:id="rId1"/>
  <headerFooter alignWithMargins="0">
    <oddHeader>&amp;RState of Kansas
City</oddHeader>
    <oddFooter>&amp;CPage No. 5</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H10" sqref="H10"/>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ELLSWORTH</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163</v>
      </c>
      <c r="C4" s="8"/>
      <c r="D4" s="8"/>
      <c r="E4" s="8"/>
      <c r="F4" s="8"/>
      <c r="G4" s="8"/>
      <c r="H4" s="8"/>
      <c r="I4" s="8"/>
    </row>
    <row r="5" spans="2:9" ht="15.75">
      <c r="B5" s="4"/>
      <c r="C5" s="16"/>
      <c r="D5" s="16"/>
      <c r="E5" s="16"/>
      <c r="F5" s="16"/>
      <c r="G5" s="16"/>
      <c r="H5" s="16"/>
      <c r="I5" s="16"/>
    </row>
    <row r="6" spans="2:9" ht="15.75">
      <c r="B6" s="9"/>
      <c r="C6" s="9"/>
      <c r="D6" s="9"/>
      <c r="E6" s="9"/>
      <c r="F6" s="12" t="s">
        <v>75</v>
      </c>
      <c r="G6" s="9"/>
      <c r="H6" s="9"/>
      <c r="I6" s="9"/>
    </row>
    <row r="7" spans="2:9" ht="15.75">
      <c r="B7" s="534"/>
      <c r="C7" s="13"/>
      <c r="D7" s="13" t="s">
        <v>150</v>
      </c>
      <c r="E7" s="13" t="s">
        <v>151</v>
      </c>
      <c r="F7" s="13" t="s">
        <v>95</v>
      </c>
      <c r="G7" s="13" t="s">
        <v>153</v>
      </c>
      <c r="H7" s="13" t="s">
        <v>154</v>
      </c>
      <c r="I7" s="13" t="s">
        <v>154</v>
      </c>
    </row>
    <row r="8" spans="2:9" ht="15.75">
      <c r="B8" s="13" t="s">
        <v>785</v>
      </c>
      <c r="C8" s="13" t="s">
        <v>155</v>
      </c>
      <c r="D8" s="13" t="s">
        <v>156</v>
      </c>
      <c r="E8" s="13" t="s">
        <v>140</v>
      </c>
      <c r="F8" s="13" t="s">
        <v>157</v>
      </c>
      <c r="G8" s="13" t="s">
        <v>202</v>
      </c>
      <c r="H8" s="13" t="s">
        <v>158</v>
      </c>
      <c r="I8" s="13" t="s">
        <v>158</v>
      </c>
    </row>
    <row r="9" spans="2:9" ht="15.75">
      <c r="B9" s="14" t="s">
        <v>784</v>
      </c>
      <c r="C9" s="14" t="s">
        <v>137</v>
      </c>
      <c r="D9" s="18" t="s">
        <v>159</v>
      </c>
      <c r="E9" s="14" t="s">
        <v>118</v>
      </c>
      <c r="F9" s="18" t="s">
        <v>227</v>
      </c>
      <c r="G9" s="15" t="str">
        <f>CONCATENATE("Jan 1,",I1-1,"")</f>
        <v>Jan 1,2012</v>
      </c>
      <c r="H9" s="14">
        <f>I1-1</f>
        <v>2012</v>
      </c>
      <c r="I9" s="14">
        <f>I1</f>
        <v>2013</v>
      </c>
    </row>
    <row r="10" spans="2:9" ht="15.75">
      <c r="B10" s="3" t="s">
        <v>1131</v>
      </c>
      <c r="C10" s="28">
        <v>38549</v>
      </c>
      <c r="D10" s="23">
        <v>96</v>
      </c>
      <c r="E10" s="21">
        <v>4.5</v>
      </c>
      <c r="F10" s="22">
        <v>182282</v>
      </c>
      <c r="G10" s="22">
        <v>66258</v>
      </c>
      <c r="H10" s="22">
        <v>35417</v>
      </c>
      <c r="I10" s="22">
        <v>35417</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637" t="s">
        <v>91</v>
      </c>
      <c r="G28" s="27">
        <f>SUM(G10:G27)</f>
        <v>66258</v>
      </c>
      <c r="H28" s="27">
        <f>SUM(H10:H27)</f>
        <v>35417</v>
      </c>
      <c r="I28" s="27">
        <f>SUM(I10:I27)</f>
        <v>35417</v>
      </c>
    </row>
    <row r="29" spans="2:9" ht="16.5" thickTop="1">
      <c r="B29" s="5"/>
      <c r="C29" s="5"/>
      <c r="D29" s="5"/>
      <c r="E29" s="5"/>
      <c r="F29" s="5"/>
      <c r="G29" s="5"/>
      <c r="H29" s="10"/>
      <c r="I29" s="10"/>
    </row>
    <row r="30" spans="2:9" ht="15.75">
      <c r="B30" s="29" t="s">
        <v>21</v>
      </c>
      <c r="C30" s="30"/>
      <c r="D30" s="30"/>
      <c r="E30" s="30"/>
      <c r="F30" s="30"/>
      <c r="G30" s="30"/>
      <c r="H30" s="10"/>
      <c r="I30" s="10"/>
    </row>
  </sheetData>
  <sheetProtection sheet="1"/>
  <printOptions/>
  <pageMargins left="0.25" right="0.25" top="1" bottom="0.5" header="0.5" footer="0.5"/>
  <pageSetup blackAndWhite="1" fitToHeight="1" fitToWidth="1" horizontalDpi="600" verticalDpi="600" orientation="landscape" scale="86" r:id="rId1"/>
  <headerFooter alignWithMargins="0">
    <oddHeader>&amp;RState of Kansas
City</oddHeader>
    <oddFooter>&amp;CPage No. 6</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E32" sqref="E32"/>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167</v>
      </c>
      <c r="C3" s="198"/>
      <c r="D3" s="198"/>
      <c r="E3" s="284"/>
    </row>
    <row r="4" spans="2:5" ht="15.75">
      <c r="B4" s="52" t="s">
        <v>102</v>
      </c>
      <c r="C4" s="639" t="s">
        <v>862</v>
      </c>
      <c r="D4" s="640" t="s">
        <v>863</v>
      </c>
      <c r="E4" s="141" t="s">
        <v>864</v>
      </c>
    </row>
    <row r="5" spans="2:5" ht="15.75">
      <c r="B5" s="464" t="str">
        <f>inputPrYr!B21</f>
        <v>Fire/Police Equipment</v>
      </c>
      <c r="C5" s="222" t="str">
        <f>CONCATENATE("Actual for ",E1-2,"")</f>
        <v>Actual for 2011</v>
      </c>
      <c r="D5" s="222" t="str">
        <f>CONCATENATE("Estimate for ",E1-1,"")</f>
        <v>Estimate for 2012</v>
      </c>
      <c r="E5" s="205" t="str">
        <f>CONCATENATE("Year for ",E1,"")</f>
        <v>Year for 2013</v>
      </c>
    </row>
    <row r="6" spans="2:5" ht="15.75">
      <c r="B6" s="249" t="s">
        <v>221</v>
      </c>
      <c r="C6" s="254">
        <v>9991</v>
      </c>
      <c r="D6" s="252">
        <f>C34</f>
        <v>8155</v>
      </c>
      <c r="E6" s="225">
        <f>D34</f>
        <v>0</v>
      </c>
    </row>
    <row r="7" spans="2:5" ht="15.75">
      <c r="B7" s="253" t="s">
        <v>223</v>
      </c>
      <c r="C7" s="156"/>
      <c r="D7" s="156"/>
      <c r="E7" s="86"/>
    </row>
    <row r="8" spans="2:5" ht="15.75">
      <c r="B8" s="147" t="s">
        <v>103</v>
      </c>
      <c r="C8" s="254">
        <v>3449</v>
      </c>
      <c r="D8" s="252">
        <v>36102</v>
      </c>
      <c r="E8" s="282" t="s">
        <v>92</v>
      </c>
    </row>
    <row r="9" spans="2:5" ht="15.75">
      <c r="B9" s="147" t="s">
        <v>104</v>
      </c>
      <c r="C9" s="254">
        <v>189</v>
      </c>
      <c r="D9" s="254">
        <v>107</v>
      </c>
      <c r="E9" s="67">
        <v>200</v>
      </c>
    </row>
    <row r="10" spans="2:5" ht="15.75">
      <c r="B10" s="147" t="s">
        <v>105</v>
      </c>
      <c r="C10" s="254">
        <v>2309</v>
      </c>
      <c r="D10" s="254">
        <v>4400</v>
      </c>
      <c r="E10" s="225">
        <v>3500</v>
      </c>
    </row>
    <row r="11" spans="2:5" ht="15.75">
      <c r="B11" s="147" t="s">
        <v>106</v>
      </c>
      <c r="C11" s="254">
        <v>47</v>
      </c>
      <c r="D11" s="254">
        <v>100</v>
      </c>
      <c r="E11" s="225">
        <v>60</v>
      </c>
    </row>
    <row r="12" spans="2:5" ht="15.75">
      <c r="B12" s="156" t="s">
        <v>199</v>
      </c>
      <c r="C12" s="254">
        <v>17</v>
      </c>
      <c r="D12" s="254">
        <v>200</v>
      </c>
      <c r="E12" s="225">
        <v>95</v>
      </c>
    </row>
    <row r="13" spans="2:5" ht="15.75">
      <c r="B13" s="67"/>
      <c r="C13" s="254"/>
      <c r="D13" s="254"/>
      <c r="E13" s="67"/>
    </row>
    <row r="14" spans="2:5" ht="15.75">
      <c r="B14" s="67"/>
      <c r="C14" s="254"/>
      <c r="D14" s="254"/>
      <c r="E14" s="67"/>
    </row>
    <row r="15" spans="2:5" ht="15.75">
      <c r="B15" s="270"/>
      <c r="C15" s="254"/>
      <c r="D15" s="254"/>
      <c r="E15" s="67"/>
    </row>
    <row r="16" spans="2:5" ht="15.75">
      <c r="B16" s="270"/>
      <c r="C16" s="254"/>
      <c r="D16" s="254"/>
      <c r="E16" s="67"/>
    </row>
    <row r="17" spans="2:5" ht="15.75">
      <c r="B17" s="258" t="s">
        <v>108</v>
      </c>
      <c r="C17" s="254">
        <v>53</v>
      </c>
      <c r="D17" s="254">
        <v>109</v>
      </c>
      <c r="E17" s="67">
        <v>100</v>
      </c>
    </row>
    <row r="18" spans="2:5" ht="15.75">
      <c r="B18" s="156" t="s">
        <v>14</v>
      </c>
      <c r="C18" s="254"/>
      <c r="D18" s="254"/>
      <c r="E18" s="67"/>
    </row>
    <row r="19" spans="2:5" ht="15.75">
      <c r="B19" s="249" t="s">
        <v>700</v>
      </c>
      <c r="C19" s="259">
        <f>IF(C20*0.1&lt;C18,"Exceed 10% Rule","")</f>
      </c>
      <c r="D19" s="259">
        <f>IF(D20*0.1&lt;D18,"Exceed 10% Rule","")</f>
      </c>
      <c r="E19" s="293">
        <f>IF(E20*0.1+E40&lt;E18,"Exceed 10% Rule","")</f>
      </c>
    </row>
    <row r="20" spans="2:5" ht="15.75">
      <c r="B20" s="261" t="s">
        <v>109</v>
      </c>
      <c r="C20" s="263">
        <f>SUM(C8:C18)</f>
        <v>6064</v>
      </c>
      <c r="D20" s="263">
        <f>SUM(D8:D18)</f>
        <v>41018</v>
      </c>
      <c r="E20" s="264">
        <f>SUM(E8:E18)</f>
        <v>3955</v>
      </c>
    </row>
    <row r="21" spans="2:5" ht="15.75">
      <c r="B21" s="261" t="s">
        <v>110</v>
      </c>
      <c r="C21" s="267">
        <f>C6+C20</f>
        <v>16055</v>
      </c>
      <c r="D21" s="267">
        <f>D6+D20</f>
        <v>49173</v>
      </c>
      <c r="E21" s="82">
        <f>E6+E20</f>
        <v>3955</v>
      </c>
    </row>
    <row r="22" spans="2:5" ht="15.75">
      <c r="B22" s="147" t="s">
        <v>112</v>
      </c>
      <c r="C22" s="271"/>
      <c r="D22" s="271"/>
      <c r="E22" s="65"/>
    </row>
    <row r="23" spans="2:5" ht="15.75">
      <c r="B23" s="270" t="s">
        <v>1006</v>
      </c>
      <c r="C23" s="254">
        <v>0</v>
      </c>
      <c r="D23" s="254">
        <v>0</v>
      </c>
      <c r="E23" s="67">
        <v>0</v>
      </c>
    </row>
    <row r="24" spans="2:10" ht="15.75">
      <c r="B24" s="270" t="s">
        <v>1007</v>
      </c>
      <c r="C24" s="254">
        <v>7900</v>
      </c>
      <c r="D24" s="254">
        <v>49000</v>
      </c>
      <c r="E24" s="67">
        <v>15368</v>
      </c>
      <c r="G24" s="741" t="str">
        <f>CONCATENATE("Desired Carryover Into ",E1+1,"")</f>
        <v>Desired Carryover Into 2014</v>
      </c>
      <c r="H24" s="711"/>
      <c r="I24" s="711"/>
      <c r="J24" s="712"/>
    </row>
    <row r="25" spans="2:10" ht="15.75">
      <c r="B25" s="270"/>
      <c r="C25" s="254"/>
      <c r="D25" s="254" t="s">
        <v>1141</v>
      </c>
      <c r="E25" s="67"/>
      <c r="G25" s="576"/>
      <c r="H25" s="577"/>
      <c r="I25" s="578"/>
      <c r="J25" s="579"/>
    </row>
    <row r="26" spans="2:10" ht="15.75">
      <c r="B26" s="270"/>
      <c r="C26" s="254"/>
      <c r="D26" s="254"/>
      <c r="E26" s="67"/>
      <c r="G26" s="580" t="s">
        <v>688</v>
      </c>
      <c r="H26" s="578"/>
      <c r="I26" s="578"/>
      <c r="J26" s="581">
        <v>0</v>
      </c>
    </row>
    <row r="27" spans="2:10" ht="15.75">
      <c r="B27" s="270"/>
      <c r="C27" s="254"/>
      <c r="D27" s="254"/>
      <c r="E27" s="67"/>
      <c r="G27" s="576" t="s">
        <v>689</v>
      </c>
      <c r="H27" s="577"/>
      <c r="I27" s="577"/>
      <c r="J27" s="582">
        <f>IF(J26=0,"",ROUND((J26+E40-G39)/inputOth!E7*1000,3)-G44)</f>
      </c>
    </row>
    <row r="28" spans="2:10" ht="15.75">
      <c r="B28" s="270"/>
      <c r="C28" s="254"/>
      <c r="D28" s="254"/>
      <c r="E28" s="67"/>
      <c r="G28" s="583" t="str">
        <f>CONCATENATE("",E1," Tot Exp/Non-Appr Must Be:")</f>
        <v>2013 Tot Exp/Non-Appr Must Be:</v>
      </c>
      <c r="H28" s="584"/>
      <c r="I28" s="585"/>
      <c r="J28" s="586">
        <f>IF(J26&gt;0,IF(E37&lt;E21,IF(J26=G39,E37,((J26-G39)*(1-D39))+E21),E37+(J26-G39)),0)</f>
        <v>0</v>
      </c>
    </row>
    <row r="29" spans="2:10" ht="15.75">
      <c r="B29" s="270"/>
      <c r="C29" s="254"/>
      <c r="D29" s="254"/>
      <c r="E29" s="67"/>
      <c r="G29" s="587" t="s">
        <v>807</v>
      </c>
      <c r="H29" s="588"/>
      <c r="I29" s="588"/>
      <c r="J29" s="589">
        <f>IF(J26&gt;0,J28-E37,0)</f>
        <v>0</v>
      </c>
    </row>
    <row r="30" spans="2:10" ht="15.75">
      <c r="B30" s="271" t="s">
        <v>13</v>
      </c>
      <c r="C30" s="254"/>
      <c r="D30" s="254">
        <v>173</v>
      </c>
      <c r="E30" s="82">
        <f>nhood!E9</f>
        <v>565</v>
      </c>
      <c r="J30" s="2"/>
    </row>
    <row r="31" spans="2:10" ht="15.75">
      <c r="B31" s="271" t="s">
        <v>14</v>
      </c>
      <c r="C31" s="254"/>
      <c r="D31" s="254"/>
      <c r="E31" s="67">
        <v>973</v>
      </c>
      <c r="G31" s="741" t="str">
        <f>CONCATENATE("Projected Carryover Into ",E1+1,"")</f>
        <v>Projected Carryover Into 2014</v>
      </c>
      <c r="H31" s="742"/>
      <c r="I31" s="742"/>
      <c r="J31" s="743"/>
    </row>
    <row r="32" spans="2:10" ht="15.75">
      <c r="B32" s="271" t="s">
        <v>701</v>
      </c>
      <c r="C32" s="259">
        <f>IF(C33*0.1&lt;C31,"Exceed 10% Rule","")</f>
      </c>
      <c r="D32" s="259">
        <f>IF(D33*0.1&lt;D31,"Exceed 10% Rule","")</f>
      </c>
      <c r="E32" s="293">
        <f>IF(E33*0.1&lt;E31,"Exceed 10% Rule","")</f>
      </c>
      <c r="G32" s="576"/>
      <c r="H32" s="578"/>
      <c r="I32" s="578"/>
      <c r="J32" s="591"/>
    </row>
    <row r="33" spans="2:10" ht="15.75">
      <c r="B33" s="261" t="s">
        <v>116</v>
      </c>
      <c r="C33" s="263">
        <f>SUM(C23:C31)</f>
        <v>7900</v>
      </c>
      <c r="D33" s="263">
        <f>SUM(D23:D31)</f>
        <v>49173</v>
      </c>
      <c r="E33" s="264">
        <f>SUM(E23:E31)</f>
        <v>16906</v>
      </c>
      <c r="G33" s="592">
        <f>D34</f>
        <v>0</v>
      </c>
      <c r="H33" s="559" t="str">
        <f>CONCATENATE("",E1-1," Ending Cash Balance (est.)")</f>
        <v>2012 Ending Cash Balance (est.)</v>
      </c>
      <c r="I33" s="593"/>
      <c r="J33" s="591"/>
    </row>
    <row r="34" spans="2:10" ht="15.75">
      <c r="B34" s="147" t="s">
        <v>222</v>
      </c>
      <c r="C34" s="267">
        <f>C21-C33</f>
        <v>8155</v>
      </c>
      <c r="D34" s="267">
        <f>D21-D33</f>
        <v>0</v>
      </c>
      <c r="E34" s="282" t="s">
        <v>92</v>
      </c>
      <c r="G34" s="592">
        <f>E20</f>
        <v>3955</v>
      </c>
      <c r="H34" s="578" t="str">
        <f>CONCATENATE("",E1," Non-AV Receipts (est.)")</f>
        <v>2013 Non-AV Receipts (est.)</v>
      </c>
      <c r="I34" s="593"/>
      <c r="J34" s="591"/>
    </row>
    <row r="35" spans="2:11" ht="15.75">
      <c r="B35" s="133" t="str">
        <f>CONCATENATE("",E1-2,"/",E1-1," Budget Authority Amount:")</f>
        <v>2011/2012 Budget Authority Amount:</v>
      </c>
      <c r="C35" s="238">
        <f>inputOth!B55</f>
        <v>15954</v>
      </c>
      <c r="D35" s="238">
        <f>inputPrYr!D21</f>
        <v>49185</v>
      </c>
      <c r="E35" s="282" t="s">
        <v>92</v>
      </c>
      <c r="F35" s="273"/>
      <c r="G35" s="594">
        <f>IF(E39&gt;0,E38,E40)</f>
        <v>12951</v>
      </c>
      <c r="H35" s="578" t="str">
        <f>CONCATENATE("",E1," Ad Valorem Tax (est.)")</f>
        <v>2013 Ad Valorem Tax (est.)</v>
      </c>
      <c r="I35" s="593"/>
      <c r="J35" s="572"/>
      <c r="K35" s="568">
        <f>IF(G35=E40,"","Note: Does not include Delinquent Taxes")</f>
      </c>
    </row>
    <row r="36" spans="2:10" ht="15.75">
      <c r="B36" s="133"/>
      <c r="C36" s="705" t="s">
        <v>598</v>
      </c>
      <c r="D36" s="706"/>
      <c r="E36" s="67"/>
      <c r="F36" s="661">
        <f>IF(E33/0.95-E33&lt;E36,"Exceeds 5%","")</f>
      </c>
      <c r="G36" s="592">
        <f>SUM(G33:G35)</f>
        <v>16906</v>
      </c>
      <c r="H36" s="578" t="str">
        <f>CONCATENATE("Total ",E1," Resources Available")</f>
        <v>Total 2013 Resources Available</v>
      </c>
      <c r="I36" s="593"/>
      <c r="J36" s="591"/>
    </row>
    <row r="37" spans="2:10" ht="15.75">
      <c r="B37" s="462" t="str">
        <f>CONCATENATE(C94,"     ",D94)</f>
        <v>     </v>
      </c>
      <c r="C37" s="707" t="s">
        <v>599</v>
      </c>
      <c r="D37" s="708"/>
      <c r="E37" s="225">
        <f>E33+E36</f>
        <v>16906</v>
      </c>
      <c r="G37" s="629"/>
      <c r="H37" s="578"/>
      <c r="I37" s="578"/>
      <c r="J37" s="591"/>
    </row>
    <row r="38" spans="2:10" ht="15.75">
      <c r="B38" s="462" t="str">
        <f>CONCATENATE(C95,"     ",D95)</f>
        <v>     </v>
      </c>
      <c r="C38" s="274"/>
      <c r="D38" s="166" t="s">
        <v>117</v>
      </c>
      <c r="E38" s="82">
        <f>IF(E37-E21&gt;0,E37-E21,0)</f>
        <v>12951</v>
      </c>
      <c r="G38" s="594">
        <f>ROUND(C33*0.05+C33,0)</f>
        <v>8295</v>
      </c>
      <c r="H38" s="578" t="str">
        <f>CONCATENATE("Less ",E1-2," Expenditures + 5%")</f>
        <v>Less 2011 Expenditures + 5%</v>
      </c>
      <c r="I38" s="593"/>
      <c r="J38" s="591"/>
    </row>
    <row r="39" spans="2:10" ht="15.75">
      <c r="B39" s="166"/>
      <c r="C39" s="349" t="s">
        <v>597</v>
      </c>
      <c r="D39" s="651">
        <f>inputOth!$E$39</f>
        <v>0</v>
      </c>
      <c r="E39" s="225">
        <f>ROUND(IF(D39&gt;0,(E38*D39),0),0)</f>
        <v>0</v>
      </c>
      <c r="G39" s="630">
        <f>G36-G38</f>
        <v>8611</v>
      </c>
      <c r="H39" s="631" t="str">
        <f>CONCATENATE("Projected ",E1+1," carryover (est.)")</f>
        <v>Projected 2014 carryover (est.)</v>
      </c>
      <c r="I39" s="632"/>
      <c r="J39" s="604"/>
    </row>
    <row r="40" spans="2:10" ht="16.5" thickBot="1">
      <c r="B40" s="166"/>
      <c r="C40" s="709" t="str">
        <f>CONCATENATE("Amount of  ",$E$1-1," Ad Valorem Tax")</f>
        <v>Amount of  2012 Ad Valorem Tax</v>
      </c>
      <c r="D40" s="710"/>
      <c r="E40" s="575">
        <f>E38+E39</f>
        <v>12951</v>
      </c>
      <c r="G40" s="2"/>
      <c r="H40" s="2"/>
      <c r="I40" s="2"/>
      <c r="J40" s="2"/>
    </row>
    <row r="41" spans="2:10" ht="16.5" thickTop="1">
      <c r="B41" s="47"/>
      <c r="C41" s="709"/>
      <c r="D41" s="740"/>
      <c r="E41" s="76"/>
      <c r="G41" s="713" t="s">
        <v>806</v>
      </c>
      <c r="H41" s="714"/>
      <c r="I41" s="714"/>
      <c r="J41" s="715"/>
    </row>
    <row r="42" spans="2:10" ht="15.75">
      <c r="B42" s="52"/>
      <c r="C42" s="285"/>
      <c r="D42" s="285"/>
      <c r="E42" s="285"/>
      <c r="G42" s="558"/>
      <c r="H42" s="559"/>
      <c r="I42" s="560"/>
      <c r="J42" s="561"/>
    </row>
    <row r="43" spans="2:10" ht="15.75">
      <c r="B43" s="52" t="s">
        <v>102</v>
      </c>
      <c r="C43" s="639" t="s">
        <v>862</v>
      </c>
      <c r="D43" s="640" t="s">
        <v>863</v>
      </c>
      <c r="E43" s="141" t="s">
        <v>864</v>
      </c>
      <c r="G43" s="562">
        <f>summ!H18</f>
        <v>1.04</v>
      </c>
      <c r="H43" s="559" t="str">
        <f>CONCATENATE("",E1," Fund Mill Rate")</f>
        <v>2013 Fund Mill Rate</v>
      </c>
      <c r="I43" s="560"/>
      <c r="J43" s="561"/>
    </row>
    <row r="44" spans="2:10" ht="15.75">
      <c r="B44" s="464">
        <f>(inputPrYr!B22)</f>
        <v>0</v>
      </c>
      <c r="C44" s="222" t="str">
        <f>CONCATENATE("Actual for ",E1-2,"")</f>
        <v>Actual for 2011</v>
      </c>
      <c r="D44" s="222" t="str">
        <f>CONCATENATE("Estimate for ",E1-1,"")</f>
        <v>Estimate for 2012</v>
      </c>
      <c r="E44" s="205" t="str">
        <f>CONCATENATE("Year for ",E1,"")</f>
        <v>Year for 2013</v>
      </c>
      <c r="G44" s="563">
        <f>summ!E18</f>
        <v>3.13</v>
      </c>
      <c r="H44" s="559" t="str">
        <f>CONCATENATE("",E1-1," Fund Mill Rate")</f>
        <v>2012 Fund Mill Rate</v>
      </c>
      <c r="I44" s="560"/>
      <c r="J44" s="561"/>
    </row>
    <row r="45" spans="2:10" ht="15.75">
      <c r="B45" s="249" t="s">
        <v>221</v>
      </c>
      <c r="C45" s="254"/>
      <c r="D45" s="252">
        <f>C74</f>
        <v>0</v>
      </c>
      <c r="E45" s="225">
        <f>D74</f>
        <v>0</v>
      </c>
      <c r="G45" s="564">
        <f>summ!H42</f>
        <v>74.608</v>
      </c>
      <c r="H45" s="559" t="str">
        <f>CONCATENATE("Total ",E1," Mill Rate")</f>
        <v>Total 2013 Mill Rate</v>
      </c>
      <c r="I45" s="560"/>
      <c r="J45" s="561"/>
    </row>
    <row r="46" spans="2:10" ht="15.75">
      <c r="B46" s="253" t="s">
        <v>223</v>
      </c>
      <c r="C46" s="156"/>
      <c r="D46" s="156"/>
      <c r="E46" s="86"/>
      <c r="G46" s="563">
        <f>summ!E42</f>
        <v>74.60799999999999</v>
      </c>
      <c r="H46" s="565" t="str">
        <f>CONCATENATE("Total ",E1-1," Mill Rate")</f>
        <v>Total 2012 Mill Rate</v>
      </c>
      <c r="I46" s="566"/>
      <c r="J46" s="567"/>
    </row>
    <row r="47" spans="2:5" ht="15.75">
      <c r="B47" s="147" t="s">
        <v>103</v>
      </c>
      <c r="C47" s="254"/>
      <c r="D47" s="252">
        <f>IF(inputPrYr!H16&gt;0,inputPrYr!G22,inputPrYr!E22)</f>
        <v>0</v>
      </c>
      <c r="E47" s="282" t="s">
        <v>92</v>
      </c>
    </row>
    <row r="48" spans="2:5" ht="15.75">
      <c r="B48" s="147" t="s">
        <v>104</v>
      </c>
      <c r="C48" s="254"/>
      <c r="D48" s="254"/>
      <c r="E48" s="67"/>
    </row>
    <row r="49" spans="2:5" ht="15.75">
      <c r="B49" s="147" t="s">
        <v>105</v>
      </c>
      <c r="C49" s="254"/>
      <c r="D49" s="254"/>
      <c r="E49" s="225" t="str">
        <f>mvalloc!D11</f>
        <v>  </v>
      </c>
    </row>
    <row r="50" spans="2:5" ht="15.75">
      <c r="B50" s="147" t="s">
        <v>106</v>
      </c>
      <c r="C50" s="254"/>
      <c r="D50" s="254"/>
      <c r="E50" s="225" t="str">
        <f>mvalloc!E11</f>
        <v> </v>
      </c>
    </row>
    <row r="51" spans="2:5" ht="15.75">
      <c r="B51" s="156" t="s">
        <v>199</v>
      </c>
      <c r="C51" s="254"/>
      <c r="D51" s="254"/>
      <c r="E51" s="225" t="str">
        <f>mvalloc!F11</f>
        <v> </v>
      </c>
    </row>
    <row r="52" spans="2:5" ht="15.75">
      <c r="B52" s="270"/>
      <c r="C52" s="254"/>
      <c r="D52" s="254"/>
      <c r="E52" s="67"/>
    </row>
    <row r="53" spans="2:5" ht="15.75">
      <c r="B53" s="270"/>
      <c r="C53" s="254"/>
      <c r="D53" s="254"/>
      <c r="E53" s="67"/>
    </row>
    <row r="54" spans="2:5" ht="15.75">
      <c r="B54" s="270"/>
      <c r="C54" s="254"/>
      <c r="D54" s="254"/>
      <c r="E54" s="67"/>
    </row>
    <row r="55" spans="2:5" ht="15.75">
      <c r="B55" s="270"/>
      <c r="C55" s="254"/>
      <c r="D55" s="254"/>
      <c r="E55" s="67"/>
    </row>
    <row r="56" spans="2:5" ht="15.75">
      <c r="B56" s="270"/>
      <c r="C56" s="254"/>
      <c r="D56" s="254"/>
      <c r="E56" s="67"/>
    </row>
    <row r="57" spans="2:5" ht="15.75">
      <c r="B57" s="258" t="s">
        <v>108</v>
      </c>
      <c r="C57" s="254"/>
      <c r="D57" s="254"/>
      <c r="E57" s="67"/>
    </row>
    <row r="58" spans="2:5" ht="15.75">
      <c r="B58" s="156" t="s">
        <v>14</v>
      </c>
      <c r="C58" s="254"/>
      <c r="D58" s="254"/>
      <c r="E58" s="67"/>
    </row>
    <row r="59" spans="2:5" ht="15.75">
      <c r="B59" s="249" t="s">
        <v>700</v>
      </c>
      <c r="C59" s="259">
        <f>IF(C60*0.1&lt;C58,"Exceed 10% Rule","")</f>
      </c>
      <c r="D59" s="259">
        <f>IF(D60*0.1&lt;D58,"Exceed 10% Rule","")</f>
      </c>
      <c r="E59" s="293">
        <f>IF(E60*0.1+E80&lt;E58,"Exceed 10% Rule","")</f>
      </c>
    </row>
    <row r="60" spans="2:5" ht="15.75">
      <c r="B60" s="261" t="s">
        <v>109</v>
      </c>
      <c r="C60" s="263">
        <f>SUM(C47:C58)</f>
        <v>0</v>
      </c>
      <c r="D60" s="263">
        <f>SUM(D47:D58)</f>
        <v>0</v>
      </c>
      <c r="E60" s="264">
        <f>SUM(E47:E58)</f>
        <v>0</v>
      </c>
    </row>
    <row r="61" spans="2:5" ht="15.75">
      <c r="B61" s="261" t="s">
        <v>110</v>
      </c>
      <c r="C61" s="263">
        <f>C45+C60</f>
        <v>0</v>
      </c>
      <c r="D61" s="263">
        <f>D45+D60</f>
        <v>0</v>
      </c>
      <c r="E61" s="264">
        <f>E45+E60</f>
        <v>0</v>
      </c>
    </row>
    <row r="62" spans="2:5" ht="15.75">
      <c r="B62" s="147" t="s">
        <v>112</v>
      </c>
      <c r="C62" s="271"/>
      <c r="D62" s="271"/>
      <c r="E62" s="65"/>
    </row>
    <row r="63" spans="2:5" ht="15.75">
      <c r="B63" s="270"/>
      <c r="C63" s="254"/>
      <c r="D63" s="254"/>
      <c r="E63" s="67"/>
    </row>
    <row r="64" spans="2:10" ht="15.75">
      <c r="B64" s="270"/>
      <c r="C64" s="254"/>
      <c r="D64" s="254"/>
      <c r="E64" s="67"/>
      <c r="G64" s="741" t="str">
        <f>CONCATENATE("Desired Carryover Into ",E1+1,"")</f>
        <v>Desired Carryover Into 2014</v>
      </c>
      <c r="H64" s="711"/>
      <c r="I64" s="711"/>
      <c r="J64" s="712"/>
    </row>
    <row r="65" spans="2:10" ht="15.75">
      <c r="B65" s="270"/>
      <c r="C65" s="254"/>
      <c r="D65" s="254"/>
      <c r="E65" s="67"/>
      <c r="G65" s="576"/>
      <c r="H65" s="577"/>
      <c r="I65" s="578"/>
      <c r="J65" s="579"/>
    </row>
    <row r="66" spans="2:10" ht="15.75">
      <c r="B66" s="270"/>
      <c r="C66" s="254"/>
      <c r="D66" s="254"/>
      <c r="E66" s="67"/>
      <c r="G66" s="580" t="s">
        <v>688</v>
      </c>
      <c r="H66" s="578"/>
      <c r="I66" s="578"/>
      <c r="J66" s="581">
        <v>0</v>
      </c>
    </row>
    <row r="67" spans="2:10" ht="15.75">
      <c r="B67" s="270"/>
      <c r="C67" s="254"/>
      <c r="D67" s="254"/>
      <c r="E67" s="67"/>
      <c r="G67" s="576" t="s">
        <v>689</v>
      </c>
      <c r="H67" s="577"/>
      <c r="I67" s="577"/>
      <c r="J67" s="582">
        <f>IF(J66=0,"",ROUND((J66+E80-G79)/inputOth!E7*1000,3)-G84)</f>
      </c>
    </row>
    <row r="68" spans="2:10" ht="15.75">
      <c r="B68" s="270"/>
      <c r="C68" s="254"/>
      <c r="D68" s="254"/>
      <c r="E68" s="67"/>
      <c r="G68" s="583" t="str">
        <f>CONCATENATE("",E1," Tot Exp/Non-Appr Must Be:")</f>
        <v>2013 Tot Exp/Non-Appr Must Be:</v>
      </c>
      <c r="H68" s="584"/>
      <c r="I68" s="585"/>
      <c r="J68" s="586">
        <f>IF(J66&gt;0,IF(E77&lt;E61,IF(J66=G79,E77,((J66-G79)*(1-D79))+E61),E77+(J66-G79)),0)</f>
        <v>0</v>
      </c>
    </row>
    <row r="69" spans="2:10" ht="15.75">
      <c r="B69" s="270"/>
      <c r="C69" s="254"/>
      <c r="D69" s="254"/>
      <c r="E69" s="67"/>
      <c r="G69" s="587" t="s">
        <v>807</v>
      </c>
      <c r="H69" s="588"/>
      <c r="I69" s="588"/>
      <c r="J69" s="589">
        <f>IF(J66&gt;0,J68-E77,0)</f>
        <v>0</v>
      </c>
    </row>
    <row r="70" spans="2:10" ht="15.75">
      <c r="B70" s="271" t="s">
        <v>13</v>
      </c>
      <c r="C70" s="254"/>
      <c r="D70" s="254"/>
      <c r="E70" s="82">
        <f>nhood!E10</f>
      </c>
      <c r="J70" s="2"/>
    </row>
    <row r="71" spans="2:10" ht="15.75">
      <c r="B71" s="271" t="s">
        <v>14</v>
      </c>
      <c r="C71" s="254"/>
      <c r="D71" s="254"/>
      <c r="E71" s="67"/>
      <c r="G71" s="741" t="str">
        <f>CONCATENATE("Projected Carryover Into ",E1+1,"")</f>
        <v>Projected Carryover Into 2014</v>
      </c>
      <c r="H71" s="744"/>
      <c r="I71" s="744"/>
      <c r="J71" s="743"/>
    </row>
    <row r="72" spans="2:10" ht="15.75">
      <c r="B72" s="271" t="s">
        <v>701</v>
      </c>
      <c r="C72" s="259">
        <f>IF(C73*0.1&lt;C71,"Exceed 10% Rule","")</f>
      </c>
      <c r="D72" s="259">
        <f>IF(D73*0.1&lt;D71,"Exceed 10% Rule","")</f>
      </c>
      <c r="E72" s="293">
        <f>IF(E73*0.1&lt;E71,"Exceed 10% Rule","")</f>
      </c>
      <c r="G72" s="590"/>
      <c r="H72" s="577"/>
      <c r="I72" s="577"/>
      <c r="J72" s="597"/>
    </row>
    <row r="73" spans="2:10" ht="15.75">
      <c r="B73" s="261" t="s">
        <v>116</v>
      </c>
      <c r="C73" s="263">
        <f>SUM(C63:C71)</f>
        <v>0</v>
      </c>
      <c r="D73" s="263">
        <f>SUM(D63:D71)</f>
        <v>0</v>
      </c>
      <c r="E73" s="264">
        <f>SUM(E63:E71)</f>
        <v>0</v>
      </c>
      <c r="G73" s="592">
        <f>D74</f>
        <v>0</v>
      </c>
      <c r="H73" s="559" t="str">
        <f>CONCATENATE("",E1-1," Ending Cash Balance (est.)")</f>
        <v>2012 Ending Cash Balance (est.)</v>
      </c>
      <c r="I73" s="593"/>
      <c r="J73" s="597"/>
    </row>
    <row r="74" spans="2:10" ht="15.75">
      <c r="B74" s="147" t="s">
        <v>222</v>
      </c>
      <c r="C74" s="267">
        <f>C61-C73</f>
        <v>0</v>
      </c>
      <c r="D74" s="267">
        <f>D61-D73</f>
        <v>0</v>
      </c>
      <c r="E74" s="282" t="s">
        <v>92</v>
      </c>
      <c r="G74" s="592">
        <f>E60</f>
        <v>0</v>
      </c>
      <c r="H74" s="578" t="str">
        <f>CONCATENATE("",E1," Non-AV Receipts (est.)")</f>
        <v>2013 Non-AV Receipts (est.)</v>
      </c>
      <c r="I74" s="593"/>
      <c r="J74" s="597"/>
    </row>
    <row r="75" spans="2:11" ht="15.75">
      <c r="B75" s="133" t="str">
        <f>CONCATENATE("",E1-2,"/",E1-1," Budget Authority Amount:")</f>
        <v>2011/2012 Budget Authority Amount:</v>
      </c>
      <c r="C75" s="238" t="e">
        <f>inputOth!#REF!</f>
        <v>#REF!</v>
      </c>
      <c r="D75" s="238">
        <f>inputPrYr!D22</f>
        <v>0</v>
      </c>
      <c r="E75" s="282" t="s">
        <v>92</v>
      </c>
      <c r="F75" s="273"/>
      <c r="G75" s="594">
        <f>IF(D79&gt;0,E78,E80)</f>
        <v>0</v>
      </c>
      <c r="H75" s="578" t="str">
        <f>CONCATENATE("",E1," Ad Valorem Tax (est.)")</f>
        <v>2013 Ad Valorem Tax (est.)</v>
      </c>
      <c r="I75" s="593"/>
      <c r="J75" s="597"/>
      <c r="K75" s="568">
        <f>IF(G75=E80,"","Note: Does not include Delinquent Taxes")</f>
      </c>
    </row>
    <row r="76" spans="2:10" ht="15.75">
      <c r="B76" s="133"/>
      <c r="C76" s="705" t="s">
        <v>598</v>
      </c>
      <c r="D76" s="706"/>
      <c r="E76" s="67"/>
      <c r="F76" s="661">
        <f>IF(E73/0.95-E73&lt;E76,"Exceeds 5%","")</f>
      </c>
      <c r="G76" s="596">
        <f>SUM(G73:G75)</f>
        <v>0</v>
      </c>
      <c r="H76" s="578" t="str">
        <f>CONCATENATE("Total ",E1," Resources Available")</f>
        <v>Total 2013 Resources Available</v>
      </c>
      <c r="I76" s="597"/>
      <c r="J76" s="597"/>
    </row>
    <row r="77" spans="2:10" ht="15.75">
      <c r="B77" s="462" t="e">
        <f>CONCATENATE(C96,"     ",D96)</f>
        <v>#REF!</v>
      </c>
      <c r="C77" s="707" t="s">
        <v>599</v>
      </c>
      <c r="D77" s="708"/>
      <c r="E77" s="225">
        <f>E73+E76</f>
        <v>0</v>
      </c>
      <c r="G77" s="598"/>
      <c r="H77" s="599"/>
      <c r="I77" s="577"/>
      <c r="J77" s="597"/>
    </row>
    <row r="78" spans="2:10" ht="15.75">
      <c r="B78" s="462" t="str">
        <f>CONCATENATE(C97,"     ",D97)</f>
        <v>     </v>
      </c>
      <c r="C78" s="274"/>
      <c r="D78" s="166" t="s">
        <v>117</v>
      </c>
      <c r="E78" s="82">
        <f>IF(E77-E61&gt;0,E77-E61,0)</f>
        <v>0</v>
      </c>
      <c r="G78" s="600">
        <f>ROUND(C73*0.05+C73,0)</f>
        <v>0</v>
      </c>
      <c r="H78" s="599" t="str">
        <f>CONCATENATE("Less ",E1-2," Expenditures + 5%")</f>
        <v>Less 2011 Expenditures + 5%</v>
      </c>
      <c r="I78" s="597"/>
      <c r="J78" s="597"/>
    </row>
    <row r="79" spans="2:10" ht="15.75">
      <c r="B79" s="166"/>
      <c r="C79" s="349" t="s">
        <v>597</v>
      </c>
      <c r="D79" s="651">
        <f>inputOth!$E$39</f>
        <v>0</v>
      </c>
      <c r="E79" s="225">
        <f>ROUND(IF(D79&gt;0,(E78*D79),0),0)</f>
        <v>0</v>
      </c>
      <c r="G79" s="601">
        <f>G76-G78</f>
        <v>0</v>
      </c>
      <c r="H79" s="602" t="str">
        <f>CONCATENATE("Projected ",E1+1," carryover (est.)")</f>
        <v>Projected 2014 carryover (est.)</v>
      </c>
      <c r="I79" s="603"/>
      <c r="J79" s="604"/>
    </row>
    <row r="80" spans="2:9" ht="16.5" thickBot="1">
      <c r="B80" s="47"/>
      <c r="C80" s="709" t="str">
        <f>CONCATENATE("Amount of  ",$E$1-1," Ad Valorem Tax")</f>
        <v>Amount of  2012 Ad Valorem Tax</v>
      </c>
      <c r="D80" s="710"/>
      <c r="E80" s="575">
        <f>E78+E79</f>
        <v>0</v>
      </c>
      <c r="G80" s="2"/>
      <c r="H80" s="2"/>
      <c r="I80" s="2"/>
    </row>
    <row r="81" spans="2:10" ht="16.5" thickTop="1">
      <c r="B81" s="367" t="s">
        <v>119</v>
      </c>
      <c r="C81" s="278">
        <v>10</v>
      </c>
      <c r="D81" s="47"/>
      <c r="E81" s="47"/>
      <c r="G81" s="713" t="s">
        <v>806</v>
      </c>
      <c r="H81" s="714"/>
      <c r="I81" s="714"/>
      <c r="J81" s="715"/>
    </row>
    <row r="82" spans="2:10" ht="15.75">
      <c r="B82" s="32"/>
      <c r="G82" s="558"/>
      <c r="H82" s="559"/>
      <c r="I82" s="560"/>
      <c r="J82" s="561"/>
    </row>
    <row r="83" spans="7:10" ht="15.75">
      <c r="G83" s="562" t="e">
        <f>summ!#REF!</f>
        <v>#REF!</v>
      </c>
      <c r="H83" s="559" t="str">
        <f>CONCATENATE("",E1," Fund Mill Rate")</f>
        <v>2013 Fund Mill Rate</v>
      </c>
      <c r="I83" s="560"/>
      <c r="J83" s="561"/>
    </row>
    <row r="84" spans="7:10" ht="15.75">
      <c r="G84" s="563" t="e">
        <f>summ!#REF!</f>
        <v>#REF!</v>
      </c>
      <c r="H84" s="559" t="str">
        <f>CONCATENATE("",E1-1," Fund Mill Rate")</f>
        <v>2012 Fund Mill Rate</v>
      </c>
      <c r="I84" s="560"/>
      <c r="J84" s="561"/>
    </row>
    <row r="85" spans="7:10" ht="15.75">
      <c r="G85" s="564">
        <f>summ!H42</f>
        <v>74.608</v>
      </c>
      <c r="H85" s="559" t="str">
        <f>CONCATENATE("Total ",E1," Mill Rate")</f>
        <v>Total 2013 Mill Rate</v>
      </c>
      <c r="I85" s="560"/>
      <c r="J85" s="561"/>
    </row>
    <row r="86" spans="7:10" ht="15.75">
      <c r="G86" s="563">
        <f>summ!E42</f>
        <v>74.60799999999999</v>
      </c>
      <c r="H86" s="565" t="str">
        <f>CONCATENATE("Total ",E1-1," Mill Rate")</f>
        <v>Total 2012 Mill Rate</v>
      </c>
      <c r="I86" s="566"/>
      <c r="J86" s="567"/>
    </row>
    <row r="94" spans="3:4" ht="15.75" hidden="1">
      <c r="C94" s="461">
        <f>IF(C33&gt;C35,"See Tab A","")</f>
      </c>
      <c r="D94" s="461">
        <f>IF(D31&gt;D35,"See Tab C","")</f>
      </c>
    </row>
    <row r="95" spans="3:4" ht="15.75" hidden="1">
      <c r="C95" s="461">
        <f>IF(C34&lt;0,"See Tab B","")</f>
      </c>
      <c r="D95" s="461">
        <f>IF(D34&lt;0,"See Tab D","")</f>
      </c>
    </row>
    <row r="96" spans="3:4" ht="15.75" hidden="1">
      <c r="C96" s="461" t="e">
        <f>IF(C71&gt;C75,"See Tab A","")</f>
        <v>#REF!</v>
      </c>
      <c r="D96" s="461">
        <f>IF(D71&gt;D75,"See Tab C","")</f>
      </c>
    </row>
    <row r="97" spans="3:4" ht="15.75" hidden="1">
      <c r="C97" s="461">
        <f>IF(C74&lt;0,"See Tab B","")</f>
      </c>
      <c r="D97" s="461">
        <f>IF(D74&lt;0,"See Tab D","")</f>
      </c>
    </row>
  </sheetData>
  <sheetProtection/>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274" operator="greaterThan" stopIfTrue="1">
      <formula>$E$73*0.1</formula>
    </cfRule>
  </conditionalFormatting>
  <conditionalFormatting sqref="E76">
    <cfRule type="cellIs" priority="4" dxfId="274" operator="greaterThan" stopIfTrue="1">
      <formula>$E$73/0.95-$E$73</formula>
    </cfRule>
  </conditionalFormatting>
  <conditionalFormatting sqref="E31">
    <cfRule type="cellIs" priority="5" dxfId="274" operator="greaterThan" stopIfTrue="1">
      <formula>$E$33*0.1</formula>
    </cfRule>
  </conditionalFormatting>
  <conditionalFormatting sqref="E36">
    <cfRule type="cellIs" priority="6" dxfId="27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274" operator="greaterThan" stopIfTrue="1">
      <formula>$E$20*0.1+E40</formula>
    </cfRule>
  </conditionalFormatting>
  <conditionalFormatting sqref="E58">
    <cfRule type="cellIs" priority="21" dxfId="274"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5"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B1">
      <selection activeCell="E60" sqref="E60"/>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65" t="str">
        <f>inputPrYr!D2</f>
        <v>CITY OF ELLSWORTH</v>
      </c>
      <c r="C1" s="365"/>
      <c r="D1" s="351"/>
      <c r="E1" s="359">
        <f>inputPrYr!C5</f>
        <v>2013</v>
      </c>
    </row>
    <row r="2" spans="2:5" ht="15.75">
      <c r="B2" s="351"/>
      <c r="C2" s="351"/>
      <c r="D2" s="351"/>
      <c r="E2" s="367"/>
    </row>
    <row r="3" spans="2:5" ht="15.75">
      <c r="B3" s="354" t="s">
        <v>167</v>
      </c>
      <c r="C3" s="354"/>
      <c r="D3" s="369"/>
      <c r="E3" s="360"/>
    </row>
    <row r="4" spans="2:5" ht="15.75">
      <c r="B4" s="353" t="s">
        <v>102</v>
      </c>
      <c r="C4" s="639" t="s">
        <v>862</v>
      </c>
      <c r="D4" s="640" t="s">
        <v>863</v>
      </c>
      <c r="E4" s="141" t="s">
        <v>864</v>
      </c>
    </row>
    <row r="5" spans="2:5" ht="15.75">
      <c r="B5" s="396" t="s">
        <v>44</v>
      </c>
      <c r="C5" s="222" t="str">
        <f>CONCATENATE("Actual for ",E1-2,"")</f>
        <v>Actual for 2011</v>
      </c>
      <c r="D5" s="222" t="str">
        <f>CONCATENATE("Estimate for ",E1-1,"")</f>
        <v>Estimate for 2012</v>
      </c>
      <c r="E5" s="205" t="str">
        <f>CONCATENATE("Year for ",E1,"")</f>
        <v>Year for 2013</v>
      </c>
    </row>
    <row r="6" spans="2:5" ht="15.75">
      <c r="B6" s="361" t="s">
        <v>221</v>
      </c>
      <c r="C6" s="392">
        <v>111358</v>
      </c>
      <c r="D6" s="391">
        <f>C35</f>
        <v>35857</v>
      </c>
      <c r="E6" s="362">
        <f>D35</f>
        <v>24252</v>
      </c>
    </row>
    <row r="7" spans="2:5" ht="15.75">
      <c r="B7" s="361" t="s">
        <v>223</v>
      </c>
      <c r="C7" s="363"/>
      <c r="D7" s="391"/>
      <c r="E7" s="362"/>
    </row>
    <row r="8" spans="2:5" ht="15.75">
      <c r="B8" s="361" t="s">
        <v>103</v>
      </c>
      <c r="C8" s="389">
        <v>153747</v>
      </c>
      <c r="D8" s="391">
        <v>138905</v>
      </c>
      <c r="E8" s="378" t="s">
        <v>92</v>
      </c>
    </row>
    <row r="9" spans="2:5" ht="15.75">
      <c r="B9" s="361" t="s">
        <v>104</v>
      </c>
      <c r="C9" s="389">
        <v>2343</v>
      </c>
      <c r="D9" s="393">
        <v>2087</v>
      </c>
      <c r="E9" s="355">
        <v>2300</v>
      </c>
    </row>
    <row r="10" spans="2:5" ht="15.75">
      <c r="B10" s="361" t="s">
        <v>105</v>
      </c>
      <c r="C10" s="389">
        <v>34038</v>
      </c>
      <c r="D10" s="393">
        <v>30000</v>
      </c>
      <c r="E10" s="362">
        <f>mvalloc!D8</f>
        <v>21393</v>
      </c>
    </row>
    <row r="11" spans="2:5" ht="15.75">
      <c r="B11" s="361" t="s">
        <v>106</v>
      </c>
      <c r="C11" s="389">
        <v>694</v>
      </c>
      <c r="D11" s="393">
        <v>450</v>
      </c>
      <c r="E11" s="362">
        <v>417</v>
      </c>
    </row>
    <row r="12" spans="2:5" ht="15.75">
      <c r="B12" s="364" t="s">
        <v>199</v>
      </c>
      <c r="C12" s="389">
        <v>251</v>
      </c>
      <c r="D12" s="393">
        <v>200</v>
      </c>
      <c r="E12" s="362">
        <v>279</v>
      </c>
    </row>
    <row r="13" spans="2:5" ht="15.75">
      <c r="B13" s="380" t="s">
        <v>998</v>
      </c>
      <c r="C13" s="389">
        <v>52822</v>
      </c>
      <c r="D13" s="393">
        <v>52234</v>
      </c>
      <c r="E13" s="355">
        <v>52786</v>
      </c>
    </row>
    <row r="14" spans="2:5" ht="15.75">
      <c r="B14" s="380" t="s">
        <v>965</v>
      </c>
      <c r="C14" s="389">
        <v>0</v>
      </c>
      <c r="D14" s="393">
        <v>22285</v>
      </c>
      <c r="E14" s="355">
        <v>22285</v>
      </c>
    </row>
    <row r="15" spans="2:5" ht="15.75">
      <c r="B15" s="380" t="s">
        <v>999</v>
      </c>
      <c r="C15" s="389">
        <v>89584</v>
      </c>
      <c r="D15" s="393">
        <v>94000</v>
      </c>
      <c r="E15" s="355">
        <v>95000</v>
      </c>
    </row>
    <row r="16" spans="2:5" ht="15.75">
      <c r="B16" s="380" t="s">
        <v>1000</v>
      </c>
      <c r="C16" s="389">
        <v>1870</v>
      </c>
      <c r="D16" s="393"/>
      <c r="E16" s="355"/>
    </row>
    <row r="17" spans="2:5" ht="15.75">
      <c r="B17" s="380" t="s">
        <v>1001</v>
      </c>
      <c r="C17" s="389">
        <v>0</v>
      </c>
      <c r="D17" s="393"/>
      <c r="E17" s="355"/>
    </row>
    <row r="18" spans="2:5" ht="15.75">
      <c r="B18" s="380" t="s">
        <v>1140</v>
      </c>
      <c r="C18" s="389">
        <v>0</v>
      </c>
      <c r="D18" s="393">
        <v>225000</v>
      </c>
      <c r="E18" s="355">
        <v>225000</v>
      </c>
    </row>
    <row r="19" spans="2:9" ht="15.75">
      <c r="B19" s="375" t="s">
        <v>108</v>
      </c>
      <c r="C19" s="389">
        <v>2109</v>
      </c>
      <c r="D19" s="393">
        <v>1200</v>
      </c>
      <c r="E19" s="355">
        <v>2000</v>
      </c>
      <c r="F19" s="350"/>
      <c r="G19" s="350"/>
      <c r="H19" s="350"/>
      <c r="I19" s="350"/>
    </row>
    <row r="20" spans="2:9" ht="15.75">
      <c r="B20" s="361" t="s">
        <v>14</v>
      </c>
      <c r="C20" s="254"/>
      <c r="D20" s="254"/>
      <c r="E20" s="67"/>
      <c r="F20" s="350"/>
      <c r="G20" s="350"/>
      <c r="H20" s="350"/>
      <c r="I20" s="350"/>
    </row>
    <row r="21" spans="2:9" ht="15.75">
      <c r="B21" s="361" t="s">
        <v>700</v>
      </c>
      <c r="C21" s="259">
        <f>IF(C22*0.1&lt;C20,"Exceed 10% Rule","")</f>
      </c>
      <c r="D21" s="259">
        <f>IF(D22*0.1&lt;D20,"Exceed 10% Rule","")</f>
      </c>
      <c r="E21" s="293">
        <f>IF(E22*0.1+E41&lt;E20,"Exceed 10% Rule","")</f>
      </c>
      <c r="F21" s="350"/>
      <c r="G21" s="350"/>
      <c r="H21" s="350"/>
      <c r="I21" s="350"/>
    </row>
    <row r="22" spans="2:9" ht="15.75">
      <c r="B22" s="371" t="s">
        <v>109</v>
      </c>
      <c r="C22" s="394">
        <f>SUM(C8:C20)</f>
        <v>337458</v>
      </c>
      <c r="D22" s="394">
        <f>SUM(D8:D20)</f>
        <v>566361</v>
      </c>
      <c r="E22" s="381">
        <f>SUM(E9:E20)</f>
        <v>421460</v>
      </c>
      <c r="F22" s="350"/>
      <c r="G22" s="350"/>
      <c r="H22" s="350"/>
      <c r="I22" s="350"/>
    </row>
    <row r="23" spans="2:9" ht="15.75">
      <c r="B23" s="371" t="s">
        <v>110</v>
      </c>
      <c r="C23" s="394">
        <f>SUM(C6+C22)</f>
        <v>448816</v>
      </c>
      <c r="D23" s="394">
        <f>SUM(D6+D22)</f>
        <v>602218</v>
      </c>
      <c r="E23" s="381">
        <f>SUM(E6+E22)</f>
        <v>445712</v>
      </c>
      <c r="F23" s="350"/>
      <c r="G23" s="350"/>
      <c r="H23" s="350"/>
      <c r="I23" s="350"/>
    </row>
    <row r="24" spans="2:9" ht="15.75">
      <c r="B24" s="361" t="s">
        <v>112</v>
      </c>
      <c r="C24" s="361"/>
      <c r="D24" s="391"/>
      <c r="E24" s="362"/>
      <c r="F24" s="350"/>
      <c r="G24" s="350"/>
      <c r="H24" s="350"/>
      <c r="I24" s="350"/>
    </row>
    <row r="25" spans="2:9" ht="15.75">
      <c r="B25" s="380" t="s">
        <v>1002</v>
      </c>
      <c r="C25" s="456">
        <v>600</v>
      </c>
      <c r="D25" s="393">
        <v>300</v>
      </c>
      <c r="E25" s="355">
        <v>2400</v>
      </c>
      <c r="F25" s="350"/>
      <c r="G25" s="350"/>
      <c r="H25" s="350"/>
      <c r="I25" s="350"/>
    </row>
    <row r="26" spans="2:10" ht="15.75">
      <c r="B26" s="380" t="s">
        <v>1003</v>
      </c>
      <c r="C26" s="456">
        <v>347826</v>
      </c>
      <c r="D26" s="393">
        <v>475000</v>
      </c>
      <c r="E26" s="355">
        <v>495000</v>
      </c>
      <c r="F26" s="350"/>
      <c r="G26" s="576"/>
      <c r="H26" s="577"/>
      <c r="I26" s="578"/>
      <c r="J26" s="579"/>
    </row>
    <row r="27" spans="2:10" ht="15.75">
      <c r="B27" s="380" t="s">
        <v>1004</v>
      </c>
      <c r="C27" s="456">
        <v>64533</v>
      </c>
      <c r="D27" s="393">
        <v>102000</v>
      </c>
      <c r="E27" s="355">
        <v>86000</v>
      </c>
      <c r="F27" s="350"/>
      <c r="G27" s="580" t="s">
        <v>688</v>
      </c>
      <c r="H27" s="578"/>
      <c r="I27" s="578"/>
      <c r="J27" s="581">
        <v>0</v>
      </c>
    </row>
    <row r="28" spans="2:10" ht="15.75">
      <c r="B28" s="380"/>
      <c r="C28" s="456"/>
      <c r="D28" s="393"/>
      <c r="E28" s="355"/>
      <c r="F28" s="350"/>
      <c r="G28" s="576" t="s">
        <v>689</v>
      </c>
      <c r="H28" s="577"/>
      <c r="I28" s="577"/>
      <c r="J28" s="582">
        <f>IF(J27=0,"",ROUND((J27+E41-G40)/inputOth!E7*1000,3)-G45)</f>
      </c>
    </row>
    <row r="29" spans="2:10" ht="15.75">
      <c r="B29" s="380"/>
      <c r="C29" s="456"/>
      <c r="D29" s="393"/>
      <c r="E29" s="355"/>
      <c r="F29" s="350"/>
      <c r="G29" s="583" t="str">
        <f>CONCATENATE("",E1," Tot Exp/Non-Appr Must Be:")</f>
        <v>2013 Tot Exp/Non-Appr Must Be:</v>
      </c>
      <c r="H29" s="584"/>
      <c r="I29" s="585"/>
      <c r="J29" s="586">
        <f>IF(J27&gt;0,IF(E38&lt;E23,IF(J27=G40,E38,((J27-G40)*(1-D40))+E23),E38+(J27-G40)),0)</f>
        <v>0</v>
      </c>
    </row>
    <row r="30" spans="2:10" ht="15.75">
      <c r="B30" s="380"/>
      <c r="C30" s="456"/>
      <c r="D30" s="393"/>
      <c r="E30" s="355"/>
      <c r="F30" s="350"/>
      <c r="G30" s="587" t="s">
        <v>807</v>
      </c>
      <c r="H30" s="588"/>
      <c r="I30" s="588"/>
      <c r="J30" s="589">
        <f>IF(J27&gt;0,J29-E38,0)</f>
        <v>0</v>
      </c>
    </row>
    <row r="31" spans="2:9" ht="15.75">
      <c r="B31" s="377" t="s">
        <v>13</v>
      </c>
      <c r="C31" s="456"/>
      <c r="D31" s="393">
        <v>666</v>
      </c>
      <c r="E31" s="362">
        <f>nhood!E7</f>
        <v>7350</v>
      </c>
      <c r="F31" s="350"/>
      <c r="G31" s="350"/>
      <c r="H31" s="350"/>
      <c r="I31" s="350"/>
    </row>
    <row r="32" spans="2:10" ht="15.75">
      <c r="B32" s="377" t="s">
        <v>14</v>
      </c>
      <c r="C32" s="456">
        <v>0</v>
      </c>
      <c r="D32" s="393">
        <v>0</v>
      </c>
      <c r="E32" s="355">
        <v>23336</v>
      </c>
      <c r="F32" s="350"/>
      <c r="G32" s="747" t="str">
        <f>CONCATENATE("Projected Carryover Into ",E1+1,"")</f>
        <v>Projected Carryover Into 2014</v>
      </c>
      <c r="H32" s="711"/>
      <c r="I32" s="711"/>
      <c r="J32" s="712"/>
    </row>
    <row r="33" spans="2:10" ht="15.75">
      <c r="B33" s="377" t="s">
        <v>702</v>
      </c>
      <c r="C33" s="259">
        <f>IF(C34*0.1&lt;C32,"Exceed 10% Rule","")</f>
      </c>
      <c r="D33" s="259">
        <f>IF(D34*0.1&lt;D32,"Exceed 10% Rule","")</f>
      </c>
      <c r="E33" s="293">
        <f>IF(E34*0.1&lt;E32,"Exceed 10% Rule","")</f>
      </c>
      <c r="F33" s="350"/>
      <c r="G33" s="382"/>
      <c r="H33" s="467"/>
      <c r="I33" s="467"/>
      <c r="J33" s="572"/>
    </row>
    <row r="34" spans="2:10" ht="15.75">
      <c r="B34" s="371" t="s">
        <v>116</v>
      </c>
      <c r="C34" s="390">
        <f>SUM(C25:C32)</f>
        <v>412959</v>
      </c>
      <c r="D34" s="390">
        <f>SUM(D25:D32)</f>
        <v>577966</v>
      </c>
      <c r="E34" s="376">
        <f>SUM(E25:E32)</f>
        <v>614086</v>
      </c>
      <c r="F34" s="350"/>
      <c r="G34" s="386">
        <f>D35</f>
        <v>24252</v>
      </c>
      <c r="H34" s="388" t="str">
        <f>CONCATENATE("",E1-1," Ending Cash Balance (est.)")</f>
        <v>2012 Ending Cash Balance (est.)</v>
      </c>
      <c r="I34" s="383"/>
      <c r="J34" s="572"/>
    </row>
    <row r="35" spans="2:10" ht="15.75">
      <c r="B35" s="361" t="s">
        <v>222</v>
      </c>
      <c r="C35" s="395">
        <f>SUM(C23-C34)</f>
        <v>35857</v>
      </c>
      <c r="D35" s="395">
        <f>SUM(D23-D34)</f>
        <v>24252</v>
      </c>
      <c r="E35" s="378" t="s">
        <v>92</v>
      </c>
      <c r="F35" s="350"/>
      <c r="G35" s="386">
        <f>E22</f>
        <v>421460</v>
      </c>
      <c r="H35" s="387" t="str">
        <f>CONCATENATE("",E1," Non-AV Receipts (est.)")</f>
        <v>2013 Non-AV Receipts (est.)</v>
      </c>
      <c r="I35" s="467"/>
      <c r="J35" s="572"/>
    </row>
    <row r="36" spans="2:10" ht="15.75">
      <c r="B36" s="366" t="str">
        <f>CONCATENATE("",E1-2,"/",E1-1," Budget Authority Amount:")</f>
        <v>2011/2012 Budget Authority Amount:</v>
      </c>
      <c r="C36" s="368">
        <f>inputOth!B53</f>
        <v>434452</v>
      </c>
      <c r="D36" s="372">
        <f>inputPrYr!D18</f>
        <v>606277</v>
      </c>
      <c r="E36" s="378" t="s">
        <v>92</v>
      </c>
      <c r="F36" s="373"/>
      <c r="G36" s="385">
        <f>IF(E40&gt;0,E39,E41)</f>
        <v>168374</v>
      </c>
      <c r="H36" s="387" t="str">
        <f>CONCATENATE("",E1," Ad Valorem Tax (est.)")</f>
        <v>2013 Ad Valorem Tax (est.)</v>
      </c>
      <c r="I36" s="467"/>
      <c r="J36" s="572"/>
    </row>
    <row r="37" spans="2:10" ht="15.75">
      <c r="B37" s="366"/>
      <c r="C37" s="705" t="s">
        <v>598</v>
      </c>
      <c r="D37" s="706"/>
      <c r="E37" s="67"/>
      <c r="F37" s="401">
        <f>IF(E34/0.95-E34&lt;E37,"Exceeds 5%","")</f>
      </c>
      <c r="G37" s="386">
        <f>SUM(G34:G36)</f>
        <v>614086</v>
      </c>
      <c r="H37" s="387" t="str">
        <f>CONCATENATE("Total ",E1," Resources Available")</f>
        <v>Total 2013 Resources Available</v>
      </c>
      <c r="I37" s="383"/>
      <c r="J37" s="572"/>
    </row>
    <row r="38" spans="2:10" ht="15.75">
      <c r="B38" s="462" t="str">
        <f>CONCATENATE(C94,"     ",D94)</f>
        <v>     </v>
      </c>
      <c r="C38" s="707" t="s">
        <v>599</v>
      </c>
      <c r="D38" s="708"/>
      <c r="E38" s="362">
        <f>SUM(E34+E37)</f>
        <v>614086</v>
      </c>
      <c r="F38" s="350"/>
      <c r="G38" s="384"/>
      <c r="H38" s="387"/>
      <c r="I38" s="467"/>
      <c r="J38" s="572"/>
    </row>
    <row r="39" spans="2:10" ht="15.75">
      <c r="B39" s="462" t="str">
        <f>CONCATENATE(C95,"     ",D95)</f>
        <v>     </v>
      </c>
      <c r="C39" s="374"/>
      <c r="D39" s="367" t="s">
        <v>117</v>
      </c>
      <c r="E39" s="356">
        <f>IF(E38-E23&gt;0,E38-E23,0)</f>
        <v>168374</v>
      </c>
      <c r="F39" s="350"/>
      <c r="G39" s="385">
        <f>C34</f>
        <v>412959</v>
      </c>
      <c r="H39" s="387" t="str">
        <f>CONCATENATE("Less ",E1-2," Expenditures")</f>
        <v>Less 2011 Expenditures</v>
      </c>
      <c r="I39" s="467"/>
      <c r="J39" s="572"/>
    </row>
    <row r="40" spans="2:10" ht="15.75">
      <c r="B40" s="367"/>
      <c r="C40" s="349" t="s">
        <v>597</v>
      </c>
      <c r="D40" s="651">
        <f>inputOth!$E$39</f>
        <v>0</v>
      </c>
      <c r="E40" s="362">
        <f>ROUND(IF(D40&gt;0,(E39*D40),0),0)</f>
        <v>0</v>
      </c>
      <c r="F40" s="350"/>
      <c r="G40" s="569">
        <f>SUM(G37-G39)</f>
        <v>201127</v>
      </c>
      <c r="H40" s="570" t="str">
        <f>CONCATENATE("Projected ",E1+1," carryover (est.)")</f>
        <v>Projected 2014 carryover (est.)</v>
      </c>
      <c r="I40" s="571"/>
      <c r="J40" s="557"/>
    </row>
    <row r="41" spans="2:6" ht="16.5" thickBot="1">
      <c r="B41" s="351"/>
      <c r="C41" s="745" t="str">
        <f>CONCATENATE("Amount of  ",E1-1," Ad Valorem Tax")</f>
        <v>Amount of  2012 Ad Valorem Tax</v>
      </c>
      <c r="D41" s="746"/>
      <c r="E41" s="573">
        <f>SUM(E39:E40)</f>
        <v>168374</v>
      </c>
      <c r="F41" s="350"/>
    </row>
    <row r="42" spans="2:10" ht="16.5" thickTop="1">
      <c r="B42" s="351"/>
      <c r="C42" s="532"/>
      <c r="D42" s="357"/>
      <c r="E42" s="357"/>
      <c r="F42" s="350"/>
      <c r="G42" s="713" t="s">
        <v>806</v>
      </c>
      <c r="H42" s="714"/>
      <c r="I42" s="714"/>
      <c r="J42" s="715"/>
    </row>
    <row r="43" spans="2:10" ht="15.75">
      <c r="B43" s="353"/>
      <c r="C43" s="353"/>
      <c r="D43" s="369"/>
      <c r="E43" s="369"/>
      <c r="F43" s="350"/>
      <c r="G43" s="558"/>
      <c r="H43" s="559"/>
      <c r="I43" s="560"/>
      <c r="J43" s="561"/>
    </row>
    <row r="44" spans="2:10" ht="15.75">
      <c r="B44" s="353" t="s">
        <v>102</v>
      </c>
      <c r="C44" s="639" t="s">
        <v>862</v>
      </c>
      <c r="D44" s="640" t="s">
        <v>863</v>
      </c>
      <c r="E44" s="141" t="s">
        <v>864</v>
      </c>
      <c r="F44" s="350"/>
      <c r="G44" s="562">
        <f>summ!H16</f>
        <v>13.522</v>
      </c>
      <c r="H44" s="559" t="str">
        <f>CONCATENATE("",E1," Fund Mill Rate")</f>
        <v>2013 Fund Mill Rate</v>
      </c>
      <c r="I44" s="560"/>
      <c r="J44" s="561"/>
    </row>
    <row r="45" spans="2:10" ht="15.75">
      <c r="B45" s="397" t="str">
        <f>inputPrYr!B19</f>
        <v>Library</v>
      </c>
      <c r="C45" s="222" t="str">
        <f>CONCATENATE("Actual for ",E1-2,"")</f>
        <v>Actual for 2011</v>
      </c>
      <c r="D45" s="222" t="str">
        <f>CONCATENATE("Estimate for ",E1-1,"")</f>
        <v>Estimate for 2012</v>
      </c>
      <c r="E45" s="205" t="str">
        <f>CONCATENATE("Year for ",E1,"")</f>
        <v>Year for 2013</v>
      </c>
      <c r="F45" s="350"/>
      <c r="G45" s="563">
        <f>summ!E16</f>
        <v>12.042</v>
      </c>
      <c r="H45" s="559" t="str">
        <f>CONCATENATE("",E1-1," Fund Mill Rate")</f>
        <v>2012 Fund Mill Rate</v>
      </c>
      <c r="I45" s="560"/>
      <c r="J45" s="561"/>
    </row>
    <row r="46" spans="2:10" ht="15.75">
      <c r="B46" s="361" t="s">
        <v>221</v>
      </c>
      <c r="C46" s="389">
        <v>4818</v>
      </c>
      <c r="D46" s="391">
        <f>C75</f>
        <v>24</v>
      </c>
      <c r="E46" s="362">
        <f>D75</f>
        <v>0</v>
      </c>
      <c r="F46" s="350"/>
      <c r="G46" s="564">
        <f>summ!H42</f>
        <v>74.608</v>
      </c>
      <c r="H46" s="559" t="str">
        <f>CONCATENATE("Total ",E1," Mill Rate")</f>
        <v>Total 2013 Mill Rate</v>
      </c>
      <c r="I46" s="560"/>
      <c r="J46" s="561"/>
    </row>
    <row r="47" spans="2:10" ht="15.75">
      <c r="B47" s="370" t="s">
        <v>223</v>
      </c>
      <c r="C47" s="361"/>
      <c r="D47" s="391"/>
      <c r="E47" s="362"/>
      <c r="F47" s="350"/>
      <c r="G47" s="563">
        <f>summ!E42</f>
        <v>74.60799999999999</v>
      </c>
      <c r="H47" s="565" t="str">
        <f>CONCATENATE("Total ",E1-1," Mill Rate")</f>
        <v>Total 2012 Mill Rate</v>
      </c>
      <c r="I47" s="566"/>
      <c r="J47" s="567"/>
    </row>
    <row r="48" spans="2:9" ht="15.75">
      <c r="B48" s="361" t="s">
        <v>103</v>
      </c>
      <c r="C48" s="389">
        <v>83269</v>
      </c>
      <c r="D48" s="391">
        <v>89976</v>
      </c>
      <c r="E48" s="378" t="s">
        <v>92</v>
      </c>
      <c r="F48" s="350"/>
      <c r="G48" s="350"/>
      <c r="H48" s="350"/>
      <c r="I48" s="350"/>
    </row>
    <row r="49" spans="2:9" ht="15.75">
      <c r="B49" s="361" t="s">
        <v>104</v>
      </c>
      <c r="C49" s="389">
        <v>995</v>
      </c>
      <c r="D49" s="393">
        <v>982</v>
      </c>
      <c r="E49" s="355">
        <v>700</v>
      </c>
      <c r="F49" s="350"/>
      <c r="G49" s="350"/>
      <c r="H49" s="350"/>
      <c r="I49" s="350"/>
    </row>
    <row r="50" spans="2:9" ht="15.75">
      <c r="B50" s="361" t="s">
        <v>105</v>
      </c>
      <c r="C50" s="389">
        <v>13767</v>
      </c>
      <c r="D50" s="393">
        <v>14500</v>
      </c>
      <c r="E50" s="362">
        <v>13788</v>
      </c>
      <c r="F50" s="350"/>
      <c r="G50" s="350"/>
      <c r="H50" s="350"/>
      <c r="I50" s="350"/>
    </row>
    <row r="51" spans="2:9" ht="15.75">
      <c r="B51" s="361" t="s">
        <v>106</v>
      </c>
      <c r="C51" s="389">
        <v>281</v>
      </c>
      <c r="D51" s="393">
        <v>383</v>
      </c>
      <c r="E51" s="362">
        <f>mvalloc!E9</f>
        <v>269</v>
      </c>
      <c r="F51" s="350"/>
      <c r="G51" s="350"/>
      <c r="H51" s="350"/>
      <c r="I51" s="350"/>
    </row>
    <row r="52" spans="2:5" ht="15.75">
      <c r="B52" s="364" t="s">
        <v>199</v>
      </c>
      <c r="C52" s="389">
        <v>127</v>
      </c>
      <c r="D52" s="393">
        <v>174</v>
      </c>
      <c r="E52" s="362">
        <v>151</v>
      </c>
    </row>
    <row r="53" spans="2:5" ht="15.75">
      <c r="B53" s="355"/>
      <c r="C53" s="389"/>
      <c r="D53" s="393"/>
      <c r="E53" s="355"/>
    </row>
    <row r="54" spans="2:5" ht="15.75">
      <c r="B54" s="355"/>
      <c r="C54" s="389"/>
      <c r="D54" s="393"/>
      <c r="E54" s="355"/>
    </row>
    <row r="55" spans="2:5" ht="15.75">
      <c r="B55" s="355"/>
      <c r="C55" s="389"/>
      <c r="D55" s="393"/>
      <c r="E55" s="355"/>
    </row>
    <row r="56" spans="2:5" ht="15.75">
      <c r="B56" s="380"/>
      <c r="C56" s="389"/>
      <c r="D56" s="393"/>
      <c r="E56" s="355"/>
    </row>
    <row r="57" spans="2:5" ht="15.75">
      <c r="B57" s="380"/>
      <c r="C57" s="389"/>
      <c r="D57" s="393"/>
      <c r="E57" s="355"/>
    </row>
    <row r="58" spans="2:5" ht="15.75">
      <c r="B58" s="375" t="s">
        <v>108</v>
      </c>
      <c r="C58" s="389">
        <v>1</v>
      </c>
      <c r="D58" s="393">
        <v>0</v>
      </c>
      <c r="E58" s="355">
        <v>0</v>
      </c>
    </row>
    <row r="59" spans="2:5" ht="15.75">
      <c r="B59" s="361" t="s">
        <v>14</v>
      </c>
      <c r="C59" s="389"/>
      <c r="D59" s="254">
        <v>525</v>
      </c>
      <c r="E59" s="67">
        <v>0</v>
      </c>
    </row>
    <row r="60" spans="2:5" ht="15.75">
      <c r="B60" s="361" t="s">
        <v>700</v>
      </c>
      <c r="C60" s="259">
        <f>IF(C61*0.1&lt;C59,"Exceed 10% Rule","")</f>
      </c>
      <c r="D60" s="259">
        <f>IF(D61*0.1&lt;D59,"Exceed 10% Rule","")</f>
      </c>
      <c r="E60" s="293">
        <f>IF(E61*0.1+E81&lt;E59,"Exceed 10% Rule","")</f>
      </c>
    </row>
    <row r="61" spans="2:5" ht="15.75">
      <c r="B61" s="371" t="s">
        <v>109</v>
      </c>
      <c r="C61" s="390">
        <f>SUM(C48:C59)</f>
        <v>98440</v>
      </c>
      <c r="D61" s="390">
        <f>SUM(D48:D59)</f>
        <v>106540</v>
      </c>
      <c r="E61" s="376">
        <f>SUM(E49:E59)</f>
        <v>14908</v>
      </c>
    </row>
    <row r="62" spans="2:5" ht="15.75">
      <c r="B62" s="371" t="s">
        <v>110</v>
      </c>
      <c r="C62" s="390">
        <f>SUM(C46+C61)</f>
        <v>103258</v>
      </c>
      <c r="D62" s="390">
        <f>SUM(D46+D61)</f>
        <v>106564</v>
      </c>
      <c r="E62" s="376">
        <f>SUM(E46+E61)</f>
        <v>14908</v>
      </c>
    </row>
    <row r="63" spans="2:5" ht="15.75">
      <c r="B63" s="361" t="s">
        <v>112</v>
      </c>
      <c r="C63" s="361"/>
      <c r="D63" s="391"/>
      <c r="E63" s="362"/>
    </row>
    <row r="64" spans="2:5" ht="15.75">
      <c r="B64" s="380" t="s">
        <v>1005</v>
      </c>
      <c r="C64" s="389">
        <v>101934</v>
      </c>
      <c r="D64" s="393">
        <v>106564</v>
      </c>
      <c r="E64" s="355">
        <v>108794</v>
      </c>
    </row>
    <row r="65" spans="2:10" ht="15.75">
      <c r="B65" s="380"/>
      <c r="C65" s="389"/>
      <c r="D65" s="393"/>
      <c r="E65" s="355"/>
      <c r="F65" s="2"/>
      <c r="G65" s="741" t="str">
        <f>CONCATENATE("Desired Carryover Into ",E1+1,"")</f>
        <v>Desired Carryover Into 2014</v>
      </c>
      <c r="H65" s="711"/>
      <c r="I65" s="711"/>
      <c r="J65" s="712"/>
    </row>
    <row r="66" spans="2:10" ht="15.75">
      <c r="B66" s="380"/>
      <c r="C66" s="389"/>
      <c r="D66" s="393"/>
      <c r="E66" s="355"/>
      <c r="F66" s="2"/>
      <c r="G66" s="576"/>
      <c r="H66" s="577"/>
      <c r="I66" s="578"/>
      <c r="J66" s="579"/>
    </row>
    <row r="67" spans="2:10" ht="15.75">
      <c r="B67" s="380"/>
      <c r="C67" s="389"/>
      <c r="D67" s="393"/>
      <c r="E67" s="355"/>
      <c r="F67" s="2"/>
      <c r="G67" s="580" t="s">
        <v>688</v>
      </c>
      <c r="H67" s="578"/>
      <c r="I67" s="578"/>
      <c r="J67" s="581">
        <v>0</v>
      </c>
    </row>
    <row r="68" spans="2:10" ht="15.75">
      <c r="B68" s="380"/>
      <c r="C68" s="389"/>
      <c r="D68" s="393"/>
      <c r="E68" s="355"/>
      <c r="F68" s="2"/>
      <c r="G68" s="576" t="s">
        <v>689</v>
      </c>
      <c r="H68" s="577"/>
      <c r="I68" s="577"/>
      <c r="J68" s="582">
        <f>IF(J67=0,"",ROUND((J67+E81-G80)/inputOth!E7*1000,3)-G85)</f>
      </c>
    </row>
    <row r="69" spans="2:10" ht="15.75">
      <c r="B69" s="380"/>
      <c r="C69" s="389"/>
      <c r="D69" s="393"/>
      <c r="E69" s="355"/>
      <c r="F69" s="2"/>
      <c r="G69" s="583" t="str">
        <f>CONCATENATE("",E1," Tot Exp/Non-Appr Must Be:")</f>
        <v>2013 Tot Exp/Non-Appr Must Be:</v>
      </c>
      <c r="H69" s="584"/>
      <c r="I69" s="585"/>
      <c r="J69" s="586">
        <f>IF(J67&gt;0,IF(E78&lt;E62,IF(J67=G80,E78,((J67-G80)*(1-D80))+E62),E78+(J67-G80)),0)</f>
        <v>0</v>
      </c>
    </row>
    <row r="70" spans="2:10" ht="15.75">
      <c r="B70" s="380"/>
      <c r="C70" s="389"/>
      <c r="D70" s="393"/>
      <c r="E70" s="355"/>
      <c r="F70" s="2"/>
      <c r="G70" s="587" t="s">
        <v>807</v>
      </c>
      <c r="H70" s="588"/>
      <c r="I70" s="588"/>
      <c r="J70" s="589">
        <f>IF(J67&gt;0,J69-E78,0)</f>
        <v>0</v>
      </c>
    </row>
    <row r="71" spans="2:10" ht="15.75">
      <c r="B71" s="364" t="s">
        <v>13</v>
      </c>
      <c r="C71" s="389"/>
      <c r="D71" s="393"/>
      <c r="E71" s="362">
        <f>nhood!E8</f>
        <v>4388</v>
      </c>
      <c r="F71"/>
      <c r="G71" s="2"/>
      <c r="H71" s="2"/>
      <c r="I71" s="2"/>
      <c r="J71" s="2"/>
    </row>
    <row r="72" spans="2:10" ht="15.75">
      <c r="B72" s="364" t="s">
        <v>14</v>
      </c>
      <c r="C72" s="456">
        <v>1300</v>
      </c>
      <c r="D72" s="393"/>
      <c r="E72" s="355">
        <v>2245</v>
      </c>
      <c r="F72"/>
      <c r="G72" s="741" t="str">
        <f>CONCATENATE("Projected Carryover Into ",E1+1,"")</f>
        <v>Projected Carryover Into 2014</v>
      </c>
      <c r="H72" s="744"/>
      <c r="I72" s="744"/>
      <c r="J72" s="743"/>
    </row>
    <row r="73" spans="2:10" ht="15.75">
      <c r="B73" s="364" t="s">
        <v>701</v>
      </c>
      <c r="C73" s="259">
        <f>IF(C74*0.1&lt;C72,"Exceed 10% Rule","")</f>
      </c>
      <c r="D73" s="259">
        <f>IF(D74*0.1&lt;D72,"Exceed 10% Rule","")</f>
      </c>
      <c r="E73" s="293">
        <f>IF(E74*0.1&lt;E72,"Exceed 10% Rule","")</f>
      </c>
      <c r="F73"/>
      <c r="G73" s="590"/>
      <c r="H73" s="577"/>
      <c r="I73" s="577"/>
      <c r="J73" s="591"/>
    </row>
    <row r="74" spans="2:10" ht="15.75">
      <c r="B74" s="371" t="s">
        <v>116</v>
      </c>
      <c r="C74" s="390">
        <f>SUM(C64:C72)</f>
        <v>103234</v>
      </c>
      <c r="D74" s="390">
        <f>SUM(D64:D72)</f>
        <v>106564</v>
      </c>
      <c r="E74" s="376">
        <f>SUM(E64:E72)</f>
        <v>115427</v>
      </c>
      <c r="F74"/>
      <c r="G74" s="592">
        <f>D75</f>
        <v>0</v>
      </c>
      <c r="H74" s="559" t="str">
        <f>CONCATENATE("",E1-1," Ending Cash Balance (est.)")</f>
        <v>2012 Ending Cash Balance (est.)</v>
      </c>
      <c r="I74" s="593"/>
      <c r="J74" s="591"/>
    </row>
    <row r="75" spans="2:10" ht="15.75">
      <c r="B75" s="361" t="s">
        <v>222</v>
      </c>
      <c r="C75" s="395">
        <f>SUM(C62-C74)</f>
        <v>24</v>
      </c>
      <c r="D75" s="395">
        <f>SUM(D62-D74)</f>
        <v>0</v>
      </c>
      <c r="E75" s="378" t="s">
        <v>92</v>
      </c>
      <c r="F75"/>
      <c r="G75" s="592">
        <f>E61</f>
        <v>14908</v>
      </c>
      <c r="H75" s="578" t="str">
        <f>CONCATENATE("",E1," Non-AV Receipts (est.)")</f>
        <v>2013 Non-AV Receipts (est.)</v>
      </c>
      <c r="I75" s="593"/>
      <c r="J75" s="591"/>
    </row>
    <row r="76" spans="2:11" ht="15.75">
      <c r="B76" s="366" t="str">
        <f>CONCATENATE("",E1-2,"/",E1-1," Budget Authority Amount:")</f>
        <v>2011/2012 Budget Authority Amount:</v>
      </c>
      <c r="C76" s="368">
        <f>inputOth!B54</f>
        <v>104992</v>
      </c>
      <c r="D76" s="368">
        <f>inputPrYr!D19</f>
        <v>109761</v>
      </c>
      <c r="E76" s="378" t="s">
        <v>92</v>
      </c>
      <c r="F76" s="273"/>
      <c r="G76" s="594">
        <f>IF(E80&gt;0,E79,E81)</f>
        <v>100519</v>
      </c>
      <c r="H76" s="578" t="str">
        <f>CONCATENATE("",E1," Ad Valorem Tax (est.)")</f>
        <v>2013 Ad Valorem Tax (est.)</v>
      </c>
      <c r="I76" s="593"/>
      <c r="J76" s="591"/>
      <c r="K76" s="568">
        <f>IF(G76=E81,"","Note: Does not include Delinquent Taxes")</f>
      </c>
    </row>
    <row r="77" spans="2:10" ht="15.75">
      <c r="B77" s="366"/>
      <c r="C77" s="705" t="s">
        <v>598</v>
      </c>
      <c r="D77" s="706"/>
      <c r="E77" s="67"/>
      <c r="F77" s="595">
        <f>IF(E74/0.95-E74&lt;E77,"Exceeds 5%","")</f>
      </c>
      <c r="G77" s="596">
        <f>SUM(G74:G76)</f>
        <v>115427</v>
      </c>
      <c r="H77" s="578" t="str">
        <f>CONCATENATE("Total ",E1," Resources Available")</f>
        <v>Total 2013 Resources Available</v>
      </c>
      <c r="I77" s="597"/>
      <c r="J77" s="591"/>
    </row>
    <row r="78" spans="2:10" ht="15.75">
      <c r="B78" s="462" t="str">
        <f>CONCATENATE(C96,"     ",D96)</f>
        <v>     </v>
      </c>
      <c r="C78" s="707" t="s">
        <v>599</v>
      </c>
      <c r="D78" s="708"/>
      <c r="E78" s="362">
        <f>SUM(E74+E77)</f>
        <v>115427</v>
      </c>
      <c r="F78"/>
      <c r="G78" s="598"/>
      <c r="H78" s="599"/>
      <c r="I78" s="577"/>
      <c r="J78" s="591"/>
    </row>
    <row r="79" spans="2:10" ht="15.75">
      <c r="B79" s="462" t="str">
        <f>CONCATENATE(C97,"     ",D97)</f>
        <v>     </v>
      </c>
      <c r="C79" s="374"/>
      <c r="D79" s="367" t="s">
        <v>117</v>
      </c>
      <c r="E79" s="356">
        <f>IF(E78-E62&gt;0,E78-E62,0)</f>
        <v>100519</v>
      </c>
      <c r="F79"/>
      <c r="G79" s="600">
        <f>ROUND(C74*0.05+C74,0)</f>
        <v>108396</v>
      </c>
      <c r="H79" s="599" t="str">
        <f>CONCATENATE("Less ",E1-2," Expenditures + 5%")</f>
        <v>Less 2011 Expenditures + 5%</v>
      </c>
      <c r="I79" s="597"/>
      <c r="J79" s="591"/>
    </row>
    <row r="80" spans="2:10" ht="15.75">
      <c r="B80" s="367"/>
      <c r="C80" s="349" t="s">
        <v>597</v>
      </c>
      <c r="D80" s="651">
        <f>inputOth!$E$39</f>
        <v>0</v>
      </c>
      <c r="E80" s="362">
        <f>ROUND(IF(D80&gt;0,(E79*D80),0),0)</f>
        <v>0</v>
      </c>
      <c r="F80"/>
      <c r="G80" s="601">
        <f>G77-G79</f>
        <v>7031</v>
      </c>
      <c r="H80" s="602" t="str">
        <f>CONCATENATE("Projected ",E1+1," carryover (est.)")</f>
        <v>Projected 2014 carryover (est.)</v>
      </c>
      <c r="I80" s="603"/>
      <c r="J80" s="604"/>
    </row>
    <row r="81" spans="2:10" ht="16.5" thickBot="1">
      <c r="B81" s="351"/>
      <c r="C81" s="745" t="str">
        <f>CONCATENATE("Amount of  ",E1-1," Ad Valorem Tax")</f>
        <v>Amount of  2012 Ad Valorem Tax</v>
      </c>
      <c r="D81" s="746"/>
      <c r="E81" s="573">
        <f>SUM(E79:E80)</f>
        <v>100519</v>
      </c>
      <c r="F81" s="605" t="str">
        <f>IF('Library Grant'!F33="","",IF('Library Grant'!F33="Qualify","Qualifies for State Library Grant","See 'Library Grant' tab"))</f>
        <v>Qualifies for State Library Grant</v>
      </c>
      <c r="G81" s="2"/>
      <c r="H81" s="2"/>
      <c r="I81" s="2"/>
      <c r="J81" s="2"/>
    </row>
    <row r="82" spans="2:10" ht="16.5" thickTop="1">
      <c r="B82" s="367" t="s">
        <v>119</v>
      </c>
      <c r="C82" s="379">
        <v>9</v>
      </c>
      <c r="D82" s="357"/>
      <c r="E82" s="351"/>
      <c r="F82"/>
      <c r="G82" s="713" t="s">
        <v>806</v>
      </c>
      <c r="H82" s="714"/>
      <c r="I82" s="714"/>
      <c r="J82" s="715"/>
    </row>
    <row r="83" spans="6:10" ht="15.75">
      <c r="F83" s="2"/>
      <c r="G83" s="558"/>
      <c r="H83" s="559"/>
      <c r="I83" s="560"/>
      <c r="J83" s="561"/>
    </row>
    <row r="84" spans="2:10" ht="15.75">
      <c r="B84" s="358"/>
      <c r="C84" s="358"/>
      <c r="D84" s="350"/>
      <c r="E84" s="350"/>
      <c r="F84"/>
      <c r="G84" s="562">
        <f>summ!H17</f>
        <v>8.072</v>
      </c>
      <c r="H84" s="559" t="str">
        <f>CONCATENATE("",E1," Fund Mill Rate")</f>
        <v>2013 Fund Mill Rate</v>
      </c>
      <c r="I84" s="560"/>
      <c r="J84" s="561"/>
    </row>
    <row r="85" spans="6:10" ht="15.75">
      <c r="F85" s="2"/>
      <c r="G85" s="563">
        <f>summ!E17</f>
        <v>7.761</v>
      </c>
      <c r="H85" s="559" t="str">
        <f>CONCATENATE("",E1-1," Fund Mill Rate")</f>
        <v>2012 Fund Mill Rate</v>
      </c>
      <c r="I85" s="560"/>
      <c r="J85" s="561"/>
    </row>
    <row r="86" spans="6:10" ht="15.75">
      <c r="F86" s="2"/>
      <c r="G86" s="564">
        <f>summ!H42</f>
        <v>74.608</v>
      </c>
      <c r="H86" s="559" t="str">
        <f>CONCATENATE("Total ",E1," Mill Rate")</f>
        <v>Total 2013 Mill Rate</v>
      </c>
      <c r="I86" s="560"/>
      <c r="J86" s="561"/>
    </row>
    <row r="87" spans="6:10" ht="15.75">
      <c r="F87" s="2"/>
      <c r="G87" s="563">
        <f>summ!E42</f>
        <v>74.60799999999999</v>
      </c>
      <c r="H87" s="565" t="str">
        <f>CONCATENATE("Total ",E1-1," Mill Rate")</f>
        <v>Total 2012 Mill Rate</v>
      </c>
      <c r="I87" s="566"/>
      <c r="J87" s="567"/>
    </row>
    <row r="89" spans="3:4" ht="15.75">
      <c r="C89" s="352" t="s">
        <v>601</v>
      </c>
      <c r="D89" s="352" t="s">
        <v>601</v>
      </c>
    </row>
    <row r="90" spans="3:4" ht="15.75">
      <c r="C90" s="352" t="s">
        <v>601</v>
      </c>
      <c r="D90" s="352" t="s">
        <v>601</v>
      </c>
    </row>
    <row r="92" spans="3:4" ht="15.75">
      <c r="C92" s="352" t="s">
        <v>601</v>
      </c>
      <c r="D92" s="352" t="s">
        <v>601</v>
      </c>
    </row>
    <row r="93" spans="3:4" ht="1.5" customHeight="1">
      <c r="C93" s="352" t="s">
        <v>601</v>
      </c>
      <c r="D93" s="352" t="s">
        <v>601</v>
      </c>
    </row>
    <row r="94" spans="3:4" ht="15" customHeight="1" hidden="1">
      <c r="C94" s="461">
        <f>IF(C34&gt;C36,"See Tab A","")</f>
      </c>
      <c r="D94" s="461">
        <f>IF(D34&gt;D36,"See Tab C","")</f>
      </c>
    </row>
    <row r="95" spans="3:4" ht="15.75" customHeight="1" hidden="1">
      <c r="C95" s="461">
        <f>IF(C35&lt;0,"See Tab B","")</f>
      </c>
      <c r="D95" s="461">
        <f>IF(D35&lt;0,"See Tab D","")</f>
      </c>
    </row>
    <row r="96" spans="3:4" ht="1.5" customHeight="1" hidden="1">
      <c r="C96" s="461">
        <f>IF(C74&gt;C76,"See Tab A","")</f>
      </c>
      <c r="D96" s="461">
        <f>IF(D74&gt;D76,"See Tab C","")</f>
      </c>
    </row>
    <row r="97" spans="3:4" ht="43.5" customHeight="1" hidden="1">
      <c r="C97" s="461">
        <f>IF(C75&lt;0,"See Tab B","")</f>
      </c>
      <c r="D97" s="461">
        <f>IF(D75&lt;0,"See Tab D","")</f>
      </c>
    </row>
    <row r="98" ht="24.75" customHeight="1"/>
  </sheetData>
  <sheetProtection/>
  <mergeCells count="11">
    <mergeCell ref="C38:D38"/>
    <mergeCell ref="C41:D41"/>
    <mergeCell ref="G32:J32"/>
    <mergeCell ref="G42:J42"/>
    <mergeCell ref="G65:J65"/>
    <mergeCell ref="G72:J72"/>
    <mergeCell ref="G82:J82"/>
    <mergeCell ref="C81:D81"/>
    <mergeCell ref="C77:D77"/>
    <mergeCell ref="C78:D78"/>
    <mergeCell ref="C37:D37"/>
  </mergeCells>
  <conditionalFormatting sqref="C59">
    <cfRule type="cellIs" priority="22" dxfId="0" operator="greaterThan" stopIfTrue="1">
      <formula>$C$61*0.1</formula>
    </cfRule>
  </conditionalFormatting>
  <conditionalFormatting sqref="D59 D20">
    <cfRule type="cellIs" priority="21" dxfId="3" operator="greaterThan" stopIfTrue="1">
      <formula>$D$22*0.1</formula>
    </cfRule>
  </conditionalFormatting>
  <conditionalFormatting sqref="E59">
    <cfRule type="cellIs" priority="20" dxfId="274" operator="greaterThan" stopIfTrue="1">
      <formula>$E$22*0.1+E81</formula>
    </cfRule>
  </conditionalFormatting>
  <conditionalFormatting sqref="C72">
    <cfRule type="cellIs" priority="19" dxfId="0" operator="greaterThan" stopIfTrue="1">
      <formula>$C$74*0.1</formula>
    </cfRule>
  </conditionalFormatting>
  <conditionalFormatting sqref="D72">
    <cfRule type="cellIs" priority="18" dxfId="0" operator="greaterThan" stopIfTrue="1">
      <formula>$D$74*0.1</formula>
    </cfRule>
  </conditionalFormatting>
  <conditionalFormatting sqref="E72">
    <cfRule type="cellIs" priority="17" dxfId="0" operator="greaterThan" stopIfTrue="1">
      <formula>$E$74*0.1</formula>
    </cfRule>
  </conditionalFormatting>
  <conditionalFormatting sqref="C32">
    <cfRule type="cellIs" priority="16" dxfId="0" operator="greaterThan" stopIfTrue="1">
      <formula>$C$34*0.1</formula>
    </cfRule>
  </conditionalFormatting>
  <conditionalFormatting sqref="D32">
    <cfRule type="cellIs" priority="15" dxfId="0" operator="greaterThan" stopIfTrue="1">
      <formula>$D$34*0.1</formula>
    </cfRule>
  </conditionalFormatting>
  <conditionalFormatting sqref="E32">
    <cfRule type="cellIs" priority="14" dxfId="0" operator="greaterThan" stopIfTrue="1">
      <formula>$E$34*0.1</formula>
    </cfRule>
  </conditionalFormatting>
  <conditionalFormatting sqref="C20">
    <cfRule type="cellIs" priority="12" dxfId="3" operator="greaterThan" stopIfTrue="1">
      <formula>$C$22*0.1</formula>
    </cfRule>
  </conditionalFormatting>
  <conditionalFormatting sqref="E20">
    <cfRule type="cellIs" priority="11" dxfId="274" operator="greaterThan" stopIfTrue="1">
      <formula>$E$22*0.1+E41</formula>
    </cfRule>
  </conditionalFormatting>
  <conditionalFormatting sqref="E37">
    <cfRule type="cellIs" priority="10" dxfId="274" operator="greaterThan" stopIfTrue="1">
      <formula>$E$34/0.95-$E$34</formula>
    </cfRule>
  </conditionalFormatting>
  <conditionalFormatting sqref="E77">
    <cfRule type="cellIs" priority="9" dxfId="274" operator="greaterThan" stopIfTrue="1">
      <formula>$E$74/0.95-$E$74</formula>
    </cfRule>
  </conditionalFormatting>
  <conditionalFormatting sqref="C34">
    <cfRule type="cellIs" priority="8" dxfId="0" operator="greaterThan" stopIfTrue="1">
      <formula>$C$36</formula>
    </cfRule>
  </conditionalFormatting>
  <conditionalFormatting sqref="D75">
    <cfRule type="cellIs" priority="7" dxfId="0" operator="lessThan" stopIfTrue="1">
      <formula>0</formula>
    </cfRule>
  </conditionalFormatting>
  <conditionalFormatting sqref="D34">
    <cfRule type="cellIs" priority="6" dxfId="0" operator="greaterThan" stopIfTrue="1">
      <formula>$D$36</formula>
    </cfRule>
  </conditionalFormatting>
  <conditionalFormatting sqref="C74">
    <cfRule type="cellIs" priority="4" dxfId="0" operator="greaterThan" stopIfTrue="1">
      <formula>$C$76</formula>
    </cfRule>
  </conditionalFormatting>
  <conditionalFormatting sqref="D74">
    <cfRule type="cellIs" priority="2" dxfId="0" operator="greaterThan" stopIfTrue="1">
      <formula>$D$76</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B1" sqref="B1"/>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(inputPrYr!B34)</f>
        <v>Special Highway</v>
      </c>
      <c r="C5" s="222" t="str">
        <f>CONCATENATE("Actual for ",E1-2,"")</f>
        <v>Actual for 2011</v>
      </c>
      <c r="D5" s="222" t="str">
        <f>CONCATENATE("Estimate for ",E1-1,"")</f>
        <v>Estimate for 2012</v>
      </c>
      <c r="E5" s="205" t="str">
        <f>CONCATENATE("Year for ",E1,"")</f>
        <v>Year for 2013</v>
      </c>
    </row>
    <row r="6" spans="2:5" ht="15.75">
      <c r="B6" s="249" t="s">
        <v>221</v>
      </c>
      <c r="C6" s="67">
        <v>32821</v>
      </c>
      <c r="D6" s="225">
        <f>C31</f>
        <v>25170</v>
      </c>
      <c r="E6" s="225">
        <f>D31</f>
        <v>19951</v>
      </c>
    </row>
    <row r="7" spans="2:5" ht="15.75">
      <c r="B7" s="253" t="s">
        <v>223</v>
      </c>
      <c r="C7" s="86"/>
      <c r="D7" s="86"/>
      <c r="E7" s="86"/>
    </row>
    <row r="8" spans="2:5" ht="15.75">
      <c r="B8" s="271" t="s">
        <v>201</v>
      </c>
      <c r="C8" s="67">
        <v>77474</v>
      </c>
      <c r="D8" s="286">
        <f>inputOth!E44</f>
        <v>78978</v>
      </c>
      <c r="E8" s="225">
        <f>inputOth!E42</f>
        <v>79576</v>
      </c>
    </row>
    <row r="9" spans="2:5" ht="15.75">
      <c r="B9" s="287"/>
      <c r="C9" s="67"/>
      <c r="D9" s="286">
        <f>inputOth!E45</f>
        <v>0</v>
      </c>
      <c r="E9" s="286">
        <f>inputOth!E43</f>
        <v>0</v>
      </c>
    </row>
    <row r="10" spans="2:5" ht="15.75">
      <c r="B10" s="270"/>
      <c r="C10" s="67"/>
      <c r="D10" s="67"/>
      <c r="E10" s="67"/>
    </row>
    <row r="11" spans="2:5" ht="15.75">
      <c r="B11" s="270"/>
      <c r="C11" s="67"/>
      <c r="D11" s="67"/>
      <c r="E11" s="67"/>
    </row>
    <row r="12" spans="2:5" ht="15.75">
      <c r="B12" s="270"/>
      <c r="C12" s="67"/>
      <c r="D12" s="67"/>
      <c r="E12" s="67"/>
    </row>
    <row r="13" spans="2:5" ht="15.75">
      <c r="B13" s="270"/>
      <c r="C13" s="67"/>
      <c r="D13" s="67"/>
      <c r="E13" s="67"/>
    </row>
    <row r="14" spans="2:5" ht="15.75">
      <c r="B14" s="258" t="s">
        <v>108</v>
      </c>
      <c r="C14" s="67">
        <v>230</v>
      </c>
      <c r="D14" s="67">
        <v>200</v>
      </c>
      <c r="E14" s="67">
        <v>150</v>
      </c>
    </row>
    <row r="15" spans="2:5" ht="15.75">
      <c r="B15" s="156" t="s">
        <v>14</v>
      </c>
      <c r="C15" s="67"/>
      <c r="D15" s="255"/>
      <c r="E15" s="255"/>
    </row>
    <row r="16" spans="2:5" ht="15.75">
      <c r="B16" s="249" t="s">
        <v>700</v>
      </c>
      <c r="C16" s="293">
        <f>IF(C17*0.1&lt;C15,"Exceed 10% Rule","")</f>
      </c>
      <c r="D16" s="260">
        <f>IF(D17*0.1&lt;D15,"Exceed 10% Rule","")</f>
      </c>
      <c r="E16" s="260">
        <f>IF(E17*0.1&lt;E15,"Exceed 10% Rule","")</f>
      </c>
    </row>
    <row r="17" spans="2:5" ht="15.75">
      <c r="B17" s="261" t="s">
        <v>109</v>
      </c>
      <c r="C17" s="264">
        <f>SUM(C8:C15)</f>
        <v>77704</v>
      </c>
      <c r="D17" s="264">
        <f>SUM(D8:D15)</f>
        <v>79178</v>
      </c>
      <c r="E17" s="264">
        <f>SUM(E8:E15)</f>
        <v>79726</v>
      </c>
    </row>
    <row r="18" spans="2:5" ht="15.75">
      <c r="B18" s="261" t="s">
        <v>110</v>
      </c>
      <c r="C18" s="264">
        <f>C6+C17</f>
        <v>110525</v>
      </c>
      <c r="D18" s="264">
        <f>D6+D17</f>
        <v>104348</v>
      </c>
      <c r="E18" s="264">
        <f>E6+E17</f>
        <v>99677</v>
      </c>
    </row>
    <row r="19" spans="2:5" ht="15.75">
      <c r="B19" s="147" t="s">
        <v>112</v>
      </c>
      <c r="C19" s="225"/>
      <c r="D19" s="225"/>
      <c r="E19" s="225"/>
    </row>
    <row r="20" spans="2:5" ht="15.75">
      <c r="B20" s="270" t="s">
        <v>113</v>
      </c>
      <c r="C20" s="67">
        <v>57584</v>
      </c>
      <c r="D20" s="67">
        <v>60763</v>
      </c>
      <c r="E20" s="67">
        <v>74000</v>
      </c>
    </row>
    <row r="21" spans="2:5" ht="15.75">
      <c r="B21" s="270" t="s">
        <v>114</v>
      </c>
      <c r="C21" s="67">
        <v>16921</v>
      </c>
      <c r="D21" s="67">
        <v>12784</v>
      </c>
      <c r="E21" s="67">
        <v>17000</v>
      </c>
    </row>
    <row r="22" spans="2:5" ht="15.75">
      <c r="B22" s="270" t="s">
        <v>981</v>
      </c>
      <c r="C22" s="67">
        <v>7000</v>
      </c>
      <c r="D22" s="67">
        <v>7000</v>
      </c>
      <c r="E22" s="67">
        <v>0</v>
      </c>
    </row>
    <row r="23" spans="2:5" ht="15.75">
      <c r="B23" s="270" t="s">
        <v>996</v>
      </c>
      <c r="C23" s="67">
        <v>3850</v>
      </c>
      <c r="D23" s="67">
        <v>3850</v>
      </c>
      <c r="E23" s="67">
        <v>3850</v>
      </c>
    </row>
    <row r="24" spans="2:5" ht="15.75">
      <c r="B24" s="270"/>
      <c r="C24" s="67"/>
      <c r="D24" s="67"/>
      <c r="E24" s="67"/>
    </row>
    <row r="25" spans="2:5" ht="15.75">
      <c r="B25" s="270"/>
      <c r="C25" s="67"/>
      <c r="D25" s="67"/>
      <c r="E25" s="67"/>
    </row>
    <row r="26" spans="2:5" ht="15.75">
      <c r="B26" s="270"/>
      <c r="C26" s="67"/>
      <c r="D26" s="67"/>
      <c r="E26" s="67"/>
    </row>
    <row r="27" spans="2:5" ht="15.75">
      <c r="B27" s="270"/>
      <c r="C27" s="67"/>
      <c r="D27" s="67"/>
      <c r="E27" s="67"/>
    </row>
    <row r="28" spans="2:5" ht="15.75">
      <c r="B28" s="271" t="s">
        <v>14</v>
      </c>
      <c r="C28" s="67"/>
      <c r="D28" s="255"/>
      <c r="E28" s="255">
        <v>4827</v>
      </c>
    </row>
    <row r="29" spans="2:5" ht="15.75">
      <c r="B29" s="271" t="s">
        <v>701</v>
      </c>
      <c r="C29" s="293">
        <f>IF(C30*0.1&lt;C28,"Exceed 10% Rule","")</f>
      </c>
      <c r="D29" s="260">
        <f>IF(D30*0.1&lt;D28,"Exceed 10% Rule","")</f>
      </c>
      <c r="E29" s="260">
        <f>IF(E30*0.1&lt;E28,"Exceed 10% Rule","")</f>
      </c>
    </row>
    <row r="30" spans="2:5" ht="15.75">
      <c r="B30" s="261" t="s">
        <v>116</v>
      </c>
      <c r="C30" s="264">
        <f>SUM(C20:C28)</f>
        <v>85355</v>
      </c>
      <c r="D30" s="264">
        <f>SUM(D20:D28)</f>
        <v>84397</v>
      </c>
      <c r="E30" s="264">
        <f>SUM(E20:E28)</f>
        <v>99677</v>
      </c>
    </row>
    <row r="31" spans="2:5" ht="15.75">
      <c r="B31" s="147" t="s">
        <v>222</v>
      </c>
      <c r="C31" s="82">
        <f>C18-C30</f>
        <v>25170</v>
      </c>
      <c r="D31" s="82">
        <f>D18-D30</f>
        <v>19951</v>
      </c>
      <c r="E31" s="82">
        <f>E18-E30</f>
        <v>0</v>
      </c>
    </row>
    <row r="32" spans="2:5" ht="15.75">
      <c r="B32" s="133" t="str">
        <f>CONCATENATE("",E1-2,"/",E1-1," Budget Authority Amount:")</f>
        <v>2011/2012 Budget Authority Amount:</v>
      </c>
      <c r="C32" s="238">
        <f>inputOth!B56</f>
        <v>110933</v>
      </c>
      <c r="D32" s="238">
        <f>inputPrYr!D34</f>
        <v>104096</v>
      </c>
      <c r="E32" s="344">
        <f>IF(E31&lt;0,"See Tab E","")</f>
      </c>
    </row>
    <row r="33" spans="2:5" ht="15.75">
      <c r="B33" s="133"/>
      <c r="C33" s="274">
        <f>IF(C30&gt;C32,"See Tab A","")</f>
      </c>
      <c r="D33" s="274">
        <f>IF(D30&gt;D32,"See Tab C","")</f>
      </c>
      <c r="E33" s="96"/>
    </row>
    <row r="34" spans="2:5" ht="15.75">
      <c r="B34" s="133"/>
      <c r="C34" s="274">
        <f>IF(C31&lt;0,"See Tab B","")</f>
      </c>
      <c r="D34" s="274">
        <f>IF(D31&lt;0,"See Tab D","")</f>
      </c>
      <c r="E34" s="96"/>
    </row>
    <row r="35" spans="2:5" ht="15.75">
      <c r="B35" s="47"/>
      <c r="C35" s="96"/>
      <c r="D35" s="96"/>
      <c r="E35" s="96"/>
    </row>
    <row r="36" spans="2:5" ht="15.75">
      <c r="B36" s="52" t="s">
        <v>102</v>
      </c>
      <c r="C36" s="288"/>
      <c r="D36" s="288"/>
      <c r="E36" s="288"/>
    </row>
    <row r="37" spans="2:5" ht="15.75">
      <c r="B37" s="47"/>
      <c r="C37" s="639" t="s">
        <v>862</v>
      </c>
      <c r="D37" s="640" t="s">
        <v>863</v>
      </c>
      <c r="E37" s="141" t="s">
        <v>864</v>
      </c>
    </row>
    <row r="38" spans="2:5" ht="15.75">
      <c r="B38" s="464" t="str">
        <f>(inputPrYr!B35)</f>
        <v>Special Parks &amp; Recreation</v>
      </c>
      <c r="C38" s="222" t="str">
        <f>CONCATENATE("Actual for ",$E$1-2,"")</f>
        <v>Actual for 2011</v>
      </c>
      <c r="D38" s="222" t="str">
        <f>CONCATENATE("Estimate for ",$E$1-1,"")</f>
        <v>Estimate for 2012</v>
      </c>
      <c r="E38" s="205" t="str">
        <f>CONCATENATE("Year for ",$E$1,"")</f>
        <v>Year for 2013</v>
      </c>
    </row>
    <row r="39" spans="2:5" ht="15.75">
      <c r="B39" s="249" t="s">
        <v>221</v>
      </c>
      <c r="C39" s="67">
        <v>3237</v>
      </c>
      <c r="D39" s="225">
        <f>C62</f>
        <v>3613</v>
      </c>
      <c r="E39" s="225">
        <f>D62</f>
        <v>2188</v>
      </c>
    </row>
    <row r="40" spans="2:5" ht="15.75">
      <c r="B40" s="253" t="s">
        <v>223</v>
      </c>
      <c r="C40" s="86"/>
      <c r="D40" s="86"/>
      <c r="E40" s="86"/>
    </row>
    <row r="41" spans="2:5" ht="15.75">
      <c r="B41" s="270" t="s">
        <v>1008</v>
      </c>
      <c r="C41" s="67">
        <v>2840</v>
      </c>
      <c r="D41" s="67">
        <v>2800</v>
      </c>
      <c r="E41" s="67">
        <v>2800</v>
      </c>
    </row>
    <row r="42" spans="2:5" ht="15.75">
      <c r="B42" s="270" t="s">
        <v>1013</v>
      </c>
      <c r="C42" s="67">
        <v>0</v>
      </c>
      <c r="D42" s="67">
        <v>0</v>
      </c>
      <c r="E42" s="67">
        <v>50</v>
      </c>
    </row>
    <row r="43" spans="2:5" ht="15.75">
      <c r="B43" s="270"/>
      <c r="C43" s="67"/>
      <c r="D43" s="67"/>
      <c r="E43" s="67"/>
    </row>
    <row r="44" spans="2:5" ht="15.75">
      <c r="B44" s="270"/>
      <c r="C44" s="67"/>
      <c r="D44" s="67"/>
      <c r="E44" s="67"/>
    </row>
    <row r="45" spans="2:5" ht="15.75">
      <c r="B45" s="258" t="s">
        <v>108</v>
      </c>
      <c r="C45" s="67">
        <v>23</v>
      </c>
      <c r="D45" s="67">
        <v>25</v>
      </c>
      <c r="E45" s="67">
        <v>20</v>
      </c>
    </row>
    <row r="46" spans="2:5" ht="15.75">
      <c r="B46" s="156" t="s">
        <v>14</v>
      </c>
      <c r="C46" s="67"/>
      <c r="D46" s="255"/>
      <c r="E46" s="255"/>
    </row>
    <row r="47" spans="2:5" ht="15.75">
      <c r="B47" s="249" t="s">
        <v>700</v>
      </c>
      <c r="C47" s="293">
        <f>IF(C48*0.1&lt;C46,"Exceed 10% Rule","")</f>
      </c>
      <c r="D47" s="260">
        <f>IF(D48*0.1&lt;D46,"Exceed 10% Rule","")</f>
      </c>
      <c r="E47" s="260">
        <f>IF(E48*0.1&lt;E46,"Exceed 10% Rule","")</f>
      </c>
    </row>
    <row r="48" spans="2:5" ht="15.75">
      <c r="B48" s="261" t="s">
        <v>109</v>
      </c>
      <c r="C48" s="264">
        <f>SUM(C41:C46)</f>
        <v>2863</v>
      </c>
      <c r="D48" s="264">
        <f>SUM(D41:D46)</f>
        <v>2825</v>
      </c>
      <c r="E48" s="264">
        <f>SUM(E41:E46)</f>
        <v>2870</v>
      </c>
    </row>
    <row r="49" spans="2:5" ht="15.75">
      <c r="B49" s="261" t="s">
        <v>110</v>
      </c>
      <c r="C49" s="264">
        <f>C39+C48</f>
        <v>6100</v>
      </c>
      <c r="D49" s="264">
        <f>D39+D48</f>
        <v>6438</v>
      </c>
      <c r="E49" s="264">
        <f>E39+E48</f>
        <v>5058</v>
      </c>
    </row>
    <row r="50" spans="2:5" ht="15.75">
      <c r="B50" s="147" t="s">
        <v>112</v>
      </c>
      <c r="C50" s="225"/>
      <c r="D50" s="225"/>
      <c r="E50" s="225"/>
    </row>
    <row r="51" spans="2:5" ht="15.75">
      <c r="B51" s="270" t="s">
        <v>113</v>
      </c>
      <c r="C51" s="67">
        <v>1156</v>
      </c>
      <c r="D51" s="67">
        <v>1250</v>
      </c>
      <c r="E51" s="67">
        <v>1350</v>
      </c>
    </row>
    <row r="52" spans="2:5" ht="15.75">
      <c r="B52" s="270" t="s">
        <v>115</v>
      </c>
      <c r="C52" s="67">
        <v>0</v>
      </c>
      <c r="D52" s="67">
        <v>1000</v>
      </c>
      <c r="E52" s="67">
        <v>1150</v>
      </c>
    </row>
    <row r="53" spans="2:5" ht="15.75">
      <c r="B53" s="270" t="s">
        <v>1009</v>
      </c>
      <c r="C53" s="67">
        <v>1331</v>
      </c>
      <c r="D53" s="67">
        <v>2000</v>
      </c>
      <c r="E53" s="67">
        <v>2300</v>
      </c>
    </row>
    <row r="54" spans="2:5" ht="15.75">
      <c r="B54" s="270"/>
      <c r="C54" s="67"/>
      <c r="D54" s="67"/>
      <c r="E54" s="67"/>
    </row>
    <row r="55" spans="2:5" ht="15.75">
      <c r="B55" s="270"/>
      <c r="C55" s="67"/>
      <c r="D55" s="67"/>
      <c r="E55" s="67"/>
    </row>
    <row r="56" spans="2:5" ht="15.75">
      <c r="B56" s="270"/>
      <c r="C56" s="67"/>
      <c r="D56" s="67"/>
      <c r="E56" s="67"/>
    </row>
    <row r="57" spans="2:5" ht="15.75">
      <c r="B57" s="270"/>
      <c r="C57" s="67"/>
      <c r="D57" s="67"/>
      <c r="E57" s="67"/>
    </row>
    <row r="58" spans="2:5" ht="15.75">
      <c r="B58" s="270"/>
      <c r="C58" s="67"/>
      <c r="D58" s="67"/>
      <c r="E58" s="67"/>
    </row>
    <row r="59" spans="2:5" ht="15.75">
      <c r="B59" s="271" t="s">
        <v>14</v>
      </c>
      <c r="C59" s="67"/>
      <c r="D59" s="255"/>
      <c r="E59" s="255">
        <v>257</v>
      </c>
    </row>
    <row r="60" spans="2:5" ht="15.75">
      <c r="B60" s="271" t="s">
        <v>701</v>
      </c>
      <c r="C60" s="293">
        <f>IF(C61*0.1&lt;C59,"Exceed 10% Rule","")</f>
      </c>
      <c r="D60" s="260">
        <f>IF(D61*0.1&lt;D59,"Exceed 10% Rule","")</f>
      </c>
      <c r="E60" s="260">
        <f>IF(E61*0.1&lt;E59,"Exceed 10% Rule","")</f>
      </c>
    </row>
    <row r="61" spans="2:5" ht="15.75">
      <c r="B61" s="261" t="s">
        <v>116</v>
      </c>
      <c r="C61" s="264">
        <f>SUM(C51:C59)</f>
        <v>2487</v>
      </c>
      <c r="D61" s="264">
        <f>SUM(D51:D59)</f>
        <v>4250</v>
      </c>
      <c r="E61" s="264">
        <f>SUM(E51:E59)</f>
        <v>5057</v>
      </c>
    </row>
    <row r="62" spans="2:5" ht="15.75">
      <c r="B62" s="147" t="s">
        <v>222</v>
      </c>
      <c r="C62" s="82">
        <f>C49-C61</f>
        <v>3613</v>
      </c>
      <c r="D62" s="82">
        <f>D49-D61</f>
        <v>2188</v>
      </c>
      <c r="E62" s="82">
        <f>E49-E61</f>
        <v>1</v>
      </c>
    </row>
    <row r="63" spans="2:5" ht="15.75">
      <c r="B63" s="133" t="str">
        <f>CONCATENATE("",E1-2,"/",E1-1," Budget Authority Amount:")</f>
        <v>2011/2012 Budget Authority Amount:</v>
      </c>
      <c r="C63" s="238">
        <f>inputOth!B57</f>
        <v>7450</v>
      </c>
      <c r="D63" s="238">
        <f>inputPrYr!D35</f>
        <v>5219</v>
      </c>
      <c r="E63" s="344">
        <f>IF(E62&lt;0,"See Tab E","")</f>
      </c>
    </row>
    <row r="64" spans="2:5" ht="15.75">
      <c r="B64" s="133"/>
      <c r="C64" s="274">
        <f>IF(C61&gt;C63,"See Tab A","")</f>
      </c>
      <c r="D64" s="274">
        <f>IF(D61&gt;D63,"See Tab C","")</f>
      </c>
      <c r="E64" s="47"/>
    </row>
    <row r="65" spans="2:5" ht="15.75">
      <c r="B65" s="133"/>
      <c r="C65" s="274">
        <f>IF(C62&lt;0,"See Tab B","")</f>
      </c>
      <c r="D65" s="274">
        <f>IF(D62&lt;0,"See Tab D","")</f>
      </c>
      <c r="E65" s="47"/>
    </row>
    <row r="66" spans="2:5" ht="15.75">
      <c r="B66" s="47"/>
      <c r="C66" s="47"/>
      <c r="D66" s="47"/>
      <c r="E66" s="47"/>
    </row>
    <row r="67" spans="2:5" ht="15.75">
      <c r="B67" s="367" t="s">
        <v>119</v>
      </c>
      <c r="C67" s="278">
        <v>11</v>
      </c>
      <c r="D67" s="47"/>
      <c r="E67" s="47"/>
    </row>
  </sheetData>
  <sheetProtection sheet="1"/>
  <conditionalFormatting sqref="C15">
    <cfRule type="cellIs" priority="3" dxfId="274" operator="greaterThan" stopIfTrue="1">
      <formula>$C$17*0.1</formula>
    </cfRule>
  </conditionalFormatting>
  <conditionalFormatting sqref="D15">
    <cfRule type="cellIs" priority="4" dxfId="274" operator="greaterThan" stopIfTrue="1">
      <formula>$D$17*0.1</formula>
    </cfRule>
  </conditionalFormatting>
  <conditionalFormatting sqref="E15">
    <cfRule type="cellIs" priority="5" dxfId="274" operator="greaterThan" stopIfTrue="1">
      <formula>$E$17*0.1</formula>
    </cfRule>
  </conditionalFormatting>
  <conditionalFormatting sqref="C28">
    <cfRule type="cellIs" priority="6" dxfId="274" operator="greaterThan" stopIfTrue="1">
      <formula>$C$30*0.1</formula>
    </cfRule>
  </conditionalFormatting>
  <conditionalFormatting sqref="D28">
    <cfRule type="cellIs" priority="7" dxfId="274" operator="greaterThan" stopIfTrue="1">
      <formula>$D$30*0.1</formula>
    </cfRule>
  </conditionalFormatting>
  <conditionalFormatting sqref="E28">
    <cfRule type="cellIs" priority="8" dxfId="274" operator="greaterThan" stopIfTrue="1">
      <formula>$E$30*0.1</formula>
    </cfRule>
  </conditionalFormatting>
  <conditionalFormatting sqref="C46">
    <cfRule type="cellIs" priority="9" dxfId="274" operator="greaterThan" stopIfTrue="1">
      <formula>$C$48*0.1</formula>
    </cfRule>
  </conditionalFormatting>
  <conditionalFormatting sqref="D46">
    <cfRule type="cellIs" priority="10" dxfId="274" operator="greaterThan" stopIfTrue="1">
      <formula>$D$48*0.1</formula>
    </cfRule>
  </conditionalFormatting>
  <conditionalFormatting sqref="E46">
    <cfRule type="cellIs" priority="11" dxfId="274" operator="greaterThan" stopIfTrue="1">
      <formula>$E$48*0.1</formula>
    </cfRule>
  </conditionalFormatting>
  <conditionalFormatting sqref="C59">
    <cfRule type="cellIs" priority="12" dxfId="274" operator="greaterThan" stopIfTrue="1">
      <formula>$C$61*0.1</formula>
    </cfRule>
  </conditionalFormatting>
  <conditionalFormatting sqref="D59">
    <cfRule type="cellIs" priority="13" dxfId="274" operator="greaterThan" stopIfTrue="1">
      <formula>$D$61*0.1</formula>
    </cfRule>
  </conditionalFormatting>
  <conditionalFormatting sqref="E59">
    <cfRule type="cellIs" priority="14" dxfId="274"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B4" sqref="B4"/>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(inputPrYr!B38)</f>
        <v>Municipal Equipment</v>
      </c>
      <c r="C5" s="222" t="str">
        <f>CONCATENATE("Actual for ",E1-2,"")</f>
        <v>Actual for 2011</v>
      </c>
      <c r="D5" s="222" t="str">
        <f>CONCATENATE("Estimate for ",E1-1,"")</f>
        <v>Estimate for 2012</v>
      </c>
      <c r="E5" s="205" t="str">
        <f>CONCATENATE("Year for ",E1,"")</f>
        <v>Year for 2013</v>
      </c>
    </row>
    <row r="6" spans="2:5" ht="15.75">
      <c r="B6" s="249" t="s">
        <v>221</v>
      </c>
      <c r="C6" s="67">
        <v>308145</v>
      </c>
      <c r="D6" s="225">
        <f>C35</f>
        <v>224662</v>
      </c>
      <c r="E6" s="225">
        <f>D35</f>
        <v>132525</v>
      </c>
    </row>
    <row r="7" spans="2:5" ht="15.75">
      <c r="B7" s="253" t="s">
        <v>223</v>
      </c>
      <c r="C7" s="86"/>
      <c r="D7" s="86"/>
      <c r="E7" s="86"/>
    </row>
    <row r="8" spans="2:5" ht="15.75">
      <c r="B8" s="270" t="s">
        <v>1032</v>
      </c>
      <c r="C8" s="67">
        <v>170</v>
      </c>
      <c r="D8" s="67">
        <v>3900</v>
      </c>
      <c r="E8" s="67">
        <v>1000</v>
      </c>
    </row>
    <row r="9" spans="2:5" ht="15.75">
      <c r="B9" s="270" t="s">
        <v>965</v>
      </c>
      <c r="C9" s="67">
        <v>6734</v>
      </c>
      <c r="D9" s="67">
        <v>3873</v>
      </c>
      <c r="E9" s="67">
        <v>1000</v>
      </c>
    </row>
    <row r="10" spans="2:5" ht="15.75">
      <c r="B10" s="270" t="s">
        <v>1015</v>
      </c>
      <c r="C10" s="67">
        <v>35833</v>
      </c>
      <c r="D10" s="67">
        <v>29500</v>
      </c>
      <c r="E10" s="67">
        <v>33500</v>
      </c>
    </row>
    <row r="11" spans="2:5" ht="15.75">
      <c r="B11" s="270" t="s">
        <v>1033</v>
      </c>
      <c r="C11" s="67">
        <v>3850</v>
      </c>
      <c r="D11" s="67">
        <v>3850</v>
      </c>
      <c r="E11" s="67">
        <v>3850</v>
      </c>
    </row>
    <row r="12" spans="2:5" ht="15.75">
      <c r="B12" s="270" t="s">
        <v>1017</v>
      </c>
      <c r="C12" s="67">
        <v>89000</v>
      </c>
      <c r="D12" s="67">
        <v>36000</v>
      </c>
      <c r="E12" s="67">
        <v>95000</v>
      </c>
    </row>
    <row r="13" spans="2:5" ht="15.75">
      <c r="B13" s="270" t="s">
        <v>1018</v>
      </c>
      <c r="C13" s="67">
        <v>8000</v>
      </c>
      <c r="D13" s="67">
        <v>4000</v>
      </c>
      <c r="E13" s="67">
        <v>2000</v>
      </c>
    </row>
    <row r="14" spans="2:5" ht="15.75">
      <c r="B14" s="270"/>
      <c r="C14" s="67"/>
      <c r="D14" s="67"/>
      <c r="E14" s="67"/>
    </row>
    <row r="15" spans="2:5" ht="15.75">
      <c r="B15" s="258" t="s">
        <v>108</v>
      </c>
      <c r="C15" s="67">
        <v>2247</v>
      </c>
      <c r="D15" s="67">
        <v>1250</v>
      </c>
      <c r="E15" s="67">
        <v>1000</v>
      </c>
    </row>
    <row r="16" spans="2:5" ht="15.75">
      <c r="B16" s="156" t="s">
        <v>14</v>
      </c>
      <c r="C16" s="67"/>
      <c r="D16" s="255">
        <v>100</v>
      </c>
      <c r="E16" s="255">
        <v>100</v>
      </c>
    </row>
    <row r="17" spans="2:5" ht="15.75">
      <c r="B17" s="249" t="s">
        <v>700</v>
      </c>
      <c r="C17" s="293">
        <f>IF(C18*0.1&lt;C16,"Exceed 10% Rule","")</f>
      </c>
      <c r="D17" s="260">
        <f>IF(D18*0.1&lt;D16,"Exceed 10% Rule","")</f>
      </c>
      <c r="E17" s="260">
        <f>IF(E18*0.1&lt;E16,"Exceed 10% Rule","")</f>
      </c>
    </row>
    <row r="18" spans="2:5" ht="15.75">
      <c r="B18" s="261" t="s">
        <v>109</v>
      </c>
      <c r="C18" s="264">
        <f>SUM(C8:C16)</f>
        <v>145834</v>
      </c>
      <c r="D18" s="264">
        <f>SUM(D8:D16)</f>
        <v>82473</v>
      </c>
      <c r="E18" s="264">
        <f>SUM(E8:E16)</f>
        <v>137450</v>
      </c>
    </row>
    <row r="19" spans="2:5" ht="15.75">
      <c r="B19" s="261" t="s">
        <v>110</v>
      </c>
      <c r="C19" s="264">
        <f>C6+C18</f>
        <v>453979</v>
      </c>
      <c r="D19" s="264">
        <f>D6+D18</f>
        <v>307135</v>
      </c>
      <c r="E19" s="264">
        <f>E6+E18</f>
        <v>269975</v>
      </c>
    </row>
    <row r="20" spans="2:5" ht="15.75">
      <c r="B20" s="147" t="s">
        <v>112</v>
      </c>
      <c r="C20" s="225"/>
      <c r="D20" s="225"/>
      <c r="E20" s="225"/>
    </row>
    <row r="21" spans="2:5" ht="15.75">
      <c r="B21" s="270" t="s">
        <v>115</v>
      </c>
      <c r="C21" s="67">
        <v>1009</v>
      </c>
      <c r="D21" s="67">
        <v>7388</v>
      </c>
      <c r="E21" s="67">
        <v>98150</v>
      </c>
    </row>
    <row r="22" spans="2:5" ht="15.75">
      <c r="B22" s="270" t="s">
        <v>1021</v>
      </c>
      <c r="C22" s="67">
        <v>3378</v>
      </c>
      <c r="D22" s="67">
        <v>4002</v>
      </c>
      <c r="E22" s="67">
        <v>5200</v>
      </c>
    </row>
    <row r="23" spans="2:5" ht="15.75">
      <c r="B23" s="270" t="s">
        <v>1022</v>
      </c>
      <c r="C23" s="67">
        <v>8196</v>
      </c>
      <c r="D23" s="67">
        <v>18120</v>
      </c>
      <c r="E23" s="67">
        <v>11000</v>
      </c>
    </row>
    <row r="24" spans="2:5" ht="15.75">
      <c r="B24" s="270" t="s">
        <v>1023</v>
      </c>
      <c r="C24" s="67">
        <v>8100</v>
      </c>
      <c r="D24" s="67">
        <v>33250</v>
      </c>
      <c r="E24" s="67">
        <v>7000</v>
      </c>
    </row>
    <row r="25" spans="2:5" ht="15.75">
      <c r="B25" s="270" t="s">
        <v>1034</v>
      </c>
      <c r="C25" s="67">
        <v>44310</v>
      </c>
      <c r="D25" s="67">
        <v>45000</v>
      </c>
      <c r="E25" s="67">
        <v>25300</v>
      </c>
    </row>
    <row r="26" spans="2:5" ht="15.75">
      <c r="B26" s="270" t="s">
        <v>1035</v>
      </c>
      <c r="C26" s="67">
        <v>81624</v>
      </c>
      <c r="D26" s="67">
        <v>17000</v>
      </c>
      <c r="E26" s="67">
        <v>14000</v>
      </c>
    </row>
    <row r="27" spans="2:5" ht="15.75">
      <c r="B27" s="270" t="s">
        <v>1025</v>
      </c>
      <c r="C27" s="67">
        <v>3850</v>
      </c>
      <c r="D27" s="67">
        <v>3850</v>
      </c>
      <c r="E27" s="67">
        <v>3850</v>
      </c>
    </row>
    <row r="28" spans="2:5" ht="15.75">
      <c r="B28" s="270" t="s">
        <v>1036</v>
      </c>
      <c r="C28" s="67">
        <v>75772</v>
      </c>
      <c r="D28" s="67">
        <v>32000</v>
      </c>
      <c r="E28" s="67">
        <v>64500</v>
      </c>
    </row>
    <row r="29" spans="2:5" ht="15.75">
      <c r="B29" s="270" t="s">
        <v>1037</v>
      </c>
      <c r="C29" s="67">
        <v>0</v>
      </c>
      <c r="D29" s="67">
        <v>1000</v>
      </c>
      <c r="E29" s="67">
        <v>11000</v>
      </c>
    </row>
    <row r="30" spans="2:5" ht="15.75">
      <c r="B30" s="270" t="s">
        <v>1038</v>
      </c>
      <c r="C30" s="67">
        <v>3078</v>
      </c>
      <c r="D30" s="67">
        <v>13000</v>
      </c>
      <c r="E30" s="67">
        <v>3000</v>
      </c>
    </row>
    <row r="31" spans="2:5" ht="15.75">
      <c r="B31" s="270"/>
      <c r="C31" s="67"/>
      <c r="D31" s="67"/>
      <c r="E31" s="67"/>
    </row>
    <row r="32" spans="2:5" ht="15.75">
      <c r="B32" s="271" t="s">
        <v>14</v>
      </c>
      <c r="C32" s="67"/>
      <c r="D32" s="255"/>
      <c r="E32" s="255">
        <v>26975</v>
      </c>
    </row>
    <row r="33" spans="2:5" ht="15.75">
      <c r="B33" s="271" t="s">
        <v>701</v>
      </c>
      <c r="C33" s="293">
        <f>IF(C34*0.1&lt;C32,"Exceed 10% Rule","")</f>
      </c>
      <c r="D33" s="260">
        <f>IF(D34*0.1&lt;D32,"Exceed 10% Rule","")</f>
      </c>
      <c r="E33" s="260">
        <f>IF(E34*0.1&lt;E32,"Exceed 10% Rule","")</f>
      </c>
    </row>
    <row r="34" spans="2:5" ht="15.75">
      <c r="B34" s="261" t="s">
        <v>116</v>
      </c>
      <c r="C34" s="264">
        <f>SUM(C21:C32)</f>
        <v>229317</v>
      </c>
      <c r="D34" s="264">
        <f>SUM(D21:D32)</f>
        <v>174610</v>
      </c>
      <c r="E34" s="264">
        <f>SUM(E21:E32)</f>
        <v>269975</v>
      </c>
    </row>
    <row r="35" spans="2:5" ht="15.75">
      <c r="B35" s="147" t="s">
        <v>222</v>
      </c>
      <c r="C35" s="82">
        <f>C19-C34</f>
        <v>224662</v>
      </c>
      <c r="D35" s="82">
        <f>D19-D34</f>
        <v>132525</v>
      </c>
      <c r="E35" s="82">
        <f>E19-E34</f>
        <v>0</v>
      </c>
    </row>
    <row r="36" spans="2:5" ht="15.75">
      <c r="B36" s="133" t="str">
        <f>CONCATENATE("",E1-2,"/",E1-1," Budget Authority Amount:")</f>
        <v>2011/2012 Budget Authority Amount:</v>
      </c>
      <c r="C36" s="238">
        <f>inputOth!B60</f>
        <v>489321</v>
      </c>
      <c r="D36" s="238">
        <f>inputPrYr!D38</f>
        <v>315079</v>
      </c>
      <c r="E36" s="344">
        <f>IF(E35&lt;0,"See Tab E","")</f>
      </c>
    </row>
    <row r="37" spans="2:5" ht="15.75">
      <c r="B37" s="133"/>
      <c r="C37" s="274">
        <f>IF(C34&gt;C36,"See Tab A","")</f>
      </c>
      <c r="D37" s="274">
        <f>IF(D34&gt;D36,"See Tab C","")</f>
      </c>
      <c r="E37" s="96"/>
    </row>
    <row r="38" spans="2:5" ht="15.75">
      <c r="B38" s="133"/>
      <c r="C38" s="274">
        <f>IF(C35&lt;0,"See Tab B","")</f>
      </c>
      <c r="D38" s="274">
        <f>IF(D35&lt;0,"See Tab D","")</f>
      </c>
      <c r="E38" s="96"/>
    </row>
    <row r="39" spans="2:5" ht="15.75">
      <c r="B39" s="47"/>
      <c r="C39" s="96"/>
      <c r="D39" s="96"/>
      <c r="E39" s="96"/>
    </row>
    <row r="40" spans="2:5" ht="15.75">
      <c r="B40" s="52" t="s">
        <v>102</v>
      </c>
      <c r="C40" s="288"/>
      <c r="D40" s="288"/>
      <c r="E40" s="288"/>
    </row>
    <row r="41" spans="2:5" ht="15.75">
      <c r="B41" s="47"/>
      <c r="C41" s="639" t="s">
        <v>862</v>
      </c>
      <c r="D41" s="640" t="s">
        <v>863</v>
      </c>
      <c r="E41" s="141" t="s">
        <v>864</v>
      </c>
    </row>
    <row r="42" spans="2:5" ht="15.75">
      <c r="B42" s="464" t="str">
        <f>(inputPrYr!B39)</f>
        <v>Tourism &amp; Convention</v>
      </c>
      <c r="C42" s="222" t="str">
        <f>CONCATENATE("Actual for ",$E$1-2,"")</f>
        <v>Actual for 2011</v>
      </c>
      <c r="D42" s="222" t="str">
        <f>CONCATENATE("Estimate for ",$E$1-1,"")</f>
        <v>Estimate for 2012</v>
      </c>
      <c r="E42" s="205" t="str">
        <f>CONCATENATE("Year for ",$E$1,"")</f>
        <v>Year for 2013</v>
      </c>
    </row>
    <row r="43" spans="2:5" ht="15.75">
      <c r="B43" s="249" t="s">
        <v>221</v>
      </c>
      <c r="C43" s="67">
        <v>13072</v>
      </c>
      <c r="D43" s="225">
        <f>C66</f>
        <v>14263</v>
      </c>
      <c r="E43" s="225">
        <f>D66</f>
        <v>18098</v>
      </c>
    </row>
    <row r="44" spans="2:5" ht="15.75">
      <c r="B44" s="253" t="s">
        <v>223</v>
      </c>
      <c r="C44" s="86"/>
      <c r="D44" s="86"/>
      <c r="E44" s="86"/>
    </row>
    <row r="45" spans="2:5" ht="15.75">
      <c r="B45" s="270" t="s">
        <v>1039</v>
      </c>
      <c r="C45" s="67">
        <v>14189</v>
      </c>
      <c r="D45" s="67">
        <v>18000</v>
      </c>
      <c r="E45" s="67">
        <v>15000</v>
      </c>
    </row>
    <row r="46" spans="2:5" ht="15.75">
      <c r="B46" s="270" t="s">
        <v>1063</v>
      </c>
      <c r="C46" s="67">
        <v>0</v>
      </c>
      <c r="D46" s="67">
        <v>600</v>
      </c>
      <c r="E46" s="67">
        <v>0</v>
      </c>
    </row>
    <row r="47" spans="2:5" ht="15.75">
      <c r="B47" s="270"/>
      <c r="C47" s="67"/>
      <c r="D47" s="67"/>
      <c r="E47" s="67"/>
    </row>
    <row r="48" spans="2:5" ht="15.75">
      <c r="B48" s="270"/>
      <c r="C48" s="67"/>
      <c r="D48" s="67"/>
      <c r="E48" s="67"/>
    </row>
    <row r="49" spans="2:5" ht="15.75">
      <c r="B49" s="258" t="s">
        <v>108</v>
      </c>
      <c r="C49" s="67">
        <v>74</v>
      </c>
      <c r="D49" s="67">
        <v>85</v>
      </c>
      <c r="E49" s="67">
        <v>70</v>
      </c>
    </row>
    <row r="50" spans="2:5" ht="15.75">
      <c r="B50" s="156" t="s">
        <v>14</v>
      </c>
      <c r="C50" s="67"/>
      <c r="D50" s="255"/>
      <c r="E50" s="255"/>
    </row>
    <row r="51" spans="2:5" ht="15.75">
      <c r="B51" s="249" t="s">
        <v>700</v>
      </c>
      <c r="C51" s="293">
        <f>IF(C52*0.1&lt;C50,"Exceed 10% Rule","")</f>
      </c>
      <c r="D51" s="260">
        <f>IF(D52*0.1&lt;D50,"Exceed 10% Rule","")</f>
      </c>
      <c r="E51" s="260">
        <f>IF(E52*0.1&lt;E50,"Exceed 10% Rule","")</f>
      </c>
    </row>
    <row r="52" spans="2:5" ht="15.75">
      <c r="B52" s="261" t="s">
        <v>109</v>
      </c>
      <c r="C52" s="264">
        <f>SUM(C45:C50)</f>
        <v>14263</v>
      </c>
      <c r="D52" s="264">
        <f>SUM(D45:D50)</f>
        <v>18685</v>
      </c>
      <c r="E52" s="264">
        <f>SUM(E45:E50)</f>
        <v>15070</v>
      </c>
    </row>
    <row r="53" spans="2:5" ht="15.75">
      <c r="B53" s="261" t="s">
        <v>110</v>
      </c>
      <c r="C53" s="264">
        <f>C43+C52</f>
        <v>27335</v>
      </c>
      <c r="D53" s="264">
        <f>D43+D52</f>
        <v>32948</v>
      </c>
      <c r="E53" s="264">
        <f>E43+E52</f>
        <v>33168</v>
      </c>
    </row>
    <row r="54" spans="2:5" ht="15.75">
      <c r="B54" s="147" t="s">
        <v>112</v>
      </c>
      <c r="C54" s="225"/>
      <c r="D54" s="225"/>
      <c r="E54" s="225"/>
    </row>
    <row r="55" spans="2:5" ht="15.75">
      <c r="B55" s="270" t="s">
        <v>1040</v>
      </c>
      <c r="C55" s="67">
        <v>5650</v>
      </c>
      <c r="D55" s="67">
        <v>8550</v>
      </c>
      <c r="E55" s="67">
        <v>12400</v>
      </c>
    </row>
    <row r="56" spans="2:5" ht="15.75">
      <c r="B56" s="270" t="s">
        <v>1041</v>
      </c>
      <c r="C56" s="67">
        <v>2500</v>
      </c>
      <c r="D56" s="67">
        <v>3700</v>
      </c>
      <c r="E56" s="67">
        <v>12000</v>
      </c>
    </row>
    <row r="57" spans="2:5" ht="15.75">
      <c r="B57" s="270" t="s">
        <v>1042</v>
      </c>
      <c r="C57" s="67">
        <v>0</v>
      </c>
      <c r="D57" s="67">
        <v>0</v>
      </c>
      <c r="E57" s="67">
        <v>110</v>
      </c>
    </row>
    <row r="58" spans="2:5" ht="15.75">
      <c r="B58" s="270" t="s">
        <v>1043</v>
      </c>
      <c r="C58" s="67">
        <v>4922</v>
      </c>
      <c r="D58" s="67">
        <v>2600</v>
      </c>
      <c r="E58" s="67">
        <v>7000</v>
      </c>
    </row>
    <row r="59" spans="2:5" ht="15.75">
      <c r="B59" s="270"/>
      <c r="C59" s="67"/>
      <c r="D59" s="67"/>
      <c r="E59" s="67"/>
    </row>
    <row r="60" spans="2:5" ht="15.75">
      <c r="B60" s="270"/>
      <c r="C60" s="67"/>
      <c r="D60" s="67"/>
      <c r="E60" s="67"/>
    </row>
    <row r="61" spans="2:5" ht="15.75">
      <c r="B61" s="270"/>
      <c r="C61" s="67"/>
      <c r="D61" s="67"/>
      <c r="E61" s="67"/>
    </row>
    <row r="62" spans="2:5" ht="15.75">
      <c r="B62" s="270"/>
      <c r="C62" s="67"/>
      <c r="D62" s="67"/>
      <c r="E62" s="67"/>
    </row>
    <row r="63" spans="2:5" ht="15.75">
      <c r="B63" s="271" t="s">
        <v>14</v>
      </c>
      <c r="C63" s="67"/>
      <c r="D63" s="255"/>
      <c r="E63" s="255">
        <v>1658</v>
      </c>
    </row>
    <row r="64" spans="2:5" ht="15.75">
      <c r="B64" s="289" t="s">
        <v>701</v>
      </c>
      <c r="C64" s="293">
        <f>IF(C65*0.1&lt;C63,"Exceed 10% Rule","")</f>
      </c>
      <c r="D64" s="260">
        <f>IF(D65*0.1&lt;D63,"Exceed 10% Rule","")</f>
      </c>
      <c r="E64" s="260">
        <f>IF(E65*0.1&lt;E63,"Exceed 10% Rule","")</f>
      </c>
    </row>
    <row r="65" spans="2:5" ht="15.75">
      <c r="B65" s="261" t="s">
        <v>116</v>
      </c>
      <c r="C65" s="264">
        <f>SUM(C55:C63)</f>
        <v>13072</v>
      </c>
      <c r="D65" s="264">
        <f>SUM(D55:D63)</f>
        <v>14850</v>
      </c>
      <c r="E65" s="264">
        <f>SUM(E55:E63)</f>
        <v>33168</v>
      </c>
    </row>
    <row r="66" spans="2:5" ht="15.75">
      <c r="B66" s="147" t="s">
        <v>222</v>
      </c>
      <c r="C66" s="82">
        <f>C53-C65</f>
        <v>14263</v>
      </c>
      <c r="D66" s="82">
        <f>D53-D65</f>
        <v>18098</v>
      </c>
      <c r="E66" s="82">
        <f>E53-E65</f>
        <v>0</v>
      </c>
    </row>
    <row r="67" spans="2:5" ht="15.75">
      <c r="B67" s="133" t="str">
        <f>CONCATENATE("",E1-2,"/",E1-1," Budget Authority Amount:")</f>
        <v>2011/2012 Budget Authority Amount:</v>
      </c>
      <c r="C67" s="238">
        <f>inputOth!B61</f>
        <v>22235</v>
      </c>
      <c r="D67" s="238">
        <f>inputPrYr!D39</f>
        <v>28170</v>
      </c>
      <c r="E67" s="344">
        <f>IF(E66&lt;0,"See Tab E","")</f>
      </c>
    </row>
    <row r="68" spans="2:5" ht="15.75">
      <c r="B68" s="133"/>
      <c r="C68" s="274">
        <f>IF(C65&gt;C67,"See Tab A","")</f>
      </c>
      <c r="D68" s="274">
        <f>IF(D65&gt;D67,"See Tab C","")</f>
      </c>
      <c r="E68" s="47"/>
    </row>
    <row r="69" spans="2:5" ht="15.75">
      <c r="B69" s="133"/>
      <c r="C69" s="274">
        <f>IF(C66&lt;0,"See Tab B","")</f>
      </c>
      <c r="D69" s="274">
        <f>IF(D66&lt;0,"See Tab D","")</f>
      </c>
      <c r="E69" s="47"/>
    </row>
    <row r="70" spans="2:5" ht="15.75">
      <c r="B70" s="47"/>
      <c r="C70" s="47"/>
      <c r="D70" s="47"/>
      <c r="E70" s="47"/>
    </row>
    <row r="71" spans="2:5" ht="15.75">
      <c r="B71" s="367" t="s">
        <v>119</v>
      </c>
      <c r="C71" s="278">
        <v>13</v>
      </c>
      <c r="D71" s="47"/>
      <c r="E71" s="47"/>
    </row>
  </sheetData>
  <sheetProtection/>
  <conditionalFormatting sqref="C16">
    <cfRule type="cellIs" priority="3" dxfId="274" operator="greaterThan" stopIfTrue="1">
      <formula>$C$18*0.1</formula>
    </cfRule>
  </conditionalFormatting>
  <conditionalFormatting sqref="D16">
    <cfRule type="cellIs" priority="4" dxfId="274" operator="greaterThan" stopIfTrue="1">
      <formula>$D$18*0.1</formula>
    </cfRule>
  </conditionalFormatting>
  <conditionalFormatting sqref="E16">
    <cfRule type="cellIs" priority="5" dxfId="274" operator="greaterThan" stopIfTrue="1">
      <formula>$E$18*0.1</formula>
    </cfRule>
  </conditionalFormatting>
  <conditionalFormatting sqref="C32">
    <cfRule type="cellIs" priority="6" dxfId="274" operator="greaterThan" stopIfTrue="1">
      <formula>$C$34*0.1</formula>
    </cfRule>
  </conditionalFormatting>
  <conditionalFormatting sqref="D32">
    <cfRule type="cellIs" priority="7" dxfId="274" operator="greaterThan" stopIfTrue="1">
      <formula>$D$34*0.1</formula>
    </cfRule>
  </conditionalFormatting>
  <conditionalFormatting sqref="E32">
    <cfRule type="cellIs" priority="8" dxfId="274" operator="greaterThan" stopIfTrue="1">
      <formula>$E$34*0.1</formula>
    </cfRule>
  </conditionalFormatting>
  <conditionalFormatting sqref="C50">
    <cfRule type="cellIs" priority="9" dxfId="274" operator="greaterThan" stopIfTrue="1">
      <formula>$C$52*0.1</formula>
    </cfRule>
  </conditionalFormatting>
  <conditionalFormatting sqref="D50">
    <cfRule type="cellIs" priority="10" dxfId="274" operator="greaterThan" stopIfTrue="1">
      <formula>$D$52*0.1</formula>
    </cfRule>
  </conditionalFormatting>
  <conditionalFormatting sqref="E50">
    <cfRule type="cellIs" priority="11" dxfId="274" operator="greaterThan" stopIfTrue="1">
      <formula>$E$52*0.1</formula>
    </cfRule>
  </conditionalFormatting>
  <conditionalFormatting sqref="C63">
    <cfRule type="cellIs" priority="12" dxfId="274" operator="greaterThan" stopIfTrue="1">
      <formula>$C$65*0.1</formula>
    </cfRule>
  </conditionalFormatting>
  <conditionalFormatting sqref="D63">
    <cfRule type="cellIs" priority="13" dxfId="274" operator="greaterThan" stopIfTrue="1">
      <formula>$D$65*0.1</formula>
    </cfRule>
  </conditionalFormatting>
  <conditionalFormatting sqref="E63">
    <cfRule type="cellIs" priority="14" dxfId="274" operator="greaterThan" stopIfTrue="1">
      <formula>$E$65*0.1</formula>
    </cfRule>
  </conditionalFormatting>
  <conditionalFormatting sqref="D65">
    <cfRule type="cellIs" priority="15" dxfId="3" operator="greaterThan" stopIfTrue="1">
      <formula>$D$67</formula>
    </cfRule>
  </conditionalFormatting>
  <conditionalFormatting sqref="C65">
    <cfRule type="cellIs" priority="16" dxfId="3" operator="greaterThan" stopIfTrue="1">
      <formula>$C$67</formula>
    </cfRule>
  </conditionalFormatting>
  <conditionalFormatting sqref="C66 E66 C35 E35">
    <cfRule type="cellIs" priority="17" dxfId="3" operator="lessThan" stopIfTrue="1">
      <formula>0</formula>
    </cfRule>
  </conditionalFormatting>
  <conditionalFormatting sqref="D34">
    <cfRule type="cellIs" priority="18" dxfId="3" operator="greaterThan" stopIfTrue="1">
      <formula>$D$36</formula>
    </cfRule>
  </conditionalFormatting>
  <conditionalFormatting sqref="C34">
    <cfRule type="cellIs" priority="19" dxfId="3" operator="greaterThan" stopIfTrue="1">
      <formula>$C$36</formula>
    </cfRule>
  </conditionalFormatting>
  <conditionalFormatting sqref="D66">
    <cfRule type="cellIs" priority="2" dxfId="0" operator="lessThan" stopIfTrue="1">
      <formula>0</formula>
    </cfRule>
  </conditionalFormatting>
  <conditionalFormatting sqref="D35">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7"/>
  <sheetViews>
    <sheetView zoomScalePageLayoutView="0" workbookViewId="0" topLeftCell="A64">
      <selection activeCell="C5" sqref="C5"/>
    </sheetView>
  </sheetViews>
  <sheetFormatPr defaultColWidth="8.796875" defaultRowHeight="15"/>
  <cols>
    <col min="1" max="1" width="14.296875" style="45" customWidth="1"/>
    <col min="2" max="2" width="20.796875" style="45" customWidth="1"/>
    <col min="3" max="3" width="8.3984375" style="45" customWidth="1"/>
    <col min="4" max="4" width="12.19921875" style="45" customWidth="1"/>
    <col min="5" max="5" width="12.09765625" style="45" customWidth="1"/>
    <col min="6" max="6" width="1.8984375" style="45" customWidth="1"/>
    <col min="7" max="7" width="16.8984375" style="45" customWidth="1"/>
    <col min="8" max="8" width="7.19921875" style="45" customWidth="1"/>
    <col min="9" max="16384" width="8.8984375" style="45" customWidth="1"/>
  </cols>
  <sheetData>
    <row r="1" spans="1:5" ht="15.75">
      <c r="A1" s="681" t="s">
        <v>70</v>
      </c>
      <c r="B1" s="682"/>
      <c r="C1" s="682"/>
      <c r="D1" s="682"/>
      <c r="E1" s="682"/>
    </row>
    <row r="2" spans="1:5" ht="15.75">
      <c r="A2" s="46" t="s">
        <v>19</v>
      </c>
      <c r="B2" s="47"/>
      <c r="C2" s="47"/>
      <c r="D2" s="48" t="s">
        <v>916</v>
      </c>
      <c r="E2" s="49"/>
    </row>
    <row r="3" spans="1:5" ht="15.75">
      <c r="A3" s="46" t="s">
        <v>20</v>
      </c>
      <c r="B3" s="47"/>
      <c r="C3" s="47"/>
      <c r="D3" s="50" t="s">
        <v>917</v>
      </c>
      <c r="E3" s="51"/>
    </row>
    <row r="4" spans="1:5" ht="15.75">
      <c r="A4" s="52"/>
      <c r="B4" s="47"/>
      <c r="C4" s="47"/>
      <c r="D4" s="53"/>
      <c r="E4" s="47"/>
    </row>
    <row r="5" spans="1:5" ht="15.75">
      <c r="A5" s="46" t="s">
        <v>248</v>
      </c>
      <c r="B5" s="47"/>
      <c r="C5" s="54">
        <v>2013</v>
      </c>
      <c r="D5" s="53"/>
      <c r="E5" s="47"/>
    </row>
    <row r="6" spans="1:5" ht="15.75">
      <c r="A6" s="47"/>
      <c r="B6" s="47"/>
      <c r="C6" s="47"/>
      <c r="D6" s="47"/>
      <c r="E6" s="47"/>
    </row>
    <row r="7" spans="1:5" ht="15.75">
      <c r="A7" s="55" t="s">
        <v>328</v>
      </c>
      <c r="B7" s="56"/>
      <c r="C7" s="56"/>
      <c r="D7" s="56"/>
      <c r="E7" s="56"/>
    </row>
    <row r="8" spans="1:8" ht="15.75">
      <c r="A8" s="55" t="s">
        <v>327</v>
      </c>
      <c r="B8" s="56"/>
      <c r="C8" s="56"/>
      <c r="D8" s="56"/>
      <c r="E8" s="56"/>
      <c r="F8" s="47"/>
      <c r="G8" s="683" t="s">
        <v>786</v>
      </c>
      <c r="H8" s="684"/>
    </row>
    <row r="9" spans="1:8" ht="15.75">
      <c r="A9" s="55"/>
      <c r="B9" s="56"/>
      <c r="C9" s="56"/>
      <c r="D9" s="56"/>
      <c r="E9" s="56"/>
      <c r="F9" s="47"/>
      <c r="G9" s="685"/>
      <c r="H9" s="684"/>
    </row>
    <row r="10" spans="1:8" ht="15.75">
      <c r="A10" s="679" t="s">
        <v>302</v>
      </c>
      <c r="B10" s="680"/>
      <c r="C10" s="680"/>
      <c r="D10" s="680"/>
      <c r="E10" s="680"/>
      <c r="F10" s="47"/>
      <c r="G10" s="685"/>
      <c r="H10" s="684"/>
    </row>
    <row r="11" spans="1:8" ht="15.75">
      <c r="A11" s="47"/>
      <c r="B11" s="47"/>
      <c r="C11" s="47"/>
      <c r="D11" s="47"/>
      <c r="E11" s="47"/>
      <c r="F11" s="47"/>
      <c r="G11" s="685"/>
      <c r="H11" s="684"/>
    </row>
    <row r="12" spans="1:8" ht="15.75">
      <c r="A12" s="57" t="s">
        <v>303</v>
      </c>
      <c r="B12" s="58"/>
      <c r="C12" s="47"/>
      <c r="D12" s="47"/>
      <c r="E12" s="47"/>
      <c r="F12" s="47"/>
      <c r="G12" s="685"/>
      <c r="H12" s="684"/>
    </row>
    <row r="13" spans="1:8" ht="15.75">
      <c r="A13" s="59" t="str">
        <f>CONCATENATE("the ",C5-1," Budget, Certificate Page:")</f>
        <v>the 2012 Budget, Certificate Page:</v>
      </c>
      <c r="B13" s="60"/>
      <c r="C13" s="47"/>
      <c r="D13" s="47"/>
      <c r="E13" s="47"/>
      <c r="F13" s="47"/>
      <c r="G13" s="685"/>
      <c r="H13" s="684"/>
    </row>
    <row r="14" spans="1:8" ht="15.75">
      <c r="A14" s="59" t="s">
        <v>330</v>
      </c>
      <c r="B14" s="60"/>
      <c r="C14" s="47"/>
      <c r="D14" s="47"/>
      <c r="E14" s="47"/>
      <c r="F14" s="47"/>
      <c r="G14" s="76"/>
      <c r="H14" s="535"/>
    </row>
    <row r="15" spans="1:8" ht="15.75">
      <c r="A15" s="47"/>
      <c r="B15" s="47"/>
      <c r="C15" s="47"/>
      <c r="D15" s="61">
        <f>C5-1</f>
        <v>2012</v>
      </c>
      <c r="E15" s="61">
        <f>C5-2</f>
        <v>2011</v>
      </c>
      <c r="G15" s="196" t="s">
        <v>787</v>
      </c>
      <c r="H15" s="153" t="s">
        <v>118</v>
      </c>
    </row>
    <row r="16" spans="1:8" ht="15.75">
      <c r="A16" s="52" t="s">
        <v>71</v>
      </c>
      <c r="B16" s="47"/>
      <c r="C16" s="62" t="s">
        <v>72</v>
      </c>
      <c r="D16" s="63" t="s">
        <v>329</v>
      </c>
      <c r="E16" s="63" t="s">
        <v>62</v>
      </c>
      <c r="G16" s="197" t="str">
        <f>CONCATENATE("",E15," Ad Valorem Tax")</f>
        <v>2011 Ad Valorem Tax</v>
      </c>
      <c r="H16" s="536">
        <v>0</v>
      </c>
    </row>
    <row r="17" spans="1:7" ht="15.75">
      <c r="A17" s="47"/>
      <c r="B17" s="64" t="s">
        <v>73</v>
      </c>
      <c r="C17" s="153" t="s">
        <v>225</v>
      </c>
      <c r="D17" s="66">
        <v>1986547</v>
      </c>
      <c r="E17" s="66">
        <v>608256</v>
      </c>
      <c r="G17" s="225">
        <f>IF(H16&gt;0,ROUND(E17-(E17*H16),0),0)</f>
        <v>0</v>
      </c>
    </row>
    <row r="18" spans="1:7" ht="15.75">
      <c r="A18" s="47"/>
      <c r="B18" s="64" t="s">
        <v>44</v>
      </c>
      <c r="C18" s="153" t="s">
        <v>249</v>
      </c>
      <c r="D18" s="67">
        <v>606277</v>
      </c>
      <c r="E18" s="67">
        <v>141740</v>
      </c>
      <c r="G18" s="225">
        <f>IF(H16&gt;0,ROUND(E18-(E18*H16),0),0)</f>
        <v>0</v>
      </c>
    </row>
    <row r="19" spans="1:7" ht="15.75">
      <c r="A19" s="47"/>
      <c r="B19" s="64" t="s">
        <v>788</v>
      </c>
      <c r="C19" s="153" t="s">
        <v>789</v>
      </c>
      <c r="D19" s="67">
        <v>109761</v>
      </c>
      <c r="E19" s="67">
        <v>91347</v>
      </c>
      <c r="G19" s="225">
        <f>IF(H16&gt;0,ROUND(E19-(E19*H16),0),0)</f>
        <v>0</v>
      </c>
    </row>
    <row r="20" spans="1:5" ht="15.75">
      <c r="A20" s="52" t="s">
        <v>74</v>
      </c>
      <c r="B20" s="47"/>
      <c r="C20" s="47"/>
      <c r="D20" s="47"/>
      <c r="E20" s="68"/>
    </row>
    <row r="21" spans="1:7" ht="15.75">
      <c r="A21" s="47"/>
      <c r="B21" s="69" t="s">
        <v>918</v>
      </c>
      <c r="C21" s="348" t="s">
        <v>919</v>
      </c>
      <c r="D21" s="67">
        <v>49185</v>
      </c>
      <c r="E21" s="67">
        <v>36839</v>
      </c>
      <c r="G21" s="225">
        <f>IF(H16&gt;0,ROUND(E21-(E21*H16),0),0)</f>
        <v>0</v>
      </c>
    </row>
    <row r="22" spans="1:7" ht="15.75">
      <c r="A22" s="47"/>
      <c r="B22" s="69"/>
      <c r="C22" s="348"/>
      <c r="D22" s="67"/>
      <c r="E22" s="67"/>
      <c r="G22" s="225">
        <f>IF(H16&gt;0,ROUND(E22-(E22*H16),0),0)</f>
        <v>0</v>
      </c>
    </row>
    <row r="23" spans="1:7" ht="15.75">
      <c r="A23" s="47"/>
      <c r="B23" s="69"/>
      <c r="C23" s="348"/>
      <c r="D23" s="67"/>
      <c r="E23" s="67"/>
      <c r="G23" s="225">
        <f>IF(H16&gt;0,ROUND(E23-(E23*H16),0),0)</f>
        <v>0</v>
      </c>
    </row>
    <row r="24" spans="1:7" ht="15.75">
      <c r="A24" s="47"/>
      <c r="B24" s="69"/>
      <c r="C24" s="348"/>
      <c r="D24" s="67"/>
      <c r="E24" s="67"/>
      <c r="G24" s="225">
        <f>IF(H16&gt;0,ROUND(E24-(E24*H16),0),0)</f>
        <v>0</v>
      </c>
    </row>
    <row r="25" spans="1:7" ht="15.75">
      <c r="A25" s="47"/>
      <c r="B25" s="69"/>
      <c r="C25" s="348"/>
      <c r="D25" s="67"/>
      <c r="E25" s="67"/>
      <c r="G25" s="225">
        <f>IF(H16&gt;0,ROUND(E25-(E25*H16),0),0)</f>
        <v>0</v>
      </c>
    </row>
    <row r="26" spans="1:7" ht="15.75">
      <c r="A26" s="47"/>
      <c r="B26" s="69"/>
      <c r="C26" s="348"/>
      <c r="D26" s="67"/>
      <c r="E26" s="67"/>
      <c r="G26" s="225">
        <f>IF(H16&gt;0,ROUND(E26-(E26*H16),0),0)</f>
        <v>0</v>
      </c>
    </row>
    <row r="27" spans="1:7" ht="15.75">
      <c r="A27" s="47"/>
      <c r="B27" s="69"/>
      <c r="C27" s="348"/>
      <c r="D27" s="67"/>
      <c r="E27" s="67"/>
      <c r="G27" s="225">
        <f>IF(H16&gt;0,ROUND(E27-(E27*H16),0),0)</f>
        <v>0</v>
      </c>
    </row>
    <row r="28" spans="1:7" ht="15.75">
      <c r="A28" s="47"/>
      <c r="B28" s="69"/>
      <c r="C28" s="348"/>
      <c r="D28" s="67"/>
      <c r="E28" s="67"/>
      <c r="G28" s="225">
        <f>IF(H16&gt;0,ROUND(E28-(E28*H16),0),0)</f>
        <v>0</v>
      </c>
    </row>
    <row r="29" spans="1:7" ht="15.75">
      <c r="A29" s="47"/>
      <c r="B29" s="69"/>
      <c r="C29" s="348"/>
      <c r="D29" s="67"/>
      <c r="E29" s="67"/>
      <c r="G29" s="225">
        <f>IF(H16&gt;0,ROUND(E29-(E29*H16),0),0)</f>
        <v>0</v>
      </c>
    </row>
    <row r="30" spans="1:7" ht="15.75">
      <c r="A30" s="47"/>
      <c r="B30" s="69"/>
      <c r="C30" s="348"/>
      <c r="D30" s="67"/>
      <c r="E30" s="67"/>
      <c r="G30" s="225">
        <f>IF(H16&gt;0,ROUND(E30-(E30*H16),0),0)</f>
        <v>0</v>
      </c>
    </row>
    <row r="31" spans="1:5" ht="15.75">
      <c r="A31" s="70" t="str">
        <f>CONCATENATE("Total Tax Levy Funds for ",C5-1," Budgeted Year")</f>
        <v>Total Tax Levy Funds for 2012 Budgeted Year</v>
      </c>
      <c r="B31" s="71"/>
      <c r="C31" s="72"/>
      <c r="D31" s="73"/>
      <c r="E31" s="74">
        <f>SUM(E17:E30)</f>
        <v>878182</v>
      </c>
    </row>
    <row r="32" spans="1:5" ht="15.75">
      <c r="A32" s="75"/>
      <c r="B32" s="76"/>
      <c r="C32" s="76"/>
      <c r="D32" s="77"/>
      <c r="E32" s="68"/>
    </row>
    <row r="33" spans="1:5" ht="15.75">
      <c r="A33" s="52" t="s">
        <v>254</v>
      </c>
      <c r="B33" s="47"/>
      <c r="C33" s="47"/>
      <c r="D33" s="47"/>
      <c r="E33" s="47"/>
    </row>
    <row r="34" spans="1:5" ht="15.75">
      <c r="A34" s="47"/>
      <c r="B34" s="65" t="s">
        <v>200</v>
      </c>
      <c r="C34" s="47"/>
      <c r="D34" s="67">
        <v>104096</v>
      </c>
      <c r="E34" s="47"/>
    </row>
    <row r="35" spans="1:5" ht="15.75">
      <c r="A35" s="47"/>
      <c r="B35" s="69" t="s">
        <v>921</v>
      </c>
      <c r="C35" s="47"/>
      <c r="D35" s="67">
        <v>5219</v>
      </c>
      <c r="E35" s="47"/>
    </row>
    <row r="36" spans="1:5" ht="15.75">
      <c r="A36" s="47"/>
      <c r="B36" s="69" t="s">
        <v>920</v>
      </c>
      <c r="C36" s="47"/>
      <c r="D36" s="67">
        <v>155187</v>
      </c>
      <c r="E36" s="47"/>
    </row>
    <row r="37" spans="1:5" ht="15.75">
      <c r="A37" s="47"/>
      <c r="B37" s="69" t="s">
        <v>931</v>
      </c>
      <c r="C37" s="47"/>
      <c r="D37" s="67">
        <v>923352</v>
      </c>
      <c r="E37" s="47"/>
    </row>
    <row r="38" spans="1:5" ht="15.75">
      <c r="A38" s="47"/>
      <c r="B38" s="69" t="s">
        <v>932</v>
      </c>
      <c r="C38" s="47"/>
      <c r="D38" s="67">
        <v>315079</v>
      </c>
      <c r="E38" s="47"/>
    </row>
    <row r="39" spans="1:5" ht="15.75">
      <c r="A39" s="47"/>
      <c r="B39" s="69" t="s">
        <v>933</v>
      </c>
      <c r="C39" s="47"/>
      <c r="D39" s="67">
        <v>28170</v>
      </c>
      <c r="E39" s="47"/>
    </row>
    <row r="40" spans="1:5" ht="15.75">
      <c r="A40" s="47"/>
      <c r="B40" s="69" t="s">
        <v>934</v>
      </c>
      <c r="C40" s="47"/>
      <c r="D40" s="67">
        <v>120000</v>
      </c>
      <c r="E40" s="47"/>
    </row>
    <row r="41" spans="1:5" ht="15.75">
      <c r="A41" s="47"/>
      <c r="B41" s="69" t="s">
        <v>935</v>
      </c>
      <c r="C41" s="47"/>
      <c r="D41" s="67">
        <v>119140</v>
      </c>
      <c r="E41" s="47"/>
    </row>
    <row r="42" spans="1:5" ht="15.75">
      <c r="A42" s="47"/>
      <c r="B42" s="69" t="s">
        <v>936</v>
      </c>
      <c r="C42" s="47"/>
      <c r="D42" s="67">
        <v>205501</v>
      </c>
      <c r="E42" s="47"/>
    </row>
    <row r="43" spans="1:5" ht="15.75">
      <c r="A43" s="47"/>
      <c r="B43" s="69" t="s">
        <v>937</v>
      </c>
      <c r="C43" s="47"/>
      <c r="D43" s="67">
        <v>262555</v>
      </c>
      <c r="E43" s="47"/>
    </row>
    <row r="44" spans="1:5" ht="15.75">
      <c r="A44" s="47"/>
      <c r="B44" s="78" t="s">
        <v>938</v>
      </c>
      <c r="C44" s="47"/>
      <c r="D44" s="67">
        <v>0</v>
      </c>
      <c r="E44" s="47"/>
    </row>
    <row r="45" spans="1:5" ht="15.75">
      <c r="A45" s="47"/>
      <c r="B45" s="78" t="s">
        <v>922</v>
      </c>
      <c r="C45" s="47"/>
      <c r="D45" s="67">
        <v>0</v>
      </c>
      <c r="E45" s="47"/>
    </row>
    <row r="46" spans="1:5" ht="15.75">
      <c r="A46" s="47"/>
      <c r="B46" s="78" t="s">
        <v>939</v>
      </c>
      <c r="C46" s="47"/>
      <c r="D46" s="67">
        <v>3641</v>
      </c>
      <c r="E46" s="47"/>
    </row>
    <row r="47" spans="1:5" ht="15.75">
      <c r="A47" s="47"/>
      <c r="B47" s="78" t="s">
        <v>923</v>
      </c>
      <c r="C47" s="47"/>
      <c r="D47" s="67">
        <v>378845</v>
      </c>
      <c r="E47" s="47"/>
    </row>
    <row r="48" spans="1:5" ht="15.75">
      <c r="A48" s="47"/>
      <c r="B48" s="78" t="s">
        <v>924</v>
      </c>
      <c r="C48" s="47"/>
      <c r="D48" s="67">
        <v>0</v>
      </c>
      <c r="E48" s="47"/>
    </row>
    <row r="49" spans="1:5" ht="15.75">
      <c r="A49" s="47"/>
      <c r="B49" s="78" t="s">
        <v>943</v>
      </c>
      <c r="C49" s="47"/>
      <c r="D49" s="67">
        <v>0</v>
      </c>
      <c r="E49" s="47"/>
    </row>
    <row r="50" spans="1:5" ht="15.75">
      <c r="A50" s="47"/>
      <c r="B50" s="78" t="s">
        <v>944</v>
      </c>
      <c r="C50" s="47"/>
      <c r="D50" s="67">
        <v>0</v>
      </c>
      <c r="E50" s="47"/>
    </row>
    <row r="51" spans="1:5" ht="15.75">
      <c r="A51" s="47"/>
      <c r="B51" s="78" t="s">
        <v>925</v>
      </c>
      <c r="C51" s="47"/>
      <c r="D51" s="67">
        <v>0</v>
      </c>
      <c r="E51" s="47"/>
    </row>
    <row r="52" spans="1:5" ht="15.75">
      <c r="A52" s="47"/>
      <c r="B52" s="78" t="s">
        <v>927</v>
      </c>
      <c r="C52" s="47"/>
      <c r="D52" s="67">
        <v>0</v>
      </c>
      <c r="E52" s="47"/>
    </row>
    <row r="53" spans="1:5" ht="15.75">
      <c r="A53" s="47"/>
      <c r="B53" s="78" t="s">
        <v>926</v>
      </c>
      <c r="C53" s="47"/>
      <c r="D53" s="67">
        <v>0</v>
      </c>
      <c r="E53" s="47"/>
    </row>
    <row r="54" spans="1:5" ht="15.75">
      <c r="A54" s="47"/>
      <c r="B54" s="78" t="s">
        <v>928</v>
      </c>
      <c r="C54" s="47"/>
      <c r="D54" s="67">
        <v>0</v>
      </c>
      <c r="E54" s="47"/>
    </row>
    <row r="55" spans="1:5" ht="15.75">
      <c r="A55" s="47"/>
      <c r="B55" s="78"/>
      <c r="C55" s="47"/>
      <c r="D55" s="67">
        <v>0</v>
      </c>
      <c r="E55" s="47"/>
    </row>
    <row r="56" spans="1:5" ht="15.75">
      <c r="A56" s="47" t="s">
        <v>278</v>
      </c>
      <c r="B56" s="79"/>
      <c r="C56" s="47"/>
      <c r="D56" s="47"/>
      <c r="E56" s="47"/>
    </row>
    <row r="57" spans="1:5" ht="15.75">
      <c r="A57" s="47">
        <v>1</v>
      </c>
      <c r="B57" s="78" t="s">
        <v>929</v>
      </c>
      <c r="C57" s="47"/>
      <c r="D57" s="67">
        <v>1209370</v>
      </c>
      <c r="E57" s="47"/>
    </row>
    <row r="58" spans="1:5" ht="15.75">
      <c r="A58" s="47">
        <v>2</v>
      </c>
      <c r="B58" s="78" t="s">
        <v>930</v>
      </c>
      <c r="C58" s="47"/>
      <c r="D58" s="67">
        <v>195226</v>
      </c>
      <c r="E58" s="47"/>
    </row>
    <row r="59" spans="1:5" ht="15.75">
      <c r="A59" s="47">
        <v>4</v>
      </c>
      <c r="B59" s="78"/>
      <c r="C59" s="47"/>
      <c r="D59" s="67"/>
      <c r="E59" s="47"/>
    </row>
    <row r="60" spans="1:5" ht="15.75">
      <c r="A60" s="70" t="str">
        <f>CONCATENATE("Total Expenditures for ",C5-1," Budgeted Year")</f>
        <v>Total Expenditures for 2012 Budgeted Year</v>
      </c>
      <c r="B60" s="80"/>
      <c r="C60" s="81"/>
      <c r="D60" s="82">
        <f>SUM(D17:D19,D21:D30,D34:D55,D57:D59)</f>
        <v>6777151</v>
      </c>
      <c r="E60" s="47"/>
    </row>
    <row r="61" spans="1:5" ht="15.75">
      <c r="A61" s="75"/>
      <c r="B61" s="76"/>
      <c r="C61" s="76"/>
      <c r="D61" s="76"/>
      <c r="E61" s="83"/>
    </row>
    <row r="62" spans="1:5" ht="15.75">
      <c r="A62" s="47"/>
      <c r="B62" s="47"/>
      <c r="C62" s="47"/>
      <c r="D62" s="47"/>
      <c r="E62" s="47"/>
    </row>
    <row r="63" spans="1:5" ht="15.75">
      <c r="A63" s="47"/>
      <c r="B63" s="47"/>
      <c r="C63" s="47"/>
      <c r="D63" s="84" t="str">
        <f>CONCATENATE("",C5-3," Tax Rate")</f>
        <v>2010 Tax Rate</v>
      </c>
      <c r="E63" s="47"/>
    </row>
    <row r="64" spans="1:5" ht="15.75">
      <c r="A64" s="59" t="str">
        <f>CONCATENATE("From the ",C5-1," Budget, Budget Summary Page")</f>
        <v>From the 2012 Budget, Budget Summary Page</v>
      </c>
      <c r="B64" s="60"/>
      <c r="C64" s="47"/>
      <c r="D64" s="85" t="str">
        <f>CONCATENATE("(",C5-2," Column)")</f>
        <v>(2011 Column)</v>
      </c>
      <c r="E64" s="47"/>
    </row>
    <row r="65" spans="1:5" ht="15.75">
      <c r="A65" s="47"/>
      <c r="B65" s="86" t="str">
        <f>B17</f>
        <v>General</v>
      </c>
      <c r="C65" s="47"/>
      <c r="D65" s="78">
        <v>53.643</v>
      </c>
      <c r="E65" s="47"/>
    </row>
    <row r="66" spans="1:5" ht="15.75">
      <c r="A66" s="47"/>
      <c r="B66" s="86" t="str">
        <f>B18</f>
        <v>Debt Service</v>
      </c>
      <c r="C66" s="47"/>
      <c r="D66" s="78">
        <v>13.569</v>
      </c>
      <c r="E66" s="47"/>
    </row>
    <row r="67" spans="1:5" ht="15.75">
      <c r="A67" s="47"/>
      <c r="B67" s="86" t="str">
        <f>B19</f>
        <v>Library</v>
      </c>
      <c r="C67" s="47"/>
      <c r="D67" s="78">
        <v>7.35</v>
      </c>
      <c r="E67" s="47"/>
    </row>
    <row r="68" spans="1:5" ht="15.75">
      <c r="A68" s="47"/>
      <c r="B68" s="86" t="str">
        <f>B21</f>
        <v>Fire/Police Equipment</v>
      </c>
      <c r="C68" s="47"/>
      <c r="D68" s="78">
        <v>0.304</v>
      </c>
      <c r="E68" s="47"/>
    </row>
    <row r="69" spans="1:5" ht="15.75">
      <c r="A69" s="70" t="s">
        <v>75</v>
      </c>
      <c r="B69" s="71"/>
      <c r="C69" s="81"/>
      <c r="D69" s="87">
        <f>SUM(D65:D68)</f>
        <v>74.866</v>
      </c>
      <c r="E69" s="47"/>
    </row>
    <row r="70" spans="1:5" ht="15.75">
      <c r="A70" s="47"/>
      <c r="B70" s="47"/>
      <c r="C70" s="47"/>
      <c r="D70" s="47"/>
      <c r="E70" s="47"/>
    </row>
    <row r="71" spans="1:5" ht="15.75">
      <c r="A71" s="88" t="str">
        <f>CONCATENATE("Total Tax Levied (",C5-2," budget column)")</f>
        <v>Total Tax Levied (2011 budget column)</v>
      </c>
      <c r="B71" s="89"/>
      <c r="C71" s="71"/>
      <c r="D71" s="81"/>
      <c r="E71" s="67">
        <v>864303</v>
      </c>
    </row>
    <row r="72" spans="1:5" ht="15.75">
      <c r="A72" s="90" t="str">
        <f>CONCATENATE("Assessed Valuation  (",C5-2," budget column)")</f>
        <v>Assessed Valuation  (2011 budget column)</v>
      </c>
      <c r="B72" s="91"/>
      <c r="C72" s="72"/>
      <c r="D72" s="92"/>
      <c r="E72" s="67">
        <v>11544964</v>
      </c>
    </row>
    <row r="73" spans="1:5" ht="15.75">
      <c r="A73" s="75"/>
      <c r="B73" s="76"/>
      <c r="C73" s="76"/>
      <c r="D73" s="76"/>
      <c r="E73" s="83"/>
    </row>
    <row r="74" spans="1:5" ht="15.75">
      <c r="A74" s="93" t="str">
        <f>CONCATENATE("From the ",C5-1," Budget, Budget Summary Page")</f>
        <v>From the 2012 Budget, Budget Summary Page</v>
      </c>
      <c r="B74" s="94"/>
      <c r="C74" s="47"/>
      <c r="D74" s="95"/>
      <c r="E74" s="96"/>
    </row>
    <row r="75" spans="1:5" ht="15.75">
      <c r="A75" s="58" t="s">
        <v>3</v>
      </c>
      <c r="B75" s="58"/>
      <c r="C75" s="97"/>
      <c r="D75" s="98">
        <f>C5-3</f>
        <v>2010</v>
      </c>
      <c r="E75" s="99">
        <f>C5-2</f>
        <v>2011</v>
      </c>
    </row>
    <row r="76" spans="1:5" ht="15.75">
      <c r="A76" s="100" t="s">
        <v>250</v>
      </c>
      <c r="B76" s="100"/>
      <c r="C76" s="101"/>
      <c r="D76" s="102">
        <v>2090100</v>
      </c>
      <c r="E76" s="102">
        <v>1155000</v>
      </c>
    </row>
    <row r="77" spans="1:5" ht="15.75">
      <c r="A77" s="103" t="s">
        <v>251</v>
      </c>
      <c r="B77" s="103"/>
      <c r="C77" s="104"/>
      <c r="D77" s="102">
        <v>0</v>
      </c>
      <c r="E77" s="102">
        <v>0</v>
      </c>
    </row>
    <row r="78" spans="1:5" ht="15.75">
      <c r="A78" s="103" t="s">
        <v>252</v>
      </c>
      <c r="B78" s="103"/>
      <c r="C78" s="104"/>
      <c r="D78" s="102">
        <v>3195488</v>
      </c>
      <c r="E78" s="102">
        <v>3861160</v>
      </c>
    </row>
    <row r="79" spans="1:5" ht="15.75">
      <c r="A79" s="103" t="s">
        <v>253</v>
      </c>
      <c r="B79" s="103"/>
      <c r="C79" s="104"/>
      <c r="D79" s="102">
        <v>169842</v>
      </c>
      <c r="E79" s="102">
        <v>66258</v>
      </c>
    </row>
    <row r="80" spans="1:5" ht="15.75">
      <c r="A80" s="105"/>
      <c r="B80" s="105"/>
      <c r="C80" s="105"/>
      <c r="D80" s="105"/>
      <c r="E80" s="105"/>
    </row>
    <row r="81" spans="1:5" ht="15.75">
      <c r="A81" s="105"/>
      <c r="B81" s="105"/>
      <c r="C81" s="105"/>
      <c r="D81" s="105"/>
      <c r="E81" s="105"/>
    </row>
    <row r="82" spans="1:5" ht="15.75">
      <c r="A82" s="105"/>
      <c r="B82" s="105"/>
      <c r="C82" s="105"/>
      <c r="D82" s="105"/>
      <c r="E82" s="105"/>
    </row>
    <row r="83" spans="1:5" ht="15.75">
      <c r="A83" s="105"/>
      <c r="B83" s="105"/>
      <c r="C83" s="105"/>
      <c r="D83" s="105"/>
      <c r="E83" s="105"/>
    </row>
    <row r="84" spans="1:5" ht="15.75">
      <c r="A84" s="105"/>
      <c r="B84" s="105"/>
      <c r="C84" s="105"/>
      <c r="D84" s="105"/>
      <c r="E84" s="105"/>
    </row>
    <row r="85" spans="1:5" ht="15.75">
      <c r="A85" s="105"/>
      <c r="B85" s="105"/>
      <c r="C85" s="105"/>
      <c r="D85" s="105"/>
      <c r="E85" s="105"/>
    </row>
    <row r="86" s="105" customFormat="1" ht="15"/>
    <row r="87" spans="1:5" ht="15.75">
      <c r="A87" s="105"/>
      <c r="B87" s="105"/>
      <c r="C87" s="105"/>
      <c r="D87" s="105"/>
      <c r="E87" s="105"/>
    </row>
    <row r="88" spans="1:5" ht="15.75">
      <c r="A88" s="105"/>
      <c r="B88" s="105"/>
      <c r="C88" s="105"/>
      <c r="D88" s="105"/>
      <c r="E88" s="105"/>
    </row>
    <row r="89" spans="1:5" ht="15.75">
      <c r="A89" s="105"/>
      <c r="B89" s="105"/>
      <c r="C89" s="105"/>
      <c r="D89" s="105"/>
      <c r="E89" s="105"/>
    </row>
    <row r="90" spans="1:5" ht="15.75">
      <c r="A90" s="105"/>
      <c r="B90" s="105"/>
      <c r="C90" s="105"/>
      <c r="D90" s="105"/>
      <c r="E90" s="105"/>
    </row>
    <row r="91" spans="1:5" ht="15.75">
      <c r="A91" s="105"/>
      <c r="B91" s="105"/>
      <c r="C91" s="105"/>
      <c r="D91" s="105"/>
      <c r="E91" s="105"/>
    </row>
    <row r="92" spans="1:5" ht="15.75">
      <c r="A92" s="105"/>
      <c r="B92" s="105"/>
      <c r="C92" s="105"/>
      <c r="D92" s="105"/>
      <c r="E92" s="105"/>
    </row>
    <row r="93" spans="1:5" ht="15.75">
      <c r="A93" s="105"/>
      <c r="B93" s="105"/>
      <c r="C93" s="105"/>
      <c r="D93" s="105"/>
      <c r="E93" s="105"/>
    </row>
    <row r="94" spans="1:5" ht="15.75">
      <c r="A94" s="105"/>
      <c r="B94" s="105"/>
      <c r="C94" s="105"/>
      <c r="D94" s="105"/>
      <c r="E94" s="105"/>
    </row>
    <row r="95" spans="1:5" ht="15.75">
      <c r="A95" s="105"/>
      <c r="B95" s="105"/>
      <c r="C95" s="105"/>
      <c r="D95" s="105"/>
      <c r="E95" s="105"/>
    </row>
    <row r="96" spans="1:5" ht="15.75">
      <c r="A96" s="105"/>
      <c r="B96" s="105"/>
      <c r="C96" s="105"/>
      <c r="D96" s="105"/>
      <c r="E96" s="105"/>
    </row>
    <row r="97" spans="1:5" ht="15.75">
      <c r="A97" s="105"/>
      <c r="B97" s="105"/>
      <c r="C97" s="105"/>
      <c r="D97" s="105"/>
      <c r="E97" s="105"/>
    </row>
  </sheetData>
  <sheetProtection/>
  <mergeCells count="3">
    <mergeCell ref="A10:E10"/>
    <mergeCell ref="A1:E1"/>
    <mergeCell ref="G8:H13"/>
  </mergeCells>
  <printOptions/>
  <pageMargins left="0.5" right="0.5" top="1" bottom="0.5" header="0.5" footer="0.25"/>
  <pageSetup blackAndWhite="1" fitToHeight="2" fitToWidth="1" horizontalDpi="600" verticalDpi="600" orientation="portrait" scale="91"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59" sqref="E5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inputPrYr!B40</f>
        <v>TDD Dees &amp; Kunkle</v>
      </c>
      <c r="C5" s="222" t="str">
        <f>CONCATENATE("Actual for ",E1-2,"")</f>
        <v>Actual for 2011</v>
      </c>
      <c r="D5" s="222" t="str">
        <f>CONCATENATE("Estimate for ",E1-1,"")</f>
        <v>Estimate for 2012</v>
      </c>
      <c r="E5" s="205" t="str">
        <f>CONCATENATE("Year for ",E1,"")</f>
        <v>Year for 2013</v>
      </c>
    </row>
    <row r="6" spans="2:5" ht="15.75">
      <c r="B6" s="249" t="s">
        <v>221</v>
      </c>
      <c r="C6" s="67">
        <v>0</v>
      </c>
      <c r="D6" s="225">
        <f>C29</f>
        <v>0</v>
      </c>
      <c r="E6" s="225">
        <f>D29</f>
        <v>0</v>
      </c>
    </row>
    <row r="7" spans="2:5" ht="15.75">
      <c r="B7" s="253" t="s">
        <v>223</v>
      </c>
      <c r="C7" s="86"/>
      <c r="D7" s="86"/>
      <c r="E7" s="86"/>
    </row>
    <row r="8" spans="2:5" ht="15.75">
      <c r="B8" s="270" t="s">
        <v>1044</v>
      </c>
      <c r="C8" s="67">
        <v>85615</v>
      </c>
      <c r="D8" s="67">
        <v>120000</v>
      </c>
      <c r="E8" s="67">
        <v>120000</v>
      </c>
    </row>
    <row r="9" spans="2:5" ht="15.75">
      <c r="B9" s="270"/>
      <c r="C9" s="67"/>
      <c r="D9" s="67"/>
      <c r="E9" s="67"/>
    </row>
    <row r="10" spans="2:5" ht="15.75">
      <c r="B10" s="270"/>
      <c r="C10" s="67"/>
      <c r="D10" s="67"/>
      <c r="E10" s="67"/>
    </row>
    <row r="11" spans="2:5" ht="15.75">
      <c r="B11" s="270"/>
      <c r="C11" s="67"/>
      <c r="D11" s="67"/>
      <c r="E11" s="67"/>
    </row>
    <row r="12" spans="2:5" ht="15.75">
      <c r="B12" s="258" t="s">
        <v>108</v>
      </c>
      <c r="C12" s="67"/>
      <c r="D12" s="67"/>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85615</v>
      </c>
      <c r="D15" s="264">
        <f>SUM(D8:D13)</f>
        <v>120000</v>
      </c>
      <c r="E15" s="264">
        <f>SUM(E8:E13)</f>
        <v>120000</v>
      </c>
    </row>
    <row r="16" spans="2:5" ht="15.75">
      <c r="B16" s="261" t="s">
        <v>110</v>
      </c>
      <c r="C16" s="264">
        <f>C6+C15</f>
        <v>85615</v>
      </c>
      <c r="D16" s="264">
        <f>D6+D15</f>
        <v>120000</v>
      </c>
      <c r="E16" s="264">
        <f>E6+E15</f>
        <v>120000</v>
      </c>
    </row>
    <row r="17" spans="2:5" ht="15.75">
      <c r="B17" s="147" t="s">
        <v>112</v>
      </c>
      <c r="C17" s="225"/>
      <c r="D17" s="225"/>
      <c r="E17" s="225"/>
    </row>
    <row r="18" spans="2:5" ht="15.75">
      <c r="B18" s="270" t="s">
        <v>1045</v>
      </c>
      <c r="C18" s="67">
        <v>85615</v>
      </c>
      <c r="D18" s="67">
        <v>120000</v>
      </c>
      <c r="E18" s="67">
        <v>120000</v>
      </c>
    </row>
    <row r="19" spans="2:5" ht="15.75">
      <c r="B19" s="270"/>
      <c r="C19" s="67"/>
      <c r="D19" s="67"/>
      <c r="E19" s="67"/>
    </row>
    <row r="20" spans="2:5" ht="15.75">
      <c r="B20" s="270"/>
      <c r="C20" s="67"/>
      <c r="D20" s="67"/>
      <c r="E20" s="67"/>
    </row>
    <row r="21" spans="2:5" ht="15.75">
      <c r="B21" s="270"/>
      <c r="C21" s="67"/>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701</v>
      </c>
      <c r="C27" s="293">
        <f>IF(C28*0.1&lt;C26,"Exceed 10% Rule","")</f>
      </c>
      <c r="D27" s="260">
        <f>IF(D28*0.1&lt;D26,"Exceed 10% Rule","")</f>
      </c>
      <c r="E27" s="260">
        <f>IF(E28*0.1&lt;E26,"Exceed 10% Rule","")</f>
      </c>
    </row>
    <row r="28" spans="2:5" ht="15.75">
      <c r="B28" s="261" t="s">
        <v>116</v>
      </c>
      <c r="C28" s="264">
        <f>SUM(C18:C26)</f>
        <v>85615</v>
      </c>
      <c r="D28" s="264">
        <f>SUM(D18:D26)</f>
        <v>120000</v>
      </c>
      <c r="E28" s="264">
        <f>SUM(E18:E26)</f>
        <v>120000</v>
      </c>
    </row>
    <row r="29" spans="2:5" ht="15.75">
      <c r="B29" s="147" t="s">
        <v>222</v>
      </c>
      <c r="C29" s="82">
        <f>C16-C28</f>
        <v>0</v>
      </c>
      <c r="D29" s="82">
        <f>D16-D28</f>
        <v>0</v>
      </c>
      <c r="E29" s="82">
        <f>E16-E28</f>
        <v>0</v>
      </c>
    </row>
    <row r="30" spans="2:5" ht="15.75">
      <c r="B30" s="133" t="str">
        <f>CONCATENATE("",E1-2,"/",E1-1," Budget Authority Amount:")</f>
        <v>2011/2012 Budget Authority Amount:</v>
      </c>
      <c r="C30" s="238">
        <f>inputOth!B62</f>
        <v>120487</v>
      </c>
      <c r="D30" s="238">
        <f>inputPrYr!D40</f>
        <v>120000</v>
      </c>
      <c r="E30" s="344">
        <f>IF(E29&lt;0,"See Tab E","")</f>
      </c>
    </row>
    <row r="31" spans="2:5" ht="15.75">
      <c r="B31" s="133"/>
      <c r="C31" s="274">
        <f>IF(C28&gt;C30,"See Tab A","")</f>
      </c>
      <c r="D31" s="274">
        <f>IF(D28&gt;D30,"See Tab C","")</f>
      </c>
      <c r="E31" s="96"/>
    </row>
    <row r="32" spans="2:5" ht="15.75">
      <c r="B32" s="133"/>
      <c r="C32" s="274">
        <f>IF(C29&lt;0,"See Tab B","")</f>
      </c>
      <c r="D32" s="274">
        <f>IF(D29&lt;0,"See Tab D","")</f>
      </c>
      <c r="E32" s="96"/>
    </row>
    <row r="33" spans="2:5" ht="15.75">
      <c r="B33" s="47"/>
      <c r="C33" s="96"/>
      <c r="D33" s="96"/>
      <c r="E33" s="96"/>
    </row>
    <row r="34" spans="2:5" ht="15.75">
      <c r="B34" s="52" t="s">
        <v>102</v>
      </c>
      <c r="C34" s="288"/>
      <c r="D34" s="288"/>
      <c r="E34" s="288"/>
    </row>
    <row r="35" spans="2:5" ht="15.75">
      <c r="B35" s="47"/>
      <c r="C35" s="639" t="s">
        <v>862</v>
      </c>
      <c r="D35" s="640" t="s">
        <v>863</v>
      </c>
      <c r="E35" s="141" t="s">
        <v>864</v>
      </c>
    </row>
    <row r="36" spans="2:5" ht="15.75">
      <c r="B36" s="464" t="str">
        <f>inputPrYr!B41</f>
        <v>Water/Sewer Emer Depriciation</v>
      </c>
      <c r="C36" s="222" t="str">
        <f>CONCATENATE("Actual for ",$E$1-2,"")</f>
        <v>Actual for 2011</v>
      </c>
      <c r="D36" s="222" t="str">
        <f>CONCATENATE("Estimate for ",$E$1-1,"")</f>
        <v>Estimate for 2012</v>
      </c>
      <c r="E36" s="205" t="str">
        <f>CONCATENATE("Year for ",$E$1,"")</f>
        <v>Year for 2013</v>
      </c>
    </row>
    <row r="37" spans="2:5" ht="15.75">
      <c r="B37" s="249" t="s">
        <v>221</v>
      </c>
      <c r="C37" s="67">
        <v>99815</v>
      </c>
      <c r="D37" s="225">
        <f>C60</f>
        <v>113984</v>
      </c>
      <c r="E37" s="225">
        <f>D60</f>
        <v>109975</v>
      </c>
    </row>
    <row r="38" spans="2:5" ht="15.75">
      <c r="B38" s="253" t="s">
        <v>223</v>
      </c>
      <c r="C38" s="86"/>
      <c r="D38" s="86"/>
      <c r="E38" s="86"/>
    </row>
    <row r="39" spans="2:5" ht="15.75">
      <c r="B39" s="270" t="s">
        <v>1046</v>
      </c>
      <c r="C39" s="67">
        <v>15000</v>
      </c>
      <c r="D39" s="67">
        <v>5000</v>
      </c>
      <c r="E39" s="67">
        <v>5000</v>
      </c>
    </row>
    <row r="40" spans="2:5" ht="15.75">
      <c r="B40" s="270"/>
      <c r="C40" s="67"/>
      <c r="D40" s="67"/>
      <c r="E40" s="67"/>
    </row>
    <row r="41" spans="2:5" ht="15.75">
      <c r="B41" s="270"/>
      <c r="C41" s="67"/>
      <c r="D41" s="67"/>
      <c r="E41" s="67"/>
    </row>
    <row r="42" spans="2:5" ht="15.75">
      <c r="B42" s="270"/>
      <c r="C42" s="67"/>
      <c r="D42" s="67"/>
      <c r="E42" s="67"/>
    </row>
    <row r="43" spans="2:5" ht="15.75">
      <c r="B43" s="258" t="s">
        <v>108</v>
      </c>
      <c r="C43" s="67">
        <v>791</v>
      </c>
      <c r="D43" s="67">
        <v>625</v>
      </c>
      <c r="E43" s="67">
        <v>550</v>
      </c>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15791</v>
      </c>
      <c r="D46" s="264">
        <f>SUM(D39:D44)</f>
        <v>5625</v>
      </c>
      <c r="E46" s="264">
        <f>SUM(E39:E44)</f>
        <v>5550</v>
      </c>
    </row>
    <row r="47" spans="2:5" ht="15.75">
      <c r="B47" s="261" t="s">
        <v>110</v>
      </c>
      <c r="C47" s="264">
        <f>C37+C46</f>
        <v>115606</v>
      </c>
      <c r="D47" s="264">
        <f>D37+D46</f>
        <v>119609</v>
      </c>
      <c r="E47" s="264">
        <f>E37+E46</f>
        <v>115525</v>
      </c>
    </row>
    <row r="48" spans="2:5" ht="15.75">
      <c r="B48" s="147" t="s">
        <v>112</v>
      </c>
      <c r="C48" s="225"/>
      <c r="D48" s="225"/>
      <c r="E48" s="225"/>
    </row>
    <row r="49" spans="2:5" ht="15.75">
      <c r="B49" s="270" t="s">
        <v>115</v>
      </c>
      <c r="C49" s="67">
        <v>1622</v>
      </c>
      <c r="D49" s="67">
        <v>9634</v>
      </c>
      <c r="E49" s="67">
        <v>115525</v>
      </c>
    </row>
    <row r="50" spans="2:5" ht="15.75">
      <c r="B50" s="270"/>
      <c r="C50" s="67"/>
      <c r="D50" s="67"/>
      <c r="E50" s="67"/>
    </row>
    <row r="51" spans="2:5" ht="15.75">
      <c r="B51" s="270"/>
      <c r="C51" s="67"/>
      <c r="D51" s="67"/>
      <c r="E51" s="67"/>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1" t="s">
        <v>14</v>
      </c>
      <c r="C57" s="67"/>
      <c r="D57" s="255"/>
      <c r="E57" s="255"/>
    </row>
    <row r="58" spans="2:5" ht="15.75">
      <c r="B58" s="271" t="s">
        <v>701</v>
      </c>
      <c r="C58" s="293">
        <f>IF(C59*0.1&lt;C57,"Exceed 10% Rule","")</f>
      </c>
      <c r="D58" s="260">
        <f>IF(D59*0.1&lt;D57,"Exceed 10% Rule","")</f>
      </c>
      <c r="E58" s="260">
        <f>IF(E59*0.1&lt;E57,"Exceed 10% Rule","")</f>
      </c>
    </row>
    <row r="59" spans="2:5" ht="15.75">
      <c r="B59" s="261" t="s">
        <v>116</v>
      </c>
      <c r="C59" s="264">
        <f>SUM(C49:C57)</f>
        <v>1622</v>
      </c>
      <c r="D59" s="264">
        <f>SUM(D49:D57)</f>
        <v>9634</v>
      </c>
      <c r="E59" s="264">
        <f>SUM(E49:E57)</f>
        <v>115525</v>
      </c>
    </row>
    <row r="60" spans="2:5" ht="15.75">
      <c r="B60" s="147" t="s">
        <v>222</v>
      </c>
      <c r="C60" s="82">
        <f>C47-C59</f>
        <v>113984</v>
      </c>
      <c r="D60" s="82">
        <f>D47-D59</f>
        <v>109975</v>
      </c>
      <c r="E60" s="82">
        <f>E47-E59</f>
        <v>0</v>
      </c>
    </row>
    <row r="61" spans="2:5" ht="15.75">
      <c r="B61" s="133" t="str">
        <f>CONCATENATE("",E1-2,"/",E1-1," Budget Authority Amount:")</f>
        <v>2011/2012 Budget Authority Amount:</v>
      </c>
      <c r="C61" s="238">
        <f>inputOth!B63</f>
        <v>115130</v>
      </c>
      <c r="D61" s="238">
        <f>inputPrYr!D41</f>
        <v>119140</v>
      </c>
      <c r="E61" s="344">
        <f>IF(E60&lt;0,"See Tab E","")</f>
      </c>
    </row>
    <row r="62" spans="2:5" ht="15.75">
      <c r="B62" s="133"/>
      <c r="C62" s="274">
        <f>IF(C59&gt;C61,"See Tab A","")</f>
      </c>
      <c r="D62" s="274">
        <f>IF(D59&gt;D61,"See Tab C","")</f>
      </c>
      <c r="E62" s="47"/>
    </row>
    <row r="63" spans="2:5" ht="15.75">
      <c r="B63" s="133"/>
      <c r="C63" s="274">
        <f>IF(C60&lt;0,"See Tab B","")</f>
      </c>
      <c r="D63" s="274">
        <f>IF(D60&lt;0,"See Tab D","")</f>
      </c>
      <c r="E63" s="47"/>
    </row>
    <row r="64" spans="2:5" ht="15.75">
      <c r="B64" s="47"/>
      <c r="C64" s="47"/>
      <c r="D64" s="47"/>
      <c r="E64" s="47"/>
    </row>
    <row r="65" spans="2:5" ht="15.75">
      <c r="B65" s="367" t="s">
        <v>119</v>
      </c>
      <c r="C65" s="278">
        <v>14</v>
      </c>
      <c r="D65" s="47"/>
      <c r="E65" s="47"/>
    </row>
  </sheetData>
  <sheetProtection sheet="1"/>
  <conditionalFormatting sqref="C13">
    <cfRule type="cellIs" priority="3" dxfId="274" operator="greaterThan" stopIfTrue="1">
      <formula>$C$15*0.1</formula>
    </cfRule>
  </conditionalFormatting>
  <conditionalFormatting sqref="D13">
    <cfRule type="cellIs" priority="4" dxfId="274" operator="greaterThan" stopIfTrue="1">
      <formula>$D$15*0.1</formula>
    </cfRule>
  </conditionalFormatting>
  <conditionalFormatting sqref="E13">
    <cfRule type="cellIs" priority="5" dxfId="274" operator="greaterThan" stopIfTrue="1">
      <formula>$E$15*0.1</formula>
    </cfRule>
  </conditionalFormatting>
  <conditionalFormatting sqref="C26">
    <cfRule type="cellIs" priority="6" dxfId="274" operator="greaterThan" stopIfTrue="1">
      <formula>$C$28*0.1</formula>
    </cfRule>
  </conditionalFormatting>
  <conditionalFormatting sqref="D26">
    <cfRule type="cellIs" priority="7" dxfId="274" operator="greaterThan" stopIfTrue="1">
      <formula>$D$28*0.1</formula>
    </cfRule>
  </conditionalFormatting>
  <conditionalFormatting sqref="E26">
    <cfRule type="cellIs" priority="8" dxfId="274" operator="greaterThan" stopIfTrue="1">
      <formula>$E$28*0.1</formula>
    </cfRule>
  </conditionalFormatting>
  <conditionalFormatting sqref="C44">
    <cfRule type="cellIs" priority="9" dxfId="274" operator="greaterThan" stopIfTrue="1">
      <formula>$C$46*0.1</formula>
    </cfRule>
  </conditionalFormatting>
  <conditionalFormatting sqref="D44">
    <cfRule type="cellIs" priority="10" dxfId="274" operator="greaterThan" stopIfTrue="1">
      <formula>$D$46*0.1</formula>
    </cfRule>
  </conditionalFormatting>
  <conditionalFormatting sqref="E44">
    <cfRule type="cellIs" priority="11" dxfId="274" operator="greaterThan" stopIfTrue="1">
      <formula>$E$46*0.1</formula>
    </cfRule>
  </conditionalFormatting>
  <conditionalFormatting sqref="C57">
    <cfRule type="cellIs" priority="12" dxfId="274" operator="greaterThan" stopIfTrue="1">
      <formula>$C$59*0.1</formula>
    </cfRule>
  </conditionalFormatting>
  <conditionalFormatting sqref="D57">
    <cfRule type="cellIs" priority="13" dxfId="274" operator="greaterThan" stopIfTrue="1">
      <formula>$D$59*0.1</formula>
    </cfRule>
  </conditionalFormatting>
  <conditionalFormatting sqref="E57">
    <cfRule type="cellIs" priority="14" dxfId="27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B36" sqref="B36"/>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inputPrYr!B42</f>
        <v>TDD Debt Service Reserve</v>
      </c>
      <c r="C5" s="222" t="str">
        <f>CONCATENATE("Actual for ",E1-2,"")</f>
        <v>Actual for 2011</v>
      </c>
      <c r="D5" s="222" t="str">
        <f>CONCATENATE("Estimate for ",E1-1,"")</f>
        <v>Estimate for 2012</v>
      </c>
      <c r="E5" s="205" t="str">
        <f>CONCATENATE("Year for ",E1,"")</f>
        <v>Year for 2013</v>
      </c>
    </row>
    <row r="6" spans="2:5" ht="15.75">
      <c r="B6" s="249" t="s">
        <v>221</v>
      </c>
      <c r="C6" s="67">
        <v>202851</v>
      </c>
      <c r="D6" s="225">
        <f>C29</f>
        <v>204352</v>
      </c>
      <c r="E6" s="225">
        <f>D29</f>
        <v>205252</v>
      </c>
    </row>
    <row r="7" spans="2:5" ht="15.75">
      <c r="B7" s="253" t="s">
        <v>223</v>
      </c>
      <c r="C7" s="86"/>
      <c r="D7" s="86"/>
      <c r="E7" s="86"/>
    </row>
    <row r="8" spans="2:5" ht="15.75">
      <c r="B8" s="270" t="s">
        <v>1047</v>
      </c>
      <c r="C8" s="67">
        <v>0</v>
      </c>
      <c r="D8" s="67"/>
      <c r="E8" s="67"/>
    </row>
    <row r="9" spans="2:5" ht="15.75">
      <c r="B9" s="270"/>
      <c r="C9" s="67"/>
      <c r="D9" s="67"/>
      <c r="E9" s="67"/>
    </row>
    <row r="10" spans="2:5" ht="15.75">
      <c r="B10" s="270"/>
      <c r="C10" s="67"/>
      <c r="D10" s="67"/>
      <c r="E10" s="67"/>
    </row>
    <row r="11" spans="2:5" ht="15.75">
      <c r="B11" s="270"/>
      <c r="C11" s="67"/>
      <c r="D11" s="67"/>
      <c r="E11" s="67"/>
    </row>
    <row r="12" spans="2:5" ht="15.75">
      <c r="B12" s="258" t="s">
        <v>108</v>
      </c>
      <c r="C12" s="67">
        <v>1501</v>
      </c>
      <c r="D12" s="67">
        <v>900</v>
      </c>
      <c r="E12" s="67">
        <v>850</v>
      </c>
    </row>
    <row r="13" spans="2:5" ht="15.75">
      <c r="B13" s="156" t="s">
        <v>14</v>
      </c>
      <c r="C13" s="209"/>
      <c r="D13" s="209"/>
      <c r="E13" s="209"/>
    </row>
    <row r="14" spans="2:5" ht="15.75">
      <c r="B14" s="249" t="s">
        <v>700</v>
      </c>
      <c r="C14" s="293">
        <f>IF(C15*0.1&lt;C13,"Exceed 10% Rule","")</f>
      </c>
      <c r="D14" s="260">
        <f>IF(D15*0.1&lt;D13,"Exceed 10% Rule","")</f>
      </c>
      <c r="E14" s="260">
        <f>IF(E15*0.1&lt;E13,"Exceed 10% Rule","")</f>
      </c>
    </row>
    <row r="15" spans="2:5" ht="15.75">
      <c r="B15" s="261" t="s">
        <v>109</v>
      </c>
      <c r="C15" s="264">
        <f>SUM(C8:C13)</f>
        <v>1501</v>
      </c>
      <c r="D15" s="264">
        <f>SUM(D8:D13)</f>
        <v>900</v>
      </c>
      <c r="E15" s="264">
        <f>SUM(E8:E13)</f>
        <v>850</v>
      </c>
    </row>
    <row r="16" spans="2:5" ht="15.75">
      <c r="B16" s="261" t="s">
        <v>110</v>
      </c>
      <c r="C16" s="264">
        <f>C6+C15</f>
        <v>204352</v>
      </c>
      <c r="D16" s="264">
        <f>D6+D15</f>
        <v>205252</v>
      </c>
      <c r="E16" s="264">
        <f>E6+E15</f>
        <v>206102</v>
      </c>
    </row>
    <row r="17" spans="2:5" ht="15.75">
      <c r="B17" s="147" t="s">
        <v>112</v>
      </c>
      <c r="C17" s="225"/>
      <c r="D17" s="225"/>
      <c r="E17" s="225"/>
    </row>
    <row r="18" spans="2:5" ht="15.75">
      <c r="B18" s="270" t="s">
        <v>115</v>
      </c>
      <c r="C18" s="67"/>
      <c r="D18" s="67"/>
      <c r="E18" s="67">
        <v>206102</v>
      </c>
    </row>
    <row r="19" spans="2:5" ht="15.75">
      <c r="B19" s="270" t="s">
        <v>1048</v>
      </c>
      <c r="C19" s="67"/>
      <c r="D19" s="67"/>
      <c r="E19" s="67"/>
    </row>
    <row r="20" spans="2:5" ht="15.75">
      <c r="B20" s="270" t="s">
        <v>1049</v>
      </c>
      <c r="C20" s="67"/>
      <c r="D20" s="67"/>
      <c r="E20" s="67"/>
    </row>
    <row r="21" spans="2:5" ht="15.75">
      <c r="B21" s="270" t="s">
        <v>1050</v>
      </c>
      <c r="C21" s="67"/>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701</v>
      </c>
      <c r="C27" s="293">
        <f>IF(C28*0.1&lt;C26,"Exceed 10% Rule","")</f>
      </c>
      <c r="D27" s="260">
        <f>IF(D28*0.1&lt;D26,"Exceed 10% Rule","")</f>
      </c>
      <c r="E27" s="260">
        <f>IF(E28*0.1&lt;E26,"Exceed 10% Rule","")</f>
      </c>
    </row>
    <row r="28" spans="2:5" ht="15.75">
      <c r="B28" s="261" t="s">
        <v>116</v>
      </c>
      <c r="C28" s="264">
        <f>SUM(C18:C26)</f>
        <v>0</v>
      </c>
      <c r="D28" s="264">
        <f>SUM(D18:D26)</f>
        <v>0</v>
      </c>
      <c r="E28" s="264">
        <f>SUM(E18:E26)</f>
        <v>206102</v>
      </c>
    </row>
    <row r="29" spans="2:5" ht="15.75">
      <c r="B29" s="147" t="s">
        <v>222</v>
      </c>
      <c r="C29" s="82">
        <f>C16-C28</f>
        <v>204352</v>
      </c>
      <c r="D29" s="82">
        <f>D16-D28</f>
        <v>205252</v>
      </c>
      <c r="E29" s="82">
        <f>E16-E28</f>
        <v>0</v>
      </c>
    </row>
    <row r="30" spans="2:5" ht="15.75">
      <c r="B30" s="133" t="str">
        <f>CONCATENATE("",E1-2,"/",E1-1," Budget Authority Amount:")</f>
        <v>2011/2012 Budget Authority Amount:</v>
      </c>
      <c r="C30" s="238">
        <f>inputOth!B65</f>
        <v>117237</v>
      </c>
      <c r="D30" s="238">
        <f>inputPrYr!D42</f>
        <v>205501</v>
      </c>
      <c r="E30" s="344">
        <f>IF(E29&lt;0,"See Tab E","")</f>
      </c>
    </row>
    <row r="31" spans="2:5" ht="15.75">
      <c r="B31" s="133"/>
      <c r="C31" s="274">
        <f>IF(C28&gt;C30,"See Tab A","")</f>
      </c>
      <c r="D31" s="274">
        <f>IF(D28&gt;D30,"See Tab C","")</f>
      </c>
      <c r="E31" s="96"/>
    </row>
    <row r="32" spans="2:5" ht="15.75">
      <c r="B32" s="133"/>
      <c r="C32" s="274">
        <f>IF(C29&lt;0,"See Tab B","")</f>
      </c>
      <c r="D32" s="274">
        <f>IF(D29&lt;0,"See Tab D","")</f>
      </c>
      <c r="E32" s="96"/>
    </row>
    <row r="33" spans="2:5" ht="15.75">
      <c r="B33" s="47"/>
      <c r="C33" s="96"/>
      <c r="D33" s="96"/>
      <c r="E33" s="96"/>
    </row>
    <row r="34" spans="2:5" ht="15.75">
      <c r="B34" s="52" t="s">
        <v>102</v>
      </c>
      <c r="C34" s="288"/>
      <c r="D34" s="288"/>
      <c r="E34" s="288"/>
    </row>
    <row r="35" spans="2:5" ht="15.75">
      <c r="B35" s="47"/>
      <c r="C35" s="639" t="s">
        <v>862</v>
      </c>
      <c r="D35" s="640" t="s">
        <v>863</v>
      </c>
      <c r="E35" s="141" t="s">
        <v>864</v>
      </c>
    </row>
    <row r="36" spans="2:5" ht="15.75">
      <c r="B36" s="464"/>
      <c r="C36" s="222" t="str">
        <f>CONCATENATE("Actual for ",$E$1-2,"")</f>
        <v>Actual for 2011</v>
      </c>
      <c r="D36" s="222" t="str">
        <f>CONCATENATE("Estimate for ",$E$1-1,"")</f>
        <v>Estimate for 2012</v>
      </c>
      <c r="E36" s="205" t="str">
        <f>CONCATENATE("Year for ",$E$1,"")</f>
        <v>Year for 2013</v>
      </c>
    </row>
    <row r="37" spans="2:5" ht="15.75">
      <c r="B37" s="249" t="s">
        <v>221</v>
      </c>
      <c r="C37" s="67">
        <v>0</v>
      </c>
      <c r="D37" s="225">
        <f>C60</f>
        <v>0</v>
      </c>
      <c r="E37" s="225">
        <f>D60</f>
        <v>0</v>
      </c>
    </row>
    <row r="38" spans="2:5" ht="15.75">
      <c r="B38" s="253" t="s">
        <v>223</v>
      </c>
      <c r="C38" s="86"/>
      <c r="D38" s="86"/>
      <c r="E38" s="86"/>
    </row>
    <row r="39" spans="2:5" ht="15.75">
      <c r="B39" s="270" t="s">
        <v>1047</v>
      </c>
      <c r="C39" s="67">
        <v>0</v>
      </c>
      <c r="D39" s="67"/>
      <c r="E39" s="67"/>
    </row>
    <row r="40" spans="2:5" ht="15.75">
      <c r="B40" s="270"/>
      <c r="C40" s="67"/>
      <c r="D40" s="67"/>
      <c r="E40" s="67"/>
    </row>
    <row r="41" spans="2:5" ht="15.75">
      <c r="B41" s="270"/>
      <c r="C41" s="67"/>
      <c r="D41" s="67"/>
      <c r="E41" s="67"/>
    </row>
    <row r="42" spans="2:5" ht="15.75">
      <c r="B42" s="270"/>
      <c r="C42" s="67"/>
      <c r="D42" s="67"/>
      <c r="E42" s="67"/>
    </row>
    <row r="43" spans="2:5" ht="15.75">
      <c r="B43" s="258" t="s">
        <v>108</v>
      </c>
      <c r="C43" s="67">
        <v>0</v>
      </c>
      <c r="D43" s="67"/>
      <c r="E43" s="67"/>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0</v>
      </c>
      <c r="D46" s="264">
        <f>SUM(D39:D44)</f>
        <v>0</v>
      </c>
      <c r="E46" s="264">
        <f>SUM(E39:E44)</f>
        <v>0</v>
      </c>
    </row>
    <row r="47" spans="2:5" ht="15.75">
      <c r="B47" s="261" t="s">
        <v>110</v>
      </c>
      <c r="C47" s="264">
        <f>C37+C46</f>
        <v>0</v>
      </c>
      <c r="D47" s="264">
        <f>D37+D46</f>
        <v>0</v>
      </c>
      <c r="E47" s="264">
        <f>E37+E46</f>
        <v>0</v>
      </c>
    </row>
    <row r="48" spans="2:5" ht="15.75">
      <c r="B48" s="147" t="s">
        <v>112</v>
      </c>
      <c r="C48" s="225"/>
      <c r="D48" s="225"/>
      <c r="E48" s="225"/>
    </row>
    <row r="49" spans="2:5" ht="15.75">
      <c r="B49" s="270"/>
      <c r="C49" s="67"/>
      <c r="D49" s="67"/>
      <c r="E49" s="67"/>
    </row>
    <row r="50" spans="2:5" ht="15.75">
      <c r="B50" s="270"/>
      <c r="C50" s="67"/>
      <c r="D50" s="67"/>
      <c r="E50" s="67"/>
    </row>
    <row r="51" spans="2:5" ht="15.75">
      <c r="B51" s="270"/>
      <c r="C51" s="67"/>
      <c r="D51" s="67"/>
      <c r="E51" s="67"/>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1" t="s">
        <v>14</v>
      </c>
      <c r="C57" s="67"/>
      <c r="D57" s="255"/>
      <c r="E57" s="255"/>
    </row>
    <row r="58" spans="2:5" ht="15.75">
      <c r="B58" s="271" t="s">
        <v>701</v>
      </c>
      <c r="C58" s="293">
        <f>IF(C59*0.1&lt;C57,"Exceed 10% Rule","")</f>
      </c>
      <c r="D58" s="260">
        <f>IF(D59*0.1&lt;D57,"Exceed 10% Rule","")</f>
      </c>
      <c r="E58" s="260">
        <f>IF(E59*0.1&lt;E57,"Exceed 10% Rule","")</f>
      </c>
    </row>
    <row r="59" spans="2:5" ht="15.75">
      <c r="B59" s="261" t="s">
        <v>116</v>
      </c>
      <c r="C59" s="264">
        <f>SUM(C49:C57)</f>
        <v>0</v>
      </c>
      <c r="D59" s="264">
        <f>SUM(D49:D57)</f>
        <v>0</v>
      </c>
      <c r="E59" s="264">
        <f>SUM(E49:E57)</f>
        <v>0</v>
      </c>
    </row>
    <row r="60" spans="2:5" ht="15.75">
      <c r="B60" s="147" t="s">
        <v>222</v>
      </c>
      <c r="C60" s="82">
        <f>C47-C59</f>
        <v>0</v>
      </c>
      <c r="D60" s="82">
        <f>D47-D59</f>
        <v>0</v>
      </c>
      <c r="E60" s="82">
        <f>E47-E59</f>
        <v>0</v>
      </c>
    </row>
    <row r="61" spans="2:5" ht="15.75">
      <c r="B61" s="133" t="str">
        <f>CONCATENATE("",E1-2,"/",E1-1," Budget Authority Amount:")</f>
        <v>2011/2012 Budget Authority Amount:</v>
      </c>
      <c r="C61" s="238">
        <f>inputOth!B66</f>
        <v>6019</v>
      </c>
      <c r="D61" s="238" t="e">
        <f>inputPrYr!#REF!</f>
        <v>#REF!</v>
      </c>
      <c r="E61" s="344">
        <f>IF(E60&lt;0,"See Tab E","")</f>
      </c>
    </row>
    <row r="62" spans="2:5" ht="15.75">
      <c r="B62" s="133"/>
      <c r="C62" s="274">
        <f>IF(C59&gt;C61,"See Tab A","")</f>
      </c>
      <c r="D62" s="274" t="e">
        <f>IF(D59&gt;D61,"See Tab C","")</f>
        <v>#REF!</v>
      </c>
      <c r="E62" s="47"/>
    </row>
    <row r="63" spans="2:5" ht="15.75">
      <c r="B63" s="133"/>
      <c r="C63" s="274">
        <f>IF(C60&lt;0,"See Tab B","")</f>
      </c>
      <c r="D63" s="274">
        <f>IF(D60&lt;0,"See Tab D","")</f>
      </c>
      <c r="E63" s="47"/>
    </row>
    <row r="64" spans="2:5" ht="15.75">
      <c r="B64" s="47"/>
      <c r="C64" s="47"/>
      <c r="D64" s="47"/>
      <c r="E64" s="47"/>
    </row>
    <row r="65" spans="2:5" ht="15.75">
      <c r="B65" s="367" t="s">
        <v>119</v>
      </c>
      <c r="C65" s="278">
        <v>15</v>
      </c>
      <c r="D65" s="47"/>
      <c r="E65" s="47"/>
    </row>
  </sheetData>
  <sheetProtection/>
  <conditionalFormatting sqref="C13">
    <cfRule type="cellIs" priority="6" dxfId="274" operator="greaterThan" stopIfTrue="1">
      <formula>$C$15*0.1</formula>
    </cfRule>
  </conditionalFormatting>
  <conditionalFormatting sqref="D13">
    <cfRule type="cellIs" priority="7" dxfId="274" operator="greaterThan" stopIfTrue="1">
      <formula>$D$15*0.1</formula>
    </cfRule>
  </conditionalFormatting>
  <conditionalFormatting sqref="E13">
    <cfRule type="cellIs" priority="8" dxfId="274" operator="greaterThan" stopIfTrue="1">
      <formula>$E$15*0.1</formula>
    </cfRule>
  </conditionalFormatting>
  <conditionalFormatting sqref="C26">
    <cfRule type="cellIs" priority="9" dxfId="274" operator="greaterThan" stopIfTrue="1">
      <formula>$C$28*0.1</formula>
    </cfRule>
  </conditionalFormatting>
  <conditionalFormatting sqref="D26">
    <cfRule type="cellIs" priority="10" dxfId="274" operator="greaterThan" stopIfTrue="1">
      <formula>$D$28*0.1</formula>
    </cfRule>
  </conditionalFormatting>
  <conditionalFormatting sqref="E26">
    <cfRule type="cellIs" priority="11" dxfId="274" operator="greaterThan" stopIfTrue="1">
      <formula>$E$28*0.1</formula>
    </cfRule>
  </conditionalFormatting>
  <conditionalFormatting sqref="C44">
    <cfRule type="cellIs" priority="12" dxfId="274" operator="greaterThan" stopIfTrue="1">
      <formula>$C$46*0.1</formula>
    </cfRule>
  </conditionalFormatting>
  <conditionalFormatting sqref="D44">
    <cfRule type="cellIs" priority="13" dxfId="274" operator="greaterThan" stopIfTrue="1">
      <formula>$D$46*0.1</formula>
    </cfRule>
  </conditionalFormatting>
  <conditionalFormatting sqref="E44">
    <cfRule type="cellIs" priority="14" dxfId="274" operator="greaterThan" stopIfTrue="1">
      <formula>$E$46*0.1</formula>
    </cfRule>
  </conditionalFormatting>
  <conditionalFormatting sqref="C57">
    <cfRule type="cellIs" priority="15" dxfId="274" operator="greaterThan" stopIfTrue="1">
      <formula>$C$59*0.1</formula>
    </cfRule>
  </conditionalFormatting>
  <conditionalFormatting sqref="D57">
    <cfRule type="cellIs" priority="16" dxfId="274" operator="greaterThan" stopIfTrue="1">
      <formula>$D$59*0.1</formula>
    </cfRule>
  </conditionalFormatting>
  <conditionalFormatting sqref="E57">
    <cfRule type="cellIs" priority="17" dxfId="274"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inputPrYr!B44</f>
        <v>2011 G.O. Redemption</v>
      </c>
      <c r="C5" s="222" t="str">
        <f>CONCATENATE("Actual for ",E1-2,"")</f>
        <v>Actual for 2011</v>
      </c>
      <c r="D5" s="222" t="str">
        <f>CONCATENATE("Estimate for ",E1-1,"")</f>
        <v>Estimate for 2012</v>
      </c>
      <c r="E5" s="205" t="str">
        <f>CONCATENATE("Year for ",E1,"")</f>
        <v>Year for 2013</v>
      </c>
    </row>
    <row r="6" spans="2:5" ht="15.75">
      <c r="B6" s="249" t="s">
        <v>221</v>
      </c>
      <c r="C6" s="67">
        <v>0</v>
      </c>
      <c r="D6" s="225">
        <f>C29</f>
        <v>0</v>
      </c>
      <c r="E6" s="225">
        <f>D29</f>
        <v>0</v>
      </c>
    </row>
    <row r="7" spans="2:5" s="45" customFormat="1" ht="15.75">
      <c r="B7" s="253" t="s">
        <v>223</v>
      </c>
      <c r="C7" s="86"/>
      <c r="D7" s="86"/>
      <c r="E7" s="86"/>
    </row>
    <row r="8" spans="2:5" ht="15.75">
      <c r="B8" s="270" t="s">
        <v>1047</v>
      </c>
      <c r="C8" s="67">
        <v>1409377</v>
      </c>
      <c r="D8" s="67">
        <v>0</v>
      </c>
      <c r="E8" s="67">
        <v>0</v>
      </c>
    </row>
    <row r="9" spans="2:5" ht="15.75">
      <c r="B9" s="270"/>
      <c r="C9" s="67"/>
      <c r="D9" s="67"/>
      <c r="E9" s="67"/>
    </row>
    <row r="10" spans="2:5" ht="15.75">
      <c r="B10" s="270"/>
      <c r="C10" s="67"/>
      <c r="D10" s="67"/>
      <c r="E10" s="67"/>
    </row>
    <row r="11" spans="2:5" ht="15.75">
      <c r="B11" s="270"/>
      <c r="C11" s="67"/>
      <c r="D11" s="67"/>
      <c r="E11" s="67"/>
    </row>
    <row r="12" spans="2:5" ht="15.75">
      <c r="B12" s="258" t="s">
        <v>108</v>
      </c>
      <c r="C12" s="67"/>
      <c r="D12" s="67"/>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1409377</v>
      </c>
      <c r="D15" s="264">
        <f>SUM(D8:D13)</f>
        <v>0</v>
      </c>
      <c r="E15" s="264">
        <f>SUM(E8:E13)</f>
        <v>0</v>
      </c>
    </row>
    <row r="16" spans="2:5" ht="15.75">
      <c r="B16" s="261" t="s">
        <v>110</v>
      </c>
      <c r="C16" s="264">
        <f>C6+C15</f>
        <v>1409377</v>
      </c>
      <c r="D16" s="264">
        <f>D6+D15</f>
        <v>0</v>
      </c>
      <c r="E16" s="264">
        <f>E6+E15</f>
        <v>0</v>
      </c>
    </row>
    <row r="17" spans="2:5" ht="15.75">
      <c r="B17" s="147" t="s">
        <v>112</v>
      </c>
      <c r="C17" s="225"/>
      <c r="D17" s="225"/>
      <c r="E17" s="225"/>
    </row>
    <row r="18" spans="2:5" ht="15.75">
      <c r="B18" s="270" t="s">
        <v>1051</v>
      </c>
      <c r="C18" s="67">
        <v>1409377</v>
      </c>
      <c r="D18" s="67">
        <v>0</v>
      </c>
      <c r="E18" s="67">
        <v>0</v>
      </c>
    </row>
    <row r="19" spans="2:5" ht="15.75">
      <c r="B19" s="270"/>
      <c r="C19" s="67"/>
      <c r="D19" s="67"/>
      <c r="E19" s="67"/>
    </row>
    <row r="20" spans="2:5" ht="15.75">
      <c r="B20" s="270"/>
      <c r="C20" s="67"/>
      <c r="D20" s="67"/>
      <c r="E20" s="67"/>
    </row>
    <row r="21" spans="2:5" ht="15.75">
      <c r="B21" s="270"/>
      <c r="C21" s="67"/>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701</v>
      </c>
      <c r="C27" s="293">
        <f>IF(C28*0.1&lt;C26,"Exceed 10% Rule","")</f>
      </c>
      <c r="D27" s="260">
        <f>IF(D28*0.1&lt;D26,"Exceed 10% Rule","")</f>
      </c>
      <c r="E27" s="260">
        <f>IF(E28*0.1&lt;E26,"Exceed 10% Rule","")</f>
      </c>
    </row>
    <row r="28" spans="2:5" ht="15.75">
      <c r="B28" s="261" t="s">
        <v>116</v>
      </c>
      <c r="C28" s="264">
        <f>SUM(C18:C26)</f>
        <v>1409377</v>
      </c>
      <c r="D28" s="264">
        <f>SUM(D18:D26)</f>
        <v>0</v>
      </c>
      <c r="E28" s="264">
        <f>SUM(E18:E26)</f>
        <v>0</v>
      </c>
    </row>
    <row r="29" spans="2:5" ht="15.75">
      <c r="B29" s="147" t="s">
        <v>222</v>
      </c>
      <c r="C29" s="82">
        <f>C16-C28</f>
        <v>0</v>
      </c>
      <c r="D29" s="82">
        <f>D16-D28</f>
        <v>0</v>
      </c>
      <c r="E29" s="82">
        <f>E16-E28</f>
        <v>0</v>
      </c>
    </row>
    <row r="30" spans="2:5" ht="15.75">
      <c r="B30" s="133" t="str">
        <f>CONCATENATE("",E1-2,"/",E1-1," Budget Authority Amount:")</f>
        <v>2011/2012 Budget Authority Amount:</v>
      </c>
      <c r="C30" s="238">
        <f>inputOth!B68</f>
        <v>0</v>
      </c>
      <c r="D30" s="238">
        <f>inputPrYr!D44</f>
        <v>0</v>
      </c>
      <c r="E30" s="344">
        <f>IF(E29&lt;0,"See Tab E","")</f>
      </c>
    </row>
    <row r="31" spans="2:5" ht="15.75">
      <c r="B31" s="133"/>
      <c r="C31" s="274" t="str">
        <f>IF(C28&gt;C30,"See Tab A","")</f>
        <v>See Tab A</v>
      </c>
      <c r="D31" s="274">
        <f>IF(D28&gt;D30,"See Tab C","")</f>
      </c>
      <c r="E31" s="96"/>
    </row>
    <row r="32" spans="2:5" ht="15.75">
      <c r="B32" s="133"/>
      <c r="C32" s="274">
        <f>IF(C29&lt;0,"See Tab B","")</f>
      </c>
      <c r="D32" s="274">
        <f>IF(D29&lt;0,"See Tab D","")</f>
      </c>
      <c r="E32" s="96"/>
    </row>
    <row r="33" spans="2:5" ht="15.75">
      <c r="B33" s="47"/>
      <c r="C33" s="96"/>
      <c r="D33" s="96"/>
      <c r="E33" s="96"/>
    </row>
    <row r="34" spans="2:5" ht="15.75">
      <c r="B34" s="52" t="s">
        <v>102</v>
      </c>
      <c r="C34" s="288"/>
      <c r="D34" s="288"/>
      <c r="E34" s="288"/>
    </row>
    <row r="35" spans="2:5" ht="15.75">
      <c r="B35" s="47"/>
      <c r="C35" s="639" t="s">
        <v>862</v>
      </c>
      <c r="D35" s="640" t="s">
        <v>863</v>
      </c>
      <c r="E35" s="141" t="s">
        <v>864</v>
      </c>
    </row>
    <row r="36" spans="2:5" ht="15.75">
      <c r="B36" s="464" t="str">
        <f>inputPrYr!B45</f>
        <v>2011 G.O. Cost of Issuance</v>
      </c>
      <c r="C36" s="222" t="str">
        <f>CONCATENATE("Actual for ",$E$1-2,"")</f>
        <v>Actual for 2011</v>
      </c>
      <c r="D36" s="222" t="str">
        <f>CONCATENATE("Estimate for ",$E$1-1,"")</f>
        <v>Estimate for 2012</v>
      </c>
      <c r="E36" s="205" t="str">
        <f>CONCATENATE("Year for ",$E$1,"")</f>
        <v>Year for 2013</v>
      </c>
    </row>
    <row r="37" spans="2:5" ht="15.75">
      <c r="B37" s="249" t="s">
        <v>221</v>
      </c>
      <c r="C37" s="67">
        <v>0</v>
      </c>
      <c r="D37" s="225">
        <f>C60</f>
        <v>0</v>
      </c>
      <c r="E37" s="225">
        <f>D60</f>
        <v>0</v>
      </c>
    </row>
    <row r="38" spans="2:5" s="45" customFormat="1" ht="15.75">
      <c r="B38" s="253" t="s">
        <v>223</v>
      </c>
      <c r="C38" s="86"/>
      <c r="D38" s="86"/>
      <c r="E38" s="86"/>
    </row>
    <row r="39" spans="2:5" ht="15.75">
      <c r="B39" s="270" t="s">
        <v>1052</v>
      </c>
      <c r="C39" s="67">
        <v>24274</v>
      </c>
      <c r="D39" s="67"/>
      <c r="E39" s="67"/>
    </row>
    <row r="40" spans="2:5" ht="15.75">
      <c r="B40" s="270"/>
      <c r="C40" s="67"/>
      <c r="D40" s="67"/>
      <c r="E40" s="67"/>
    </row>
    <row r="41" spans="2:5" ht="15.75">
      <c r="B41" s="270"/>
      <c r="C41" s="67"/>
      <c r="D41" s="67"/>
      <c r="E41" s="67"/>
    </row>
    <row r="42" spans="2:5" ht="15.75">
      <c r="B42" s="270"/>
      <c r="C42" s="67"/>
      <c r="D42" s="67"/>
      <c r="E42" s="67"/>
    </row>
    <row r="43" spans="2:5" ht="15.75">
      <c r="B43" s="258" t="s">
        <v>108</v>
      </c>
      <c r="C43" s="67">
        <v>10</v>
      </c>
      <c r="D43" s="67"/>
      <c r="E43" s="67"/>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24284</v>
      </c>
      <c r="D46" s="264">
        <f>SUM(D39:D44)</f>
        <v>0</v>
      </c>
      <c r="E46" s="264">
        <f>SUM(E39:E44)</f>
        <v>0</v>
      </c>
    </row>
    <row r="47" spans="2:5" ht="15.75">
      <c r="B47" s="261" t="s">
        <v>110</v>
      </c>
      <c r="C47" s="264">
        <f>C37+C46</f>
        <v>24284</v>
      </c>
      <c r="D47" s="264">
        <f>D37+D46</f>
        <v>0</v>
      </c>
      <c r="E47" s="264">
        <f>E37+E46</f>
        <v>0</v>
      </c>
    </row>
    <row r="48" spans="2:5" ht="15.75">
      <c r="B48" s="147" t="s">
        <v>112</v>
      </c>
      <c r="C48" s="225"/>
      <c r="D48" s="225"/>
      <c r="E48" s="225"/>
    </row>
    <row r="49" spans="2:5" ht="15.75">
      <c r="B49" s="270" t="s">
        <v>1053</v>
      </c>
      <c r="C49" s="67">
        <v>14878</v>
      </c>
      <c r="D49" s="67"/>
      <c r="E49" s="67"/>
    </row>
    <row r="50" spans="2:5" ht="15.75">
      <c r="B50" s="270" t="s">
        <v>1045</v>
      </c>
      <c r="C50" s="67">
        <v>7700</v>
      </c>
      <c r="D50" s="67"/>
      <c r="E50" s="67"/>
    </row>
    <row r="51" spans="2:5" ht="15.75">
      <c r="B51" s="270" t="s">
        <v>1054</v>
      </c>
      <c r="C51" s="67">
        <v>1706</v>
      </c>
      <c r="D51" s="67"/>
      <c r="E51" s="67"/>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1" t="s">
        <v>14</v>
      </c>
      <c r="C57" s="67"/>
      <c r="D57" s="255"/>
      <c r="E57" s="255"/>
    </row>
    <row r="58" spans="2:5" ht="15.75">
      <c r="B58" s="271" t="s">
        <v>701</v>
      </c>
      <c r="C58" s="293">
        <f>IF(C59*0.1&lt;C57,"Exceed 10% Rule","")</f>
      </c>
      <c r="D58" s="260">
        <f>IF(D59*0.1&lt;D57,"Exceed 10% Rule","")</f>
      </c>
      <c r="E58" s="260">
        <f>IF(E59*0.1&lt;E57,"Exceed 10% Rule","")</f>
      </c>
    </row>
    <row r="59" spans="2:5" ht="15.75">
      <c r="B59" s="261" t="s">
        <v>116</v>
      </c>
      <c r="C59" s="264">
        <f>SUM(C49:C57)</f>
        <v>24284</v>
      </c>
      <c r="D59" s="264">
        <f>SUM(D49:D57)</f>
        <v>0</v>
      </c>
      <c r="E59" s="264">
        <f>SUM(E49:E57)</f>
        <v>0</v>
      </c>
    </row>
    <row r="60" spans="2:5" ht="15.75">
      <c r="B60" s="147" t="s">
        <v>222</v>
      </c>
      <c r="C60" s="82">
        <f>C47-C59</f>
        <v>0</v>
      </c>
      <c r="D60" s="82">
        <f>D47-D59</f>
        <v>0</v>
      </c>
      <c r="E60" s="82">
        <f>E47-E59</f>
        <v>0</v>
      </c>
    </row>
    <row r="61" spans="2:5" ht="15.75">
      <c r="B61" s="133" t="str">
        <f>CONCATENATE("",E1-2,"/",E1-1," Budget Authority Amount:")</f>
        <v>2011/2012 Budget Authority Amount:</v>
      </c>
      <c r="C61" s="238">
        <f>inputOth!B69</f>
        <v>0</v>
      </c>
      <c r="D61" s="238">
        <f>inputPrYr!D45</f>
        <v>0</v>
      </c>
      <c r="E61" s="344">
        <f>IF(E60&lt;0,"See Tab E","")</f>
      </c>
    </row>
    <row r="62" spans="2:5" ht="15.75">
      <c r="B62" s="133"/>
      <c r="C62" s="274" t="str">
        <f>IF(C59&gt;C61,"See Tab A","")</f>
        <v>See Tab A</v>
      </c>
      <c r="D62" s="274">
        <f>IF(D59&gt;D61,"See Tab C","")</f>
      </c>
      <c r="E62" s="47"/>
    </row>
    <row r="63" spans="2:5" ht="15.75">
      <c r="B63" s="133"/>
      <c r="C63" s="274">
        <f>IF(C60&lt;0,"See Tab B","")</f>
      </c>
      <c r="D63" s="274">
        <f>IF(D60&lt;0,"See Tab D","")</f>
      </c>
      <c r="E63" s="47"/>
    </row>
    <row r="64" spans="2:5" ht="15.75">
      <c r="B64" s="47"/>
      <c r="C64" s="47"/>
      <c r="D64" s="47"/>
      <c r="E64" s="47"/>
    </row>
    <row r="65" spans="2:5" ht="15.75">
      <c r="B65" s="367" t="s">
        <v>119</v>
      </c>
      <c r="C65" s="278">
        <v>16</v>
      </c>
      <c r="D65" s="47"/>
      <c r="E65" s="47"/>
    </row>
  </sheetData>
  <sheetProtection sheet="1"/>
  <conditionalFormatting sqref="C13">
    <cfRule type="cellIs" priority="3" dxfId="274" operator="greaterThan" stopIfTrue="1">
      <formula>$C$15*0.1</formula>
    </cfRule>
  </conditionalFormatting>
  <conditionalFormatting sqref="D13">
    <cfRule type="cellIs" priority="4" dxfId="274" operator="greaterThan" stopIfTrue="1">
      <formula>$D$15*0.1</formula>
    </cfRule>
  </conditionalFormatting>
  <conditionalFormatting sqref="E13">
    <cfRule type="cellIs" priority="5" dxfId="274" operator="greaterThan" stopIfTrue="1">
      <formula>$E$15*0.1</formula>
    </cfRule>
  </conditionalFormatting>
  <conditionalFormatting sqref="C26">
    <cfRule type="cellIs" priority="6" dxfId="274" operator="greaterThan" stopIfTrue="1">
      <formula>$C$28*0.1</formula>
    </cfRule>
  </conditionalFormatting>
  <conditionalFormatting sqref="D26">
    <cfRule type="cellIs" priority="7" dxfId="274" operator="greaterThan" stopIfTrue="1">
      <formula>$D$28*0.1</formula>
    </cfRule>
  </conditionalFormatting>
  <conditionalFormatting sqref="E26">
    <cfRule type="cellIs" priority="8" dxfId="274" operator="greaterThan" stopIfTrue="1">
      <formula>$E$28*0.1</formula>
    </cfRule>
  </conditionalFormatting>
  <conditionalFormatting sqref="C44">
    <cfRule type="cellIs" priority="9" dxfId="274" operator="greaterThan" stopIfTrue="1">
      <formula>$C$46*0.1</formula>
    </cfRule>
  </conditionalFormatting>
  <conditionalFormatting sqref="D44">
    <cfRule type="cellIs" priority="10" dxfId="274" operator="greaterThan" stopIfTrue="1">
      <formula>$D$46*0.1</formula>
    </cfRule>
  </conditionalFormatting>
  <conditionalFormatting sqref="E44">
    <cfRule type="cellIs" priority="11" dxfId="274" operator="greaterThan" stopIfTrue="1">
      <formula>$E$46*0.1</formula>
    </cfRule>
  </conditionalFormatting>
  <conditionalFormatting sqref="C57">
    <cfRule type="cellIs" priority="12" dxfId="274" operator="greaterThan" stopIfTrue="1">
      <formula>$C$59*0.1</formula>
    </cfRule>
  </conditionalFormatting>
  <conditionalFormatting sqref="D57">
    <cfRule type="cellIs" priority="13" dxfId="274" operator="greaterThan" stopIfTrue="1">
      <formula>$D$59*0.1</formula>
    </cfRule>
  </conditionalFormatting>
  <conditionalFormatting sqref="E57">
    <cfRule type="cellIs" priority="14" dxfId="274"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inputPrYr!B46</f>
        <v>2011 G.O. Compliance</v>
      </c>
      <c r="C5" s="222" t="str">
        <f>CONCATENATE("Actual for ",E1-2,"")</f>
        <v>Actual for 2011</v>
      </c>
      <c r="D5" s="222" t="str">
        <f>CONCATENATE("Estimate for ",E1-1,"")</f>
        <v>Estimate for 2012</v>
      </c>
      <c r="E5" s="205" t="str">
        <f>CONCATENATE("Year for ",E1,"")</f>
        <v>Year for 2013</v>
      </c>
    </row>
    <row r="6" spans="2:5" ht="15.75">
      <c r="B6" s="249" t="s">
        <v>221</v>
      </c>
      <c r="C6" s="67">
        <v>0</v>
      </c>
      <c r="D6" s="225">
        <f>C29</f>
        <v>3655</v>
      </c>
      <c r="E6" s="225">
        <f>D29</f>
        <v>3670</v>
      </c>
    </row>
    <row r="7" spans="2:5" s="45" customFormat="1" ht="15.75">
      <c r="B7" s="253" t="s">
        <v>223</v>
      </c>
      <c r="C7" s="86"/>
      <c r="D7" s="86"/>
      <c r="E7" s="86"/>
    </row>
    <row r="8" spans="2:5" ht="15.75">
      <c r="B8" s="270" t="s">
        <v>1047</v>
      </c>
      <c r="C8" s="67">
        <v>3634</v>
      </c>
      <c r="D8" s="67"/>
      <c r="E8" s="67"/>
    </row>
    <row r="9" spans="2:5" ht="15.75">
      <c r="B9" s="270"/>
      <c r="C9" s="67"/>
      <c r="D9" s="67"/>
      <c r="E9" s="67"/>
    </row>
    <row r="10" spans="2:5" ht="15.75">
      <c r="B10" s="270"/>
      <c r="C10" s="67"/>
      <c r="D10" s="67"/>
      <c r="E10" s="67"/>
    </row>
    <row r="11" spans="2:5" ht="15.75">
      <c r="B11" s="270"/>
      <c r="C11" s="67"/>
      <c r="D11" s="67"/>
      <c r="E11" s="67"/>
    </row>
    <row r="12" spans="2:5" ht="15.75">
      <c r="B12" s="258" t="s">
        <v>108</v>
      </c>
      <c r="C12" s="67">
        <v>21</v>
      </c>
      <c r="D12" s="67">
        <v>15</v>
      </c>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3655</v>
      </c>
      <c r="D15" s="264">
        <f>SUM(D8:D13)</f>
        <v>15</v>
      </c>
      <c r="E15" s="264">
        <f>SUM(E8:E13)</f>
        <v>0</v>
      </c>
    </row>
    <row r="16" spans="2:5" ht="15.75">
      <c r="B16" s="261" t="s">
        <v>110</v>
      </c>
      <c r="C16" s="264">
        <f>C6+C15</f>
        <v>3655</v>
      </c>
      <c r="D16" s="264">
        <f>D6+D15</f>
        <v>3670</v>
      </c>
      <c r="E16" s="264">
        <f>E6+E15</f>
        <v>3670</v>
      </c>
    </row>
    <row r="17" spans="2:5" ht="15.75">
      <c r="B17" s="147" t="s">
        <v>112</v>
      </c>
      <c r="C17" s="225"/>
      <c r="D17" s="225"/>
      <c r="E17" s="225"/>
    </row>
    <row r="18" spans="2:5" ht="15.75">
      <c r="B18" s="270" t="s">
        <v>115</v>
      </c>
      <c r="C18" s="67">
        <v>0</v>
      </c>
      <c r="D18" s="67"/>
      <c r="E18" s="67">
        <v>3670</v>
      </c>
    </row>
    <row r="19" spans="2:5" ht="15.75">
      <c r="B19" s="270" t="s">
        <v>1055</v>
      </c>
      <c r="C19" s="67">
        <v>0</v>
      </c>
      <c r="D19" s="67"/>
      <c r="E19" s="67"/>
    </row>
    <row r="20" spans="2:5" ht="15.75">
      <c r="B20" s="270" t="s">
        <v>1050</v>
      </c>
      <c r="C20" s="67">
        <v>0</v>
      </c>
      <c r="D20" s="67"/>
      <c r="E20" s="67"/>
    </row>
    <row r="21" spans="2:5" ht="15.75">
      <c r="B21" s="270"/>
      <c r="C21" s="67"/>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701</v>
      </c>
      <c r="C27" s="293">
        <f>IF(C28*0.1&lt;C26,"Exceed 10% Rule","")</f>
      </c>
      <c r="D27" s="260">
        <f>IF(D28*0.1&lt;D26,"Exceed 10% Rule","")</f>
      </c>
      <c r="E27" s="260">
        <f>IF(E28*0.1&lt;E26,"Exceed 10% Rule","")</f>
      </c>
    </row>
    <row r="28" spans="2:5" ht="15.75">
      <c r="B28" s="261" t="s">
        <v>116</v>
      </c>
      <c r="C28" s="264">
        <f>SUM(C18:C26)</f>
        <v>0</v>
      </c>
      <c r="D28" s="264">
        <f>SUM(D18:D26)</f>
        <v>0</v>
      </c>
      <c r="E28" s="264">
        <f>SUM(E18:E26)</f>
        <v>3670</v>
      </c>
    </row>
    <row r="29" spans="2:5" ht="15.75">
      <c r="B29" s="147" t="s">
        <v>222</v>
      </c>
      <c r="C29" s="82">
        <f>C16-C28</f>
        <v>3655</v>
      </c>
      <c r="D29" s="82">
        <f>D16-D28</f>
        <v>3670</v>
      </c>
      <c r="E29" s="82">
        <f>E16-E28</f>
        <v>0</v>
      </c>
    </row>
    <row r="30" spans="2:5" ht="15.75">
      <c r="B30" s="133" t="str">
        <f>CONCATENATE("",E1-2,"/",E1-1," Budget Authority Amount:")</f>
        <v>2011/2012 Budget Authority Amount:</v>
      </c>
      <c r="C30" s="238">
        <f>inputOth!B70</f>
        <v>0</v>
      </c>
      <c r="D30" s="238">
        <f>inputPrYr!D46</f>
        <v>3641</v>
      </c>
      <c r="E30" s="344">
        <f>IF(E29&lt;0,"See Tab E","")</f>
      </c>
    </row>
    <row r="31" spans="2:5" ht="15.75">
      <c r="B31" s="133"/>
      <c r="C31" s="274">
        <f>IF(C28&gt;C30,"See Tab A","")</f>
      </c>
      <c r="D31" s="274">
        <f>IF(D28&gt;D30,"See Tab C","")</f>
      </c>
      <c r="E31" s="96"/>
    </row>
    <row r="32" spans="2:5" ht="15.75">
      <c r="B32" s="133"/>
      <c r="C32" s="274">
        <f>IF(C29&lt;0,"See Tab B","")</f>
      </c>
      <c r="D32" s="274">
        <f>IF(D29&lt;0,"See Tab D","")</f>
      </c>
      <c r="E32" s="96"/>
    </row>
    <row r="33" spans="2:5" ht="15.75">
      <c r="B33" s="47"/>
      <c r="C33" s="96"/>
      <c r="D33" s="96"/>
      <c r="E33" s="96"/>
    </row>
    <row r="34" spans="2:5" ht="15.75">
      <c r="B34" s="52" t="s">
        <v>102</v>
      </c>
      <c r="C34" s="288"/>
      <c r="D34" s="288"/>
      <c r="E34" s="288"/>
    </row>
    <row r="35" spans="2:5" ht="15.75">
      <c r="B35" s="47"/>
      <c r="C35" s="639" t="s">
        <v>862</v>
      </c>
      <c r="D35" s="640" t="s">
        <v>863</v>
      </c>
      <c r="E35" s="141" t="s">
        <v>864</v>
      </c>
    </row>
    <row r="36" spans="2:5" ht="15.75">
      <c r="B36" s="464" t="str">
        <f>inputPrYr!B47</f>
        <v>W/S Improvement</v>
      </c>
      <c r="C36" s="222" t="str">
        <f>CONCATENATE("Actual for ",$E$1-2,"")</f>
        <v>Actual for 2011</v>
      </c>
      <c r="D36" s="222" t="str">
        <f>CONCATENATE("Estimate for ",$E$1-1,"")</f>
        <v>Estimate for 2012</v>
      </c>
      <c r="E36" s="205" t="str">
        <f>CONCATENATE("Year for ",$E$1,"")</f>
        <v>Year for 2013</v>
      </c>
    </row>
    <row r="37" spans="2:5" ht="15.75">
      <c r="B37" s="249" t="s">
        <v>221</v>
      </c>
      <c r="C37" s="67">
        <v>362169</v>
      </c>
      <c r="D37" s="225">
        <f>C60</f>
        <v>310753</v>
      </c>
      <c r="E37" s="225">
        <f>D60</f>
        <v>220819</v>
      </c>
    </row>
    <row r="38" spans="2:5" s="45" customFormat="1" ht="15.75">
      <c r="B38" s="253" t="s">
        <v>223</v>
      </c>
      <c r="C38" s="86"/>
      <c r="D38" s="86"/>
      <c r="E38" s="86"/>
    </row>
    <row r="39" spans="2:5" ht="15.75">
      <c r="B39" s="270" t="s">
        <v>1056</v>
      </c>
      <c r="C39" s="67">
        <v>230000</v>
      </c>
      <c r="D39" s="67">
        <v>50000</v>
      </c>
      <c r="E39" s="67">
        <v>50000</v>
      </c>
    </row>
    <row r="40" spans="2:5" ht="15.75">
      <c r="B40" s="270"/>
      <c r="C40" s="67"/>
      <c r="D40" s="67"/>
      <c r="E40" s="67"/>
    </row>
    <row r="41" spans="2:5" ht="15.75">
      <c r="B41" s="270"/>
      <c r="C41" s="67"/>
      <c r="D41" s="67"/>
      <c r="E41" s="67"/>
    </row>
    <row r="42" spans="2:5" ht="15.75">
      <c r="B42" s="270"/>
      <c r="C42" s="67"/>
      <c r="D42" s="67"/>
      <c r="E42" s="67"/>
    </row>
    <row r="43" spans="2:5" ht="15.75">
      <c r="B43" s="258" t="s">
        <v>108</v>
      </c>
      <c r="C43" s="67">
        <v>2512</v>
      </c>
      <c r="D43" s="67">
        <v>1490</v>
      </c>
      <c r="E43" s="67">
        <v>1200</v>
      </c>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232512</v>
      </c>
      <c r="D46" s="264">
        <f>SUM(D39:D44)</f>
        <v>51490</v>
      </c>
      <c r="E46" s="264">
        <f>SUM(E39:E44)</f>
        <v>51200</v>
      </c>
    </row>
    <row r="47" spans="2:5" ht="15.75">
      <c r="B47" s="261" t="s">
        <v>110</v>
      </c>
      <c r="C47" s="264">
        <f>C37+C46</f>
        <v>594681</v>
      </c>
      <c r="D47" s="264">
        <f>D37+D46</f>
        <v>362243</v>
      </c>
      <c r="E47" s="264">
        <f>E37+E46</f>
        <v>272019</v>
      </c>
    </row>
    <row r="48" spans="2:5" ht="15.75">
      <c r="B48" s="147" t="s">
        <v>112</v>
      </c>
      <c r="C48" s="225"/>
      <c r="D48" s="225"/>
      <c r="E48" s="225"/>
    </row>
    <row r="49" spans="2:5" ht="15.75">
      <c r="B49" s="270" t="s">
        <v>1051</v>
      </c>
      <c r="C49" s="67">
        <v>38429</v>
      </c>
      <c r="D49" s="67">
        <v>45481</v>
      </c>
      <c r="E49" s="67">
        <v>164500</v>
      </c>
    </row>
    <row r="50" spans="2:5" ht="15.75">
      <c r="B50" s="270" t="s">
        <v>1059</v>
      </c>
      <c r="C50" s="67">
        <v>141060</v>
      </c>
      <c r="D50" s="67">
        <v>62289</v>
      </c>
      <c r="E50" s="67">
        <v>62496</v>
      </c>
    </row>
    <row r="51" spans="2:5" ht="15.75">
      <c r="B51" s="270" t="s">
        <v>1060</v>
      </c>
      <c r="C51" s="67">
        <v>98522</v>
      </c>
      <c r="D51" s="67">
        <v>30315</v>
      </c>
      <c r="E51" s="67">
        <v>28271</v>
      </c>
    </row>
    <row r="52" spans="2:5" ht="15.75">
      <c r="B52" s="270" t="s">
        <v>1058</v>
      </c>
      <c r="C52" s="67">
        <v>5917</v>
      </c>
      <c r="D52" s="67">
        <v>3339</v>
      </c>
      <c r="E52" s="67">
        <v>3152</v>
      </c>
    </row>
    <row r="53" spans="2:5" ht="15.75">
      <c r="B53" s="270" t="s">
        <v>1061</v>
      </c>
      <c r="C53" s="67">
        <v>0</v>
      </c>
      <c r="D53" s="67"/>
      <c r="E53" s="67"/>
    </row>
    <row r="54" spans="2:5" ht="15.75">
      <c r="B54" s="270" t="s">
        <v>1050</v>
      </c>
      <c r="C54" s="67">
        <v>0</v>
      </c>
      <c r="D54" s="67"/>
      <c r="E54" s="67"/>
    </row>
    <row r="55" spans="2:5" ht="15.75">
      <c r="B55" s="270"/>
      <c r="C55" s="67"/>
      <c r="D55" s="67"/>
      <c r="E55" s="67"/>
    </row>
    <row r="56" spans="2:5" ht="15.75">
      <c r="B56" s="270"/>
      <c r="C56" s="67"/>
      <c r="D56" s="67"/>
      <c r="E56" s="67"/>
    </row>
    <row r="57" spans="2:5" ht="15.75">
      <c r="B57" s="271" t="s">
        <v>14</v>
      </c>
      <c r="C57" s="67"/>
      <c r="D57" s="255"/>
      <c r="E57" s="255">
        <v>13600</v>
      </c>
    </row>
    <row r="58" spans="2:5" ht="15.75">
      <c r="B58" s="271" t="s">
        <v>701</v>
      </c>
      <c r="C58" s="293">
        <f>IF(C59*0.1&lt;C57,"Exceed 10% Rule","")</f>
      </c>
      <c r="D58" s="260">
        <f>IF(D59*0.1&lt;D57,"Exceed 10% Rule","")</f>
      </c>
      <c r="E58" s="260">
        <f>IF(E59*0.1&lt;E57,"Exceed 10% Rule","")</f>
      </c>
    </row>
    <row r="59" spans="2:5" ht="15.75">
      <c r="B59" s="261" t="s">
        <v>116</v>
      </c>
      <c r="C59" s="264">
        <f>SUM(C49:C57)</f>
        <v>283928</v>
      </c>
      <c r="D59" s="264">
        <f>SUM(D49:D57)</f>
        <v>141424</v>
      </c>
      <c r="E59" s="264">
        <f>SUM(E49:E57)</f>
        <v>272019</v>
      </c>
    </row>
    <row r="60" spans="2:5" ht="15.75">
      <c r="B60" s="147" t="s">
        <v>222</v>
      </c>
      <c r="C60" s="82">
        <f>C47-C59</f>
        <v>310753</v>
      </c>
      <c r="D60" s="82">
        <f>D47-D59</f>
        <v>220819</v>
      </c>
      <c r="E60" s="82">
        <f>E47-E59</f>
        <v>0</v>
      </c>
    </row>
    <row r="61" spans="2:5" ht="15.75">
      <c r="B61" s="133" t="str">
        <f>CONCATENATE("",E1-2,"/",E1-1," Budget Authority Amount:")</f>
        <v>2011/2012 Budget Authority Amount:</v>
      </c>
      <c r="C61" s="238">
        <f>inputOth!B71</f>
        <v>604289</v>
      </c>
      <c r="D61" s="238">
        <f>inputPrYr!D47</f>
        <v>378845</v>
      </c>
      <c r="E61" s="344">
        <f>IF(E60&lt;0,"See Tab E","")</f>
      </c>
    </row>
    <row r="62" spans="2:5" ht="15.75">
      <c r="B62" s="133"/>
      <c r="C62" s="274">
        <f>IF(C59&gt;C61,"See Tab A","")</f>
      </c>
      <c r="D62" s="274">
        <f>IF(D59&gt;D61,"See Tab C","")</f>
      </c>
      <c r="E62" s="47"/>
    </row>
    <row r="63" spans="2:5" ht="15.75">
      <c r="B63" s="133"/>
      <c r="C63" s="274">
        <f>IF(C60&lt;0,"See Tab B","")</f>
      </c>
      <c r="D63" s="274">
        <f>IF(D60&lt;0,"See Tab D","")</f>
      </c>
      <c r="E63" s="47"/>
    </row>
    <row r="64" spans="2:5" ht="15.75">
      <c r="B64" s="47"/>
      <c r="C64" s="47"/>
      <c r="D64" s="47"/>
      <c r="E64" s="47"/>
    </row>
    <row r="65" spans="2:5" ht="15.75">
      <c r="B65" s="367" t="s">
        <v>119</v>
      </c>
      <c r="C65" s="278">
        <v>17</v>
      </c>
      <c r="D65" s="47"/>
      <c r="E65" s="47"/>
    </row>
  </sheetData>
  <sheetProtection sheet="1"/>
  <conditionalFormatting sqref="C13">
    <cfRule type="cellIs" priority="18" dxfId="274" operator="greaterThan" stopIfTrue="1">
      <formula>$C$15*0.1</formula>
    </cfRule>
  </conditionalFormatting>
  <conditionalFormatting sqref="D13">
    <cfRule type="cellIs" priority="17" dxfId="274" operator="greaterThan" stopIfTrue="1">
      <formula>$D$15*0.1</formula>
    </cfRule>
  </conditionalFormatting>
  <conditionalFormatting sqref="E13">
    <cfRule type="cellIs" priority="16" dxfId="274" operator="greaterThan" stopIfTrue="1">
      <formula>$E$15*0.1</formula>
    </cfRule>
  </conditionalFormatting>
  <conditionalFormatting sqref="C26">
    <cfRule type="cellIs" priority="15" dxfId="274" operator="greaterThan" stopIfTrue="1">
      <formula>$C$28*0.1</formula>
    </cfRule>
  </conditionalFormatting>
  <conditionalFormatting sqref="D26">
    <cfRule type="cellIs" priority="14" dxfId="274" operator="greaterThan" stopIfTrue="1">
      <formula>$D$28*0.1</formula>
    </cfRule>
  </conditionalFormatting>
  <conditionalFormatting sqref="E26">
    <cfRule type="cellIs" priority="13" dxfId="274" operator="greaterThan" stopIfTrue="1">
      <formula>$E$28*0.1</formula>
    </cfRule>
  </conditionalFormatting>
  <conditionalFormatting sqref="C44">
    <cfRule type="cellIs" priority="12" dxfId="274" operator="greaterThan" stopIfTrue="1">
      <formula>$C$46*0.1</formula>
    </cfRule>
  </conditionalFormatting>
  <conditionalFormatting sqref="D44">
    <cfRule type="cellIs" priority="11" dxfId="274" operator="greaterThan" stopIfTrue="1">
      <formula>$D$46*0.1</formula>
    </cfRule>
  </conditionalFormatting>
  <conditionalFormatting sqref="E44">
    <cfRule type="cellIs" priority="10" dxfId="274" operator="greaterThan" stopIfTrue="1">
      <formula>$E$46*0.1</formula>
    </cfRule>
  </conditionalFormatting>
  <conditionalFormatting sqref="C57">
    <cfRule type="cellIs" priority="9" dxfId="274" operator="greaterThan" stopIfTrue="1">
      <formula>$C$59*0.1</formula>
    </cfRule>
  </conditionalFormatting>
  <conditionalFormatting sqref="D57">
    <cfRule type="cellIs" priority="8" dxfId="274" operator="greaterThan" stopIfTrue="1">
      <formula>$D$59*0.1</formula>
    </cfRule>
  </conditionalFormatting>
  <conditionalFormatting sqref="E57">
    <cfRule type="cellIs" priority="7" dxfId="274"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inputPrYr!B48</f>
        <v>2009 Temp Note Debt Service</v>
      </c>
      <c r="C5" s="222" t="str">
        <f>CONCATENATE("Actual for ",E1-2,"")</f>
        <v>Actual for 2011</v>
      </c>
      <c r="D5" s="222" t="str">
        <f>CONCATENATE("Estimate for ",E1-1,"")</f>
        <v>Estimate for 2012</v>
      </c>
      <c r="E5" s="205" t="str">
        <f>CONCATENATE("Year for ",E1,"")</f>
        <v>Year for 2013</v>
      </c>
    </row>
    <row r="6" spans="2:5" ht="15.75">
      <c r="B6" s="249" t="s">
        <v>221</v>
      </c>
      <c r="C6" s="67">
        <v>624618</v>
      </c>
      <c r="D6" s="225">
        <f>C29</f>
        <v>0</v>
      </c>
      <c r="E6" s="225">
        <f>D29</f>
        <v>0</v>
      </c>
    </row>
    <row r="7" spans="2:5" s="45" customFormat="1" ht="15.75">
      <c r="B7" s="253" t="s">
        <v>223</v>
      </c>
      <c r="C7" s="86"/>
      <c r="D7" s="86"/>
      <c r="E7" s="86"/>
    </row>
    <row r="8" spans="2:5" ht="15.75">
      <c r="B8" s="270" t="s">
        <v>1062</v>
      </c>
      <c r="C8" s="67"/>
      <c r="D8" s="67"/>
      <c r="E8" s="67"/>
    </row>
    <row r="9" spans="2:5" ht="15.75">
      <c r="B9" s="270" t="s">
        <v>1063</v>
      </c>
      <c r="C9" s="67"/>
      <c r="D9" s="67"/>
      <c r="E9" s="67"/>
    </row>
    <row r="10" spans="2:5" ht="15.75">
      <c r="B10" s="270" t="s">
        <v>1047</v>
      </c>
      <c r="C10" s="67"/>
      <c r="D10" s="67"/>
      <c r="E10" s="67"/>
    </row>
    <row r="11" spans="2:5" ht="15.75">
      <c r="B11" s="270"/>
      <c r="C11" s="67"/>
      <c r="D11" s="67"/>
      <c r="E11" s="67"/>
    </row>
    <row r="12" spans="2:5" ht="15.75">
      <c r="B12" s="258" t="s">
        <v>108</v>
      </c>
      <c r="C12" s="67"/>
      <c r="D12" s="67"/>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0</v>
      </c>
      <c r="D15" s="264">
        <f>SUM(D8:D13)</f>
        <v>0</v>
      </c>
      <c r="E15" s="264">
        <f>SUM(E8:E13)</f>
        <v>0</v>
      </c>
    </row>
    <row r="16" spans="2:5" ht="15.75">
      <c r="B16" s="261" t="s">
        <v>110</v>
      </c>
      <c r="C16" s="264">
        <f>C6+C15</f>
        <v>624618</v>
      </c>
      <c r="D16" s="264">
        <f>D6+D15</f>
        <v>0</v>
      </c>
      <c r="E16" s="264">
        <f>E6+E15</f>
        <v>0</v>
      </c>
    </row>
    <row r="17" spans="2:5" ht="15.75">
      <c r="B17" s="147" t="s">
        <v>112</v>
      </c>
      <c r="C17" s="225"/>
      <c r="D17" s="225"/>
      <c r="E17" s="225"/>
    </row>
    <row r="18" spans="2:5" ht="15.75">
      <c r="B18" s="270" t="s">
        <v>1045</v>
      </c>
      <c r="C18" s="67">
        <v>0</v>
      </c>
      <c r="D18" s="67">
        <v>0</v>
      </c>
      <c r="E18" s="67">
        <v>0</v>
      </c>
    </row>
    <row r="19" spans="2:5" ht="15.75">
      <c r="B19" s="270" t="s">
        <v>1048</v>
      </c>
      <c r="C19" s="67">
        <v>624454</v>
      </c>
      <c r="D19" s="67">
        <v>0</v>
      </c>
      <c r="E19" s="67">
        <v>0</v>
      </c>
    </row>
    <row r="20" spans="2:5" ht="15.75">
      <c r="B20" s="270" t="s">
        <v>1064</v>
      </c>
      <c r="C20" s="67">
        <v>0</v>
      </c>
      <c r="D20" s="67">
        <v>0</v>
      </c>
      <c r="E20" s="67">
        <v>0</v>
      </c>
    </row>
    <row r="21" spans="2:5" ht="15.75">
      <c r="B21" s="270" t="s">
        <v>1050</v>
      </c>
      <c r="C21" s="67">
        <v>164</v>
      </c>
      <c r="D21" s="67">
        <v>0</v>
      </c>
      <c r="E21" s="67">
        <v>0</v>
      </c>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703</v>
      </c>
      <c r="C27" s="293">
        <f>IF(C28*0.1&lt;C26,"Exceed 10% Rule","")</f>
      </c>
      <c r="D27" s="260">
        <f>IF(D28*0.1&lt;D26,"Exceed 10% Rule","")</f>
      </c>
      <c r="E27" s="260">
        <f>IF(E28*0.1&lt;E26,"Exceed 10% Rule","")</f>
      </c>
    </row>
    <row r="28" spans="2:5" ht="15.75">
      <c r="B28" s="261" t="s">
        <v>116</v>
      </c>
      <c r="C28" s="264">
        <f>SUM(C18:C26)</f>
        <v>624618</v>
      </c>
      <c r="D28" s="264">
        <f>SUM(D18:D26)</f>
        <v>0</v>
      </c>
      <c r="E28" s="264">
        <f>SUM(E18:E26)</f>
        <v>0</v>
      </c>
    </row>
    <row r="29" spans="2:5" ht="15.75">
      <c r="B29" s="147" t="s">
        <v>222</v>
      </c>
      <c r="C29" s="82">
        <f>C16-C28</f>
        <v>0</v>
      </c>
      <c r="D29" s="82">
        <f>D16-D28</f>
        <v>0</v>
      </c>
      <c r="E29" s="82">
        <f>E16-E28</f>
        <v>0</v>
      </c>
    </row>
    <row r="30" spans="2:5" ht="15.75">
      <c r="B30" s="133" t="str">
        <f>CONCATENATE("",E1-2,"/",E1-1," Budget Authority Amount:")</f>
        <v>2011/2012 Budget Authority Amount:</v>
      </c>
      <c r="C30" s="238">
        <f>inputOth!B78</f>
        <v>0</v>
      </c>
      <c r="D30" s="238">
        <f>inputPrYr!D54</f>
        <v>0</v>
      </c>
      <c r="E30" s="344">
        <f>IF(E29&lt;0,"See Tab E","")</f>
      </c>
    </row>
    <row r="31" spans="2:5" ht="15.75">
      <c r="B31" s="133"/>
      <c r="C31" s="345" t="str">
        <f>IF(C28&gt;C30,"See Tab A","")</f>
        <v>See Tab A</v>
      </c>
      <c r="D31" s="274">
        <f>IF(D28&gt;D30,"See Tab C","")</f>
      </c>
      <c r="E31" s="96"/>
    </row>
    <row r="32" spans="2:5" ht="15.75">
      <c r="B32" s="133"/>
      <c r="C32" s="345">
        <f>IF(C29&lt;0,"See Tab B","")</f>
      </c>
      <c r="D32" s="274">
        <f>IF(D29&lt;0,"See Tab D","")</f>
      </c>
      <c r="E32" s="96"/>
    </row>
    <row r="33" spans="2:5" ht="15.75">
      <c r="B33" s="47"/>
      <c r="C33" s="346"/>
      <c r="D33" s="96"/>
      <c r="E33" s="96"/>
    </row>
    <row r="34" spans="2:5" ht="15.75">
      <c r="B34" s="52" t="s">
        <v>102</v>
      </c>
      <c r="C34" s="347"/>
      <c r="D34" s="288"/>
      <c r="E34" s="288"/>
    </row>
    <row r="35" spans="2:5" ht="15.75">
      <c r="B35" s="47"/>
      <c r="C35" s="639" t="s">
        <v>862</v>
      </c>
      <c r="D35" s="640" t="s">
        <v>863</v>
      </c>
      <c r="E35" s="141" t="s">
        <v>864</v>
      </c>
    </row>
    <row r="36" spans="2:5" ht="15.75">
      <c r="B36" s="464" t="str">
        <f>inputPrYr!B49</f>
        <v>2009 Temp Note Cost of Issuance</v>
      </c>
      <c r="C36" s="222" t="str">
        <f>CONCATENATE("Actual for ",$E$1-2,"")</f>
        <v>Actual for 2011</v>
      </c>
      <c r="D36" s="222" t="str">
        <f>CONCATENATE("Estimate for ",$E$1-1,"")</f>
        <v>Estimate for 2012</v>
      </c>
      <c r="E36" s="205" t="str">
        <f>CONCATENATE("Year for ",$E$1,"")</f>
        <v>Year for 2013</v>
      </c>
    </row>
    <row r="37" spans="2:5" ht="15.75">
      <c r="B37" s="249" t="s">
        <v>221</v>
      </c>
      <c r="C37" s="67">
        <v>0</v>
      </c>
      <c r="D37" s="225">
        <f>C60</f>
        <v>0</v>
      </c>
      <c r="E37" s="225">
        <f>D60</f>
        <v>0</v>
      </c>
    </row>
    <row r="38" spans="2:5" s="45" customFormat="1" ht="15.75">
      <c r="B38" s="253" t="s">
        <v>223</v>
      </c>
      <c r="C38" s="86"/>
      <c r="D38" s="86"/>
      <c r="E38" s="86"/>
    </row>
    <row r="39" spans="2:5" ht="15.75">
      <c r="B39" s="270" t="s">
        <v>1047</v>
      </c>
      <c r="C39" s="67">
        <v>0</v>
      </c>
      <c r="D39" s="67">
        <v>0</v>
      </c>
      <c r="E39" s="67">
        <v>0</v>
      </c>
    </row>
    <row r="40" spans="2:5" ht="15.75">
      <c r="B40" s="270"/>
      <c r="C40" s="67"/>
      <c r="D40" s="67"/>
      <c r="E40" s="67"/>
    </row>
    <row r="41" spans="2:5" ht="15.75">
      <c r="B41" s="270"/>
      <c r="C41" s="67"/>
      <c r="D41" s="67"/>
      <c r="E41" s="67"/>
    </row>
    <row r="42" spans="2:5" ht="15.75">
      <c r="B42" s="270"/>
      <c r="C42" s="67"/>
      <c r="D42" s="67"/>
      <c r="E42" s="67"/>
    </row>
    <row r="43" spans="2:5" ht="15.75">
      <c r="B43" s="258" t="s">
        <v>108</v>
      </c>
      <c r="C43" s="67"/>
      <c r="D43" s="67"/>
      <c r="E43" s="67"/>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0</v>
      </c>
      <c r="D46" s="264">
        <f>SUM(D39:D44)</f>
        <v>0</v>
      </c>
      <c r="E46" s="264">
        <f>SUM(E39:E44)</f>
        <v>0</v>
      </c>
    </row>
    <row r="47" spans="2:5" ht="15.75">
      <c r="B47" s="261" t="s">
        <v>110</v>
      </c>
      <c r="C47" s="264">
        <f>C37+C46</f>
        <v>0</v>
      </c>
      <c r="D47" s="264">
        <f>D37+D46</f>
        <v>0</v>
      </c>
      <c r="E47" s="264">
        <f>E37+E46</f>
        <v>0</v>
      </c>
    </row>
    <row r="48" spans="2:5" ht="15.75">
      <c r="B48" s="147" t="s">
        <v>112</v>
      </c>
      <c r="C48" s="225"/>
      <c r="D48" s="225"/>
      <c r="E48" s="225"/>
    </row>
    <row r="49" spans="2:5" ht="15.75">
      <c r="B49" s="270" t="s">
        <v>1053</v>
      </c>
      <c r="C49" s="67">
        <v>0</v>
      </c>
      <c r="D49" s="67">
        <v>0</v>
      </c>
      <c r="E49" s="67">
        <v>0</v>
      </c>
    </row>
    <row r="50" spans="2:5" ht="15.75">
      <c r="B50" s="270" t="s">
        <v>1065</v>
      </c>
      <c r="C50" s="67">
        <v>0</v>
      </c>
      <c r="D50" s="67">
        <v>0</v>
      </c>
      <c r="E50" s="67">
        <v>0</v>
      </c>
    </row>
    <row r="51" spans="2:5" ht="15.75">
      <c r="B51" s="270" t="s">
        <v>1066</v>
      </c>
      <c r="C51" s="67">
        <v>0</v>
      </c>
      <c r="D51" s="67">
        <v>0</v>
      </c>
      <c r="E51" s="67">
        <v>0</v>
      </c>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1" t="s">
        <v>14</v>
      </c>
      <c r="C57" s="67"/>
      <c r="D57" s="255"/>
      <c r="E57" s="255"/>
    </row>
    <row r="58" spans="2:5" ht="15.75">
      <c r="B58" s="271" t="s">
        <v>701</v>
      </c>
      <c r="C58" s="293">
        <f>IF(C59*0.1&lt;C57,"Exceed 10% Rule","")</f>
      </c>
      <c r="D58" s="260">
        <f>IF(D59*0.1&lt;D57,"Exceed 10% Rule","")</f>
      </c>
      <c r="E58" s="260">
        <f>IF(E59*0.1&lt;E57,"Exceed 10% Rule","")</f>
      </c>
    </row>
    <row r="59" spans="2:5" ht="15.75">
      <c r="B59" s="261" t="s">
        <v>116</v>
      </c>
      <c r="C59" s="264">
        <f>SUM(C49:C57)</f>
        <v>0</v>
      </c>
      <c r="D59" s="264">
        <f>SUM(D49:D57)</f>
        <v>0</v>
      </c>
      <c r="E59" s="264">
        <f>SUM(E49:E57)</f>
        <v>0</v>
      </c>
    </row>
    <row r="60" spans="2:5" ht="15.75">
      <c r="B60" s="147" t="s">
        <v>222</v>
      </c>
      <c r="C60" s="82">
        <f>C47-C59</f>
        <v>0</v>
      </c>
      <c r="D60" s="82">
        <f>D47-D59</f>
        <v>0</v>
      </c>
      <c r="E60" s="82">
        <f>E47-E59</f>
        <v>0</v>
      </c>
    </row>
    <row r="61" spans="2:5" ht="15.75">
      <c r="B61" s="133" t="str">
        <f>CONCATENATE("",E1-2,"/",E1-1," Budget Authority Amount:")</f>
        <v>2011/2012 Budget Authority Amount:</v>
      </c>
      <c r="C61" s="238">
        <f>inputOth!B74</f>
        <v>913</v>
      </c>
      <c r="D61" s="238">
        <f>inputPrYr!D55</f>
        <v>0</v>
      </c>
      <c r="E61" s="344">
        <f>IF(E60&lt;0,"See Tab E","")</f>
      </c>
    </row>
    <row r="62" spans="2:5" ht="15.75">
      <c r="B62" s="133"/>
      <c r="C62" s="274">
        <f>IF(C59&gt;C61,"See Tab A","")</f>
      </c>
      <c r="D62" s="274">
        <f>IF(D59&gt;D61,"See Tab C","")</f>
      </c>
      <c r="E62" s="47"/>
    </row>
    <row r="63" spans="2:5" ht="15.75">
      <c r="B63" s="133"/>
      <c r="C63" s="274">
        <f>IF(C60&lt;0,"See Tab B","")</f>
      </c>
      <c r="D63" s="274">
        <f>IF(D60&lt;0,"See Tab D","")</f>
      </c>
      <c r="E63" s="47"/>
    </row>
    <row r="64" spans="2:5" ht="15.75">
      <c r="B64" s="47"/>
      <c r="C64" s="47"/>
      <c r="D64" s="47"/>
      <c r="E64" s="47"/>
    </row>
    <row r="65" spans="2:5" ht="15.75">
      <c r="B65" s="367" t="s">
        <v>119</v>
      </c>
      <c r="C65" s="278">
        <v>18</v>
      </c>
      <c r="D65" s="47"/>
      <c r="E65" s="47"/>
    </row>
  </sheetData>
  <sheetProtection/>
  <conditionalFormatting sqref="C13">
    <cfRule type="cellIs" priority="18" dxfId="274" operator="greaterThan" stopIfTrue="1">
      <formula>$C$15*0.1</formula>
    </cfRule>
  </conditionalFormatting>
  <conditionalFormatting sqref="D13">
    <cfRule type="cellIs" priority="17" dxfId="274" operator="greaterThan" stopIfTrue="1">
      <formula>$D$15*0.1</formula>
    </cfRule>
  </conditionalFormatting>
  <conditionalFormatting sqref="E13">
    <cfRule type="cellIs" priority="16" dxfId="274" operator="greaterThan" stopIfTrue="1">
      <formula>$E$15*0.1</formula>
    </cfRule>
  </conditionalFormatting>
  <conditionalFormatting sqref="C26">
    <cfRule type="cellIs" priority="15" dxfId="274" operator="greaterThan" stopIfTrue="1">
      <formula>$C$28*0.1</formula>
    </cfRule>
  </conditionalFormatting>
  <conditionalFormatting sqref="D26">
    <cfRule type="cellIs" priority="14" dxfId="274" operator="greaterThan" stopIfTrue="1">
      <formula>$D$28*0.1</formula>
    </cfRule>
  </conditionalFormatting>
  <conditionalFormatting sqref="E26">
    <cfRule type="cellIs" priority="13" dxfId="274" operator="greaterThan" stopIfTrue="1">
      <formula>$E$28*0.1</formula>
    </cfRule>
  </conditionalFormatting>
  <conditionalFormatting sqref="C44">
    <cfRule type="cellIs" priority="12" dxfId="274" operator="greaterThan" stopIfTrue="1">
      <formula>$C$46*0.1</formula>
    </cfRule>
  </conditionalFormatting>
  <conditionalFormatting sqref="D44">
    <cfRule type="cellIs" priority="11" dxfId="274" operator="greaterThan" stopIfTrue="1">
      <formula>$D$46*0.1</formula>
    </cfRule>
  </conditionalFormatting>
  <conditionalFormatting sqref="E44">
    <cfRule type="cellIs" priority="10" dxfId="274" operator="greaterThan" stopIfTrue="1">
      <formula>$E$46*0.1</formula>
    </cfRule>
  </conditionalFormatting>
  <conditionalFormatting sqref="C57">
    <cfRule type="cellIs" priority="9" dxfId="274" operator="greaterThan" stopIfTrue="1">
      <formula>$C$59*0.1</formula>
    </cfRule>
  </conditionalFormatting>
  <conditionalFormatting sqref="D57">
    <cfRule type="cellIs" priority="8" dxfId="274" operator="greaterThan" stopIfTrue="1">
      <formula>$D$59*0.1</formula>
    </cfRule>
  </conditionalFormatting>
  <conditionalFormatting sqref="E57">
    <cfRule type="cellIs" priority="7" dxfId="274"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4">
      <selection activeCell="C66" sqref="C66"/>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inputPrYr!B50</f>
        <v>2009 Temp Note Improvement</v>
      </c>
      <c r="C5" s="222" t="str">
        <f>CONCATENATE("Actual for ",E1-2,"")</f>
        <v>Actual for 2011</v>
      </c>
      <c r="D5" s="222" t="str">
        <f>CONCATENATE("Estimate for ",E1-1,"")</f>
        <v>Estimate for 2012</v>
      </c>
      <c r="E5" s="205" t="str">
        <f>CONCATENATE("Year for ",E1,"")</f>
        <v>Year for 2013</v>
      </c>
    </row>
    <row r="6" spans="2:5" ht="15.75">
      <c r="B6" s="249" t="s">
        <v>221</v>
      </c>
      <c r="C6" s="67">
        <v>0</v>
      </c>
      <c r="D6" s="225">
        <f>C29</f>
        <v>0</v>
      </c>
      <c r="E6" s="225">
        <f>D29</f>
        <v>0</v>
      </c>
    </row>
    <row r="7" spans="2:5" s="45" customFormat="1" ht="15.75">
      <c r="B7" s="253" t="s">
        <v>223</v>
      </c>
      <c r="C7" s="86"/>
      <c r="D7" s="86"/>
      <c r="E7" s="86"/>
    </row>
    <row r="8" spans="2:5" ht="15.75">
      <c r="B8" s="270" t="s">
        <v>1062</v>
      </c>
      <c r="C8" s="67">
        <v>0</v>
      </c>
      <c r="D8" s="67">
        <v>0</v>
      </c>
      <c r="E8" s="67">
        <v>0</v>
      </c>
    </row>
    <row r="9" spans="2:5" ht="15.75">
      <c r="B9" s="270" t="s">
        <v>1063</v>
      </c>
      <c r="C9" s="67">
        <v>0</v>
      </c>
      <c r="D9" s="67">
        <v>0</v>
      </c>
      <c r="E9" s="67">
        <v>0</v>
      </c>
    </row>
    <row r="10" spans="2:5" ht="15.75">
      <c r="B10" s="270" t="s">
        <v>1047</v>
      </c>
      <c r="C10" s="67">
        <v>0</v>
      </c>
      <c r="D10" s="67">
        <v>0</v>
      </c>
      <c r="E10" s="67">
        <v>0</v>
      </c>
    </row>
    <row r="11" spans="2:5" ht="15.75">
      <c r="B11" s="270"/>
      <c r="C11" s="67"/>
      <c r="D11" s="67"/>
      <c r="E11" s="67"/>
    </row>
    <row r="12" spans="2:5" ht="15.75">
      <c r="B12" s="258" t="s">
        <v>108</v>
      </c>
      <c r="C12" s="67">
        <v>0</v>
      </c>
      <c r="D12" s="67">
        <v>0</v>
      </c>
      <c r="E12" s="67">
        <v>0</v>
      </c>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0</v>
      </c>
      <c r="D15" s="264">
        <f>SUM(D8:D13)</f>
        <v>0</v>
      </c>
      <c r="E15" s="264">
        <f>SUM(E8:E13)</f>
        <v>0</v>
      </c>
    </row>
    <row r="16" spans="2:5" ht="15.75">
      <c r="B16" s="261" t="s">
        <v>110</v>
      </c>
      <c r="C16" s="264">
        <f>C6+C15</f>
        <v>0</v>
      </c>
      <c r="D16" s="264">
        <f>D6+D15</f>
        <v>0</v>
      </c>
      <c r="E16" s="264">
        <f>E6+E15</f>
        <v>0</v>
      </c>
    </row>
    <row r="17" spans="2:5" ht="15.75">
      <c r="B17" s="147" t="s">
        <v>112</v>
      </c>
      <c r="C17" s="225"/>
      <c r="D17" s="225"/>
      <c r="E17" s="225"/>
    </row>
    <row r="18" spans="2:5" ht="15.75">
      <c r="B18" s="270" t="s">
        <v>1045</v>
      </c>
      <c r="C18" s="67">
        <v>0</v>
      </c>
      <c r="D18" s="67">
        <v>0</v>
      </c>
      <c r="E18" s="67">
        <v>0</v>
      </c>
    </row>
    <row r="19" spans="2:5" ht="15.75">
      <c r="B19" s="270" t="s">
        <v>1048</v>
      </c>
      <c r="C19" s="67">
        <v>0</v>
      </c>
      <c r="D19" s="67">
        <v>0</v>
      </c>
      <c r="E19" s="67">
        <v>0</v>
      </c>
    </row>
    <row r="20" spans="2:5" ht="15.75">
      <c r="B20" s="270" t="s">
        <v>1064</v>
      </c>
      <c r="C20" s="67">
        <v>0</v>
      </c>
      <c r="D20" s="67">
        <v>0</v>
      </c>
      <c r="E20" s="67">
        <v>0</v>
      </c>
    </row>
    <row r="21" spans="2:5" ht="15.75">
      <c r="B21" s="270" t="s">
        <v>1050</v>
      </c>
      <c r="C21" s="67">
        <v>0</v>
      </c>
      <c r="D21" s="67">
        <v>0</v>
      </c>
      <c r="E21" s="67">
        <v>0</v>
      </c>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703</v>
      </c>
      <c r="C27" s="293">
        <f>IF(C28*0.1&lt;C26,"Exceed 10% Rule","")</f>
      </c>
      <c r="D27" s="260">
        <f>IF(D28*0.1&lt;D26,"Exceed 10% Rule","")</f>
      </c>
      <c r="E27" s="260">
        <f>IF(E28*0.1&lt;E26,"Exceed 10% Rule","")</f>
      </c>
    </row>
    <row r="28" spans="2:5" ht="15.75">
      <c r="B28" s="261" t="s">
        <v>116</v>
      </c>
      <c r="C28" s="264">
        <f>SUM(C18:C26)</f>
        <v>0</v>
      </c>
      <c r="D28" s="264">
        <f>SUM(D18:D26)</f>
        <v>0</v>
      </c>
      <c r="E28" s="264">
        <f>SUM(E18:E26)</f>
        <v>0</v>
      </c>
    </row>
    <row r="29" spans="2:5" ht="15.75">
      <c r="B29" s="147" t="s">
        <v>222</v>
      </c>
      <c r="C29" s="82">
        <f>C16-C28</f>
        <v>0</v>
      </c>
      <c r="D29" s="82">
        <f>D16-D28</f>
        <v>0</v>
      </c>
      <c r="E29" s="82">
        <f>E16-E28</f>
        <v>0</v>
      </c>
    </row>
    <row r="30" spans="2:5" ht="15.75">
      <c r="B30" s="133" t="str">
        <f>CONCATENATE("",E1-2,"/",E1-1," Budget Authority Amount:")</f>
        <v>2011/2012 Budget Authority Amount:</v>
      </c>
      <c r="C30" s="238">
        <f>inputOth!B75</f>
        <v>641232</v>
      </c>
      <c r="D30" s="238">
        <f>inputPrYr!D54</f>
        <v>0</v>
      </c>
      <c r="E30" s="344">
        <f>IF(E29&lt;0,"See Tab E","")</f>
      </c>
    </row>
    <row r="31" spans="2:5" ht="15.75">
      <c r="B31" s="133"/>
      <c r="C31" s="345">
        <f>IF(C28&gt;C30,"See Tab A","")</f>
      </c>
      <c r="D31" s="274">
        <f>IF(D28&gt;D30,"See Tab C","")</f>
      </c>
      <c r="E31" s="96"/>
    </row>
    <row r="32" spans="2:5" ht="15.75">
      <c r="B32" s="133"/>
      <c r="C32" s="345">
        <f>IF(C29&lt;0,"See Tab B","")</f>
      </c>
      <c r="D32" s="274">
        <f>IF(D29&lt;0,"See Tab D","")</f>
      </c>
      <c r="E32" s="96"/>
    </row>
    <row r="33" spans="2:5" ht="15.75">
      <c r="B33" s="47"/>
      <c r="C33" s="346"/>
      <c r="D33" s="96"/>
      <c r="E33" s="96"/>
    </row>
    <row r="34" spans="2:5" ht="15.75">
      <c r="B34" s="52" t="s">
        <v>102</v>
      </c>
      <c r="C34" s="347"/>
      <c r="D34" s="288"/>
      <c r="E34" s="288"/>
    </row>
    <row r="35" spans="2:5" ht="15.75">
      <c r="B35" s="47"/>
      <c r="C35" s="639" t="s">
        <v>862</v>
      </c>
      <c r="D35" s="640" t="s">
        <v>863</v>
      </c>
      <c r="E35" s="141" t="s">
        <v>864</v>
      </c>
    </row>
    <row r="36" spans="2:5" ht="15.75">
      <c r="B36" s="464" t="str">
        <f>inputPrYr!B51</f>
        <v>2011 S.O. Project TIF</v>
      </c>
      <c r="C36" s="222" t="str">
        <f>CONCATENATE("Actual for ",$E$1-2,"")</f>
        <v>Actual for 2011</v>
      </c>
      <c r="D36" s="222" t="str">
        <f>CONCATENATE("Estimate for ",$E$1-1,"")</f>
        <v>Estimate for 2012</v>
      </c>
      <c r="E36" s="205" t="str">
        <f>CONCATENATE("Year for ",$E$1,"")</f>
        <v>Year for 2013</v>
      </c>
    </row>
    <row r="37" spans="2:5" ht="15.75">
      <c r="B37" s="249" t="s">
        <v>221</v>
      </c>
      <c r="C37" s="67">
        <v>0</v>
      </c>
      <c r="D37" s="225">
        <f>C61</f>
        <v>969402</v>
      </c>
      <c r="E37" s="225">
        <f>D61</f>
        <v>270388</v>
      </c>
    </row>
    <row r="38" spans="2:5" s="45" customFormat="1" ht="15.75">
      <c r="B38" s="253" t="s">
        <v>223</v>
      </c>
      <c r="C38" s="86"/>
      <c r="D38" s="86"/>
      <c r="E38" s="86"/>
    </row>
    <row r="39" spans="2:5" ht="15.75">
      <c r="B39" s="270" t="s">
        <v>1047</v>
      </c>
      <c r="C39" s="67">
        <v>1187000</v>
      </c>
      <c r="D39" s="67">
        <v>0</v>
      </c>
      <c r="E39" s="67">
        <v>0</v>
      </c>
    </row>
    <row r="40" spans="2:5" ht="15.75">
      <c r="B40" s="270"/>
      <c r="C40" s="67"/>
      <c r="D40" s="67"/>
      <c r="E40" s="67"/>
    </row>
    <row r="41" spans="2:5" ht="15.75">
      <c r="B41" s="270"/>
      <c r="C41" s="67"/>
      <c r="D41" s="67"/>
      <c r="E41" s="67"/>
    </row>
    <row r="42" spans="2:5" ht="15.75">
      <c r="B42" s="270"/>
      <c r="C42" s="67"/>
      <c r="D42" s="67"/>
      <c r="E42" s="67"/>
    </row>
    <row r="43" spans="2:5" ht="15.75">
      <c r="B43" s="258" t="s">
        <v>108</v>
      </c>
      <c r="C43" s="67">
        <v>623</v>
      </c>
      <c r="D43" s="67">
        <v>2246</v>
      </c>
      <c r="E43" s="67">
        <v>500</v>
      </c>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1187623</v>
      </c>
      <c r="D46" s="264">
        <f>SUM(D39:D44)</f>
        <v>2246</v>
      </c>
      <c r="E46" s="264">
        <f>SUM(E39:E44)</f>
        <v>500</v>
      </c>
    </row>
    <row r="47" spans="2:5" ht="15.75">
      <c r="B47" s="261" t="s">
        <v>110</v>
      </c>
      <c r="C47" s="264">
        <f>C37+C46</f>
        <v>1187623</v>
      </c>
      <c r="D47" s="264">
        <f>D37+D46</f>
        <v>971648</v>
      </c>
      <c r="E47" s="264">
        <f>E37+E46</f>
        <v>270888</v>
      </c>
    </row>
    <row r="48" spans="2:5" ht="15.75">
      <c r="B48" s="147" t="s">
        <v>112</v>
      </c>
      <c r="C48" s="225"/>
      <c r="D48" s="225"/>
      <c r="E48" s="225"/>
    </row>
    <row r="49" spans="2:5" ht="15.75">
      <c r="B49" s="270" t="s">
        <v>1068</v>
      </c>
      <c r="C49" s="67">
        <v>3138</v>
      </c>
      <c r="D49" s="67">
        <v>87</v>
      </c>
      <c r="E49" s="67">
        <v>0</v>
      </c>
    </row>
    <row r="50" spans="2:5" ht="15.75">
      <c r="B50" s="270" t="s">
        <v>115</v>
      </c>
      <c r="C50" s="67">
        <v>215083</v>
      </c>
      <c r="D50" s="67">
        <v>650000</v>
      </c>
      <c r="E50" s="67">
        <v>215062</v>
      </c>
    </row>
    <row r="51" spans="2:5" ht="15.75">
      <c r="B51" s="270" t="s">
        <v>1057</v>
      </c>
      <c r="C51" s="67"/>
      <c r="D51" s="67">
        <v>51173</v>
      </c>
      <c r="E51" s="67">
        <v>55825</v>
      </c>
    </row>
    <row r="52" spans="2:5" ht="15.75">
      <c r="B52" s="270" t="s">
        <v>1066</v>
      </c>
      <c r="C52" s="67"/>
      <c r="D52" s="67">
        <v>0</v>
      </c>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0"/>
      <c r="C57" s="67"/>
      <c r="D57" s="67"/>
      <c r="E57" s="67"/>
    </row>
    <row r="58" spans="2:5" ht="15.75">
      <c r="B58" s="271" t="s">
        <v>14</v>
      </c>
      <c r="C58" s="67"/>
      <c r="D58" s="255"/>
      <c r="E58" s="255"/>
    </row>
    <row r="59" spans="2:5" ht="15.75">
      <c r="B59" s="271" t="s">
        <v>701</v>
      </c>
      <c r="C59" s="293">
        <f>IF(C60*0.1&lt;C58,"Exceed 10% Rule","")</f>
      </c>
      <c r="D59" s="260">
        <f>IF(D60*0.1&lt;D58,"Exceed 10% Rule","")</f>
      </c>
      <c r="E59" s="260">
        <f>IF(E60*0.1&lt;E58,"Exceed 10% Rule","")</f>
      </c>
    </row>
    <row r="60" spans="2:5" ht="15.75">
      <c r="B60" s="261" t="s">
        <v>116</v>
      </c>
      <c r="C60" s="264">
        <f>SUM(C49:C58)</f>
        <v>218221</v>
      </c>
      <c r="D60" s="264">
        <f>SUM(D49:D58)</f>
        <v>701260</v>
      </c>
      <c r="E60" s="264">
        <f>SUM(E49:E58)</f>
        <v>270887</v>
      </c>
    </row>
    <row r="61" spans="2:5" ht="15.75">
      <c r="B61" s="147" t="s">
        <v>222</v>
      </c>
      <c r="C61" s="82">
        <f>C47-C60</f>
        <v>969402</v>
      </c>
      <c r="D61" s="82">
        <f>D47-D60</f>
        <v>270388</v>
      </c>
      <c r="E61" s="82">
        <f>E47-E60</f>
        <v>1</v>
      </c>
    </row>
    <row r="62" spans="2:5" ht="15.75">
      <c r="B62" s="133" t="str">
        <f>CONCATENATE("",E1-2,"/",E1-1," Budget Authority Amount:")</f>
        <v>2011/2012 Budget Authority Amount:</v>
      </c>
      <c r="C62" s="238">
        <f>inputOth!B76</f>
        <v>0</v>
      </c>
      <c r="D62" s="238">
        <f>inputPrYr!D55</f>
        <v>0</v>
      </c>
      <c r="E62" s="344">
        <f>IF(E61&lt;0,"See Tab E","")</f>
      </c>
    </row>
    <row r="63" spans="2:5" ht="15.75">
      <c r="B63" s="133"/>
      <c r="C63" s="274" t="str">
        <f>IF(C60&gt;C62,"See Tab A","")</f>
        <v>See Tab A</v>
      </c>
      <c r="D63" s="274" t="str">
        <f>IF(D60&gt;D62,"See Tab C","")</f>
        <v>See Tab C</v>
      </c>
      <c r="E63" s="47"/>
    </row>
    <row r="64" spans="2:5" ht="15.75">
      <c r="B64" s="133"/>
      <c r="C64" s="274">
        <f>IF(C61&lt;0,"See Tab B","")</f>
      </c>
      <c r="D64" s="274">
        <f>IF(D61&lt;0,"See Tab D","")</f>
      </c>
      <c r="E64" s="47"/>
    </row>
    <row r="65" spans="2:5" ht="15.75">
      <c r="B65" s="47"/>
      <c r="C65" s="47"/>
      <c r="D65" s="47"/>
      <c r="E65" s="47"/>
    </row>
    <row r="66" spans="2:5" ht="15.75">
      <c r="B66" s="367" t="s">
        <v>119</v>
      </c>
      <c r="C66" s="278">
        <v>19</v>
      </c>
      <c r="D66" s="47"/>
      <c r="E66" s="47"/>
    </row>
  </sheetData>
  <sheetProtection/>
  <conditionalFormatting sqref="C13">
    <cfRule type="cellIs" priority="18" dxfId="274" operator="greaterThan" stopIfTrue="1">
      <formula>$C$15*0.1</formula>
    </cfRule>
  </conditionalFormatting>
  <conditionalFormatting sqref="D13">
    <cfRule type="cellIs" priority="17" dxfId="274" operator="greaterThan" stopIfTrue="1">
      <formula>$D$15*0.1</formula>
    </cfRule>
  </conditionalFormatting>
  <conditionalFormatting sqref="E13">
    <cfRule type="cellIs" priority="16" dxfId="274" operator="greaterThan" stopIfTrue="1">
      <formula>$E$15*0.1</formula>
    </cfRule>
  </conditionalFormatting>
  <conditionalFormatting sqref="C26">
    <cfRule type="cellIs" priority="15" dxfId="274" operator="greaterThan" stopIfTrue="1">
      <formula>$C$28*0.1</formula>
    </cfRule>
  </conditionalFormatting>
  <conditionalFormatting sqref="D26">
    <cfRule type="cellIs" priority="14" dxfId="274" operator="greaterThan" stopIfTrue="1">
      <formula>$D$28*0.1</formula>
    </cfRule>
  </conditionalFormatting>
  <conditionalFormatting sqref="E26">
    <cfRule type="cellIs" priority="13" dxfId="274" operator="greaterThan" stopIfTrue="1">
      <formula>$E$28*0.1</formula>
    </cfRule>
  </conditionalFormatting>
  <conditionalFormatting sqref="C44">
    <cfRule type="cellIs" priority="12" dxfId="274" operator="greaterThan" stopIfTrue="1">
      <formula>$C$46*0.1</formula>
    </cfRule>
  </conditionalFormatting>
  <conditionalFormatting sqref="D44">
    <cfRule type="cellIs" priority="11" dxfId="274" operator="greaterThan" stopIfTrue="1">
      <formula>$D$46*0.1</formula>
    </cfRule>
  </conditionalFormatting>
  <conditionalFormatting sqref="E44">
    <cfRule type="cellIs" priority="10" dxfId="274" operator="greaterThan" stopIfTrue="1">
      <formula>$E$46*0.1</formula>
    </cfRule>
  </conditionalFormatting>
  <conditionalFormatting sqref="C58">
    <cfRule type="cellIs" priority="9" dxfId="274" operator="greaterThan" stopIfTrue="1">
      <formula>$C$60*0.1</formula>
    </cfRule>
  </conditionalFormatting>
  <conditionalFormatting sqref="D58">
    <cfRule type="cellIs" priority="8" dxfId="274" operator="greaterThan" stopIfTrue="1">
      <formula>$D$60*0.1</formula>
    </cfRule>
  </conditionalFormatting>
  <conditionalFormatting sqref="E58">
    <cfRule type="cellIs" priority="7" dxfId="274" operator="greaterThan" stopIfTrue="1">
      <formula>$E$60*0.1</formula>
    </cfRule>
  </conditionalFormatting>
  <conditionalFormatting sqref="C60:D60">
    <cfRule type="cellIs" priority="6" dxfId="3" operator="greaterThan" stopIfTrue="1">
      <formula>$D$62</formula>
    </cfRule>
  </conditionalFormatting>
  <conditionalFormatting sqref="C61 E61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37">
      <selection activeCell="C64" sqref="C64"/>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inputPrYr!B52</f>
        <v>2011 S. O. Revenue TIF</v>
      </c>
      <c r="C5" s="222" t="str">
        <f>CONCATENATE("Actual for ",E1-2,"")</f>
        <v>Actual for 2011</v>
      </c>
      <c r="D5" s="222" t="str">
        <f>CONCATENATE("Estimate for ",E1-1,"")</f>
        <v>Estimate for 2012</v>
      </c>
      <c r="E5" s="205" t="str">
        <f>CONCATENATE("Year for ",E1,"")</f>
        <v>Year for 2013</v>
      </c>
    </row>
    <row r="6" spans="2:5" ht="15.75">
      <c r="B6" s="249" t="s">
        <v>221</v>
      </c>
      <c r="C6" s="67">
        <v>0</v>
      </c>
      <c r="D6" s="225">
        <f>C29</f>
        <v>0</v>
      </c>
      <c r="E6" s="225">
        <f>D29</f>
        <v>0</v>
      </c>
    </row>
    <row r="7" spans="2:5" s="45" customFormat="1" ht="15.75">
      <c r="B7" s="253" t="s">
        <v>223</v>
      </c>
      <c r="C7" s="86"/>
      <c r="D7" s="86"/>
      <c r="E7" s="86"/>
    </row>
    <row r="8" spans="2:5" ht="15.75">
      <c r="B8" s="270" t="s">
        <v>998</v>
      </c>
      <c r="C8" s="67"/>
      <c r="D8" s="67"/>
      <c r="E8" s="67"/>
    </row>
    <row r="9" spans="2:5" ht="15.75">
      <c r="B9" s="270" t="s">
        <v>1063</v>
      </c>
      <c r="C9" s="67"/>
      <c r="D9" s="67"/>
      <c r="E9" s="67"/>
    </row>
    <row r="10" spans="2:5" ht="15.75">
      <c r="B10" s="270" t="s">
        <v>1047</v>
      </c>
      <c r="C10" s="67"/>
      <c r="D10" s="67"/>
      <c r="E10" s="67">
        <v>25403</v>
      </c>
    </row>
    <row r="11" spans="2:5" ht="15.75">
      <c r="B11" s="270"/>
      <c r="C11" s="67"/>
      <c r="D11" s="67"/>
      <c r="E11" s="67"/>
    </row>
    <row r="12" spans="2:5" ht="15.75">
      <c r="B12" s="258" t="s">
        <v>108</v>
      </c>
      <c r="C12" s="67"/>
      <c r="D12" s="67"/>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0</v>
      </c>
      <c r="D15" s="264">
        <f>SUM(D8:D13)</f>
        <v>0</v>
      </c>
      <c r="E15" s="264">
        <f>SUM(E8:E13)</f>
        <v>25403</v>
      </c>
    </row>
    <row r="16" spans="2:5" ht="15.75">
      <c r="B16" s="261" t="s">
        <v>110</v>
      </c>
      <c r="C16" s="264">
        <f>C6+C15</f>
        <v>0</v>
      </c>
      <c r="D16" s="264">
        <f>D6+D15</f>
        <v>0</v>
      </c>
      <c r="E16" s="264">
        <f>E6+E15</f>
        <v>25403</v>
      </c>
    </row>
    <row r="17" spans="2:5" ht="15.75">
      <c r="B17" s="147" t="s">
        <v>112</v>
      </c>
      <c r="C17" s="225"/>
      <c r="D17" s="225"/>
      <c r="E17" s="225"/>
    </row>
    <row r="18" spans="2:5" ht="15.75">
      <c r="B18" s="270" t="s">
        <v>1045</v>
      </c>
      <c r="C18" s="67">
        <v>0</v>
      </c>
      <c r="D18" s="67"/>
      <c r="E18" s="67">
        <v>25403</v>
      </c>
    </row>
    <row r="19" spans="2:5" ht="15.75">
      <c r="B19" s="270" t="s">
        <v>1048</v>
      </c>
      <c r="C19" s="67">
        <v>0</v>
      </c>
      <c r="D19" s="67"/>
      <c r="E19" s="67"/>
    </row>
    <row r="20" spans="2:5" ht="15.75">
      <c r="B20" s="270" t="s">
        <v>1064</v>
      </c>
      <c r="C20" s="67">
        <v>0</v>
      </c>
      <c r="D20" s="67"/>
      <c r="E20" s="67"/>
    </row>
    <row r="21" spans="2:5" ht="15.75">
      <c r="B21" s="270" t="s">
        <v>1050</v>
      </c>
      <c r="C21" s="67">
        <v>0</v>
      </c>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703</v>
      </c>
      <c r="C27" s="293">
        <f>IF(C28*0.1&lt;C26,"Exceed 10% Rule","")</f>
      </c>
      <c r="D27" s="260">
        <f>IF(D28*0.1&lt;D26,"Exceed 10% Rule","")</f>
      </c>
      <c r="E27" s="260">
        <f>IF(E28*0.1&lt;E26,"Exceed 10% Rule","")</f>
      </c>
    </row>
    <row r="28" spans="2:5" ht="15.75">
      <c r="B28" s="261" t="s">
        <v>116</v>
      </c>
      <c r="C28" s="264">
        <f>SUM(C18:C26)</f>
        <v>0</v>
      </c>
      <c r="D28" s="264">
        <f>SUM(D18:D26)</f>
        <v>0</v>
      </c>
      <c r="E28" s="264">
        <f>SUM(E18:E26)</f>
        <v>25403</v>
      </c>
    </row>
    <row r="29" spans="2:5" ht="15.75">
      <c r="B29" s="147" t="s">
        <v>222</v>
      </c>
      <c r="C29" s="82">
        <f>C16-C28</f>
        <v>0</v>
      </c>
      <c r="D29" s="82">
        <f>D16-D28</f>
        <v>0</v>
      </c>
      <c r="E29" s="82">
        <f>E16-E28</f>
        <v>0</v>
      </c>
    </row>
    <row r="30" spans="2:5" ht="15.75">
      <c r="B30" s="133" t="str">
        <f>CONCATENATE("",E1-2,"/",E1-1," Budget Authority Amount:")</f>
        <v>2011/2012 Budget Authority Amount:</v>
      </c>
      <c r="C30" s="238">
        <f>inputOth!B78</f>
        <v>0</v>
      </c>
      <c r="D30" s="238">
        <f>inputPrYr!D54</f>
        <v>0</v>
      </c>
      <c r="E30" s="344">
        <f>IF(E29&lt;0,"See Tab E","")</f>
      </c>
    </row>
    <row r="31" spans="2:5" ht="15.75">
      <c r="B31" s="133"/>
      <c r="C31" s="345">
        <f>IF(C28&gt;C30,"See Tab A","")</f>
      </c>
      <c r="D31" s="274">
        <f>IF(D28&gt;D30,"See Tab C","")</f>
      </c>
      <c r="E31" s="96"/>
    </row>
    <row r="32" spans="2:5" ht="15.75">
      <c r="B32" s="133"/>
      <c r="C32" s="345">
        <f>IF(C29&lt;0,"See Tab B","")</f>
      </c>
      <c r="D32" s="274">
        <f>IF(D29&lt;0,"See Tab D","")</f>
      </c>
      <c r="E32" s="96"/>
    </row>
    <row r="33" spans="2:5" ht="15.75">
      <c r="B33" s="47"/>
      <c r="C33" s="346"/>
      <c r="D33" s="96"/>
      <c r="E33" s="96"/>
    </row>
    <row r="34" spans="2:5" ht="15.75">
      <c r="B34" s="52" t="s">
        <v>102</v>
      </c>
      <c r="C34" s="347"/>
      <c r="D34" s="288"/>
      <c r="E34" s="288"/>
    </row>
    <row r="35" spans="2:5" ht="15.75">
      <c r="B35" s="47"/>
      <c r="C35" s="639" t="s">
        <v>862</v>
      </c>
      <c r="D35" s="640" t="s">
        <v>863</v>
      </c>
      <c r="E35" s="141" t="s">
        <v>864</v>
      </c>
    </row>
    <row r="36" spans="2:5" ht="15.75">
      <c r="B36" s="464" t="str">
        <f>inputPrYr!B53</f>
        <v>2011 S.O. Debt Service TIF</v>
      </c>
      <c r="C36" s="222" t="str">
        <f>CONCATENATE("Actual for ",$E$1-2,"")</f>
        <v>Actual for 2011</v>
      </c>
      <c r="D36" s="222" t="str">
        <f>CONCATENATE("Estimate for ",$E$1-1,"")</f>
        <v>Estimate for 2012</v>
      </c>
      <c r="E36" s="205" t="str">
        <f>CONCATENATE("Year for ",$E$1,"")</f>
        <v>Year for 2013</v>
      </c>
    </row>
    <row r="37" spans="2:5" ht="15.75">
      <c r="B37" s="249" t="s">
        <v>221</v>
      </c>
      <c r="C37" s="67">
        <v>0</v>
      </c>
      <c r="D37" s="225">
        <f>C59</f>
        <v>472</v>
      </c>
      <c r="E37" s="225">
        <f>D59</f>
        <v>474</v>
      </c>
    </row>
    <row r="38" spans="2:5" s="45" customFormat="1" ht="15.75">
      <c r="B38" s="253" t="s">
        <v>223</v>
      </c>
      <c r="C38" s="86"/>
      <c r="D38" s="86"/>
      <c r="E38" s="86"/>
    </row>
    <row r="39" spans="2:5" ht="15.75">
      <c r="B39" s="270" t="s">
        <v>1047</v>
      </c>
      <c r="C39" s="67">
        <v>465</v>
      </c>
      <c r="D39" s="67"/>
      <c r="E39" s="67"/>
    </row>
    <row r="40" spans="2:5" ht="15.75">
      <c r="B40" s="270"/>
      <c r="C40" s="67"/>
      <c r="D40" s="67"/>
      <c r="E40" s="67"/>
    </row>
    <row r="41" spans="2:5" ht="15.75">
      <c r="B41" s="270"/>
      <c r="C41" s="67"/>
      <c r="D41" s="67"/>
      <c r="E41" s="67"/>
    </row>
    <row r="42" spans="2:5" ht="15.75">
      <c r="B42" s="270"/>
      <c r="C42" s="67"/>
      <c r="D42" s="67"/>
      <c r="E42" s="67"/>
    </row>
    <row r="43" spans="2:5" ht="15.75">
      <c r="B43" s="258" t="s">
        <v>108</v>
      </c>
      <c r="C43" s="67">
        <v>7</v>
      </c>
      <c r="D43" s="67">
        <v>2</v>
      </c>
      <c r="E43" s="67">
        <v>3</v>
      </c>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472</v>
      </c>
      <c r="D46" s="264">
        <f>SUM(D39:D44)</f>
        <v>2</v>
      </c>
      <c r="E46" s="264">
        <f>SUM(E39:E44)</f>
        <v>3</v>
      </c>
    </row>
    <row r="47" spans="2:5" ht="15.75">
      <c r="B47" s="261" t="s">
        <v>110</v>
      </c>
      <c r="C47" s="264">
        <f>C37+C46</f>
        <v>472</v>
      </c>
      <c r="D47" s="264">
        <f>D37+D46</f>
        <v>474</v>
      </c>
      <c r="E47" s="264">
        <f>E37+E46</f>
        <v>477</v>
      </c>
    </row>
    <row r="48" spans="2:5" ht="15.75">
      <c r="B48" s="147" t="s">
        <v>112</v>
      </c>
      <c r="C48" s="225"/>
      <c r="D48" s="225"/>
      <c r="E48" s="225"/>
    </row>
    <row r="49" spans="2:5" ht="15.75">
      <c r="B49" s="270" t="s">
        <v>1139</v>
      </c>
      <c r="C49" s="67">
        <v>0</v>
      </c>
      <c r="D49" s="67">
        <v>0</v>
      </c>
      <c r="E49" s="67">
        <v>477</v>
      </c>
    </row>
    <row r="50" spans="2:5" ht="15.75">
      <c r="B50" s="270" t="s">
        <v>1066</v>
      </c>
      <c r="C50" s="67"/>
      <c r="D50" s="67"/>
      <c r="E50" s="67"/>
    </row>
    <row r="51" spans="2:5" ht="15.75">
      <c r="B51" s="270"/>
      <c r="C51" s="67"/>
      <c r="D51" s="67"/>
      <c r="E51" s="67"/>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1" t="s">
        <v>14</v>
      </c>
      <c r="C56" s="67"/>
      <c r="D56" s="255"/>
      <c r="E56" s="255"/>
    </row>
    <row r="57" spans="2:5" ht="15.75">
      <c r="B57" s="271" t="s">
        <v>701</v>
      </c>
      <c r="C57" s="293">
        <f>IF(C58*0.1&lt;C56,"Exceed 10% Rule","")</f>
      </c>
      <c r="D57" s="260">
        <f>IF(D58*0.1&lt;D56,"Exceed 10% Rule","")</f>
      </c>
      <c r="E57" s="260">
        <f>IF(E58*0.1&lt;E56,"Exceed 10% Rule","")</f>
      </c>
    </row>
    <row r="58" spans="2:5" ht="15.75">
      <c r="B58" s="261" t="s">
        <v>116</v>
      </c>
      <c r="C58" s="264">
        <f>SUM(C49:C56)</f>
        <v>0</v>
      </c>
      <c r="D58" s="264">
        <f>SUM(D49:D56)</f>
        <v>0</v>
      </c>
      <c r="E58" s="264">
        <f>SUM(E49:E56)</f>
        <v>477</v>
      </c>
    </row>
    <row r="59" spans="2:5" ht="15.75">
      <c r="B59" s="147" t="s">
        <v>222</v>
      </c>
      <c r="C59" s="82">
        <f>C47-C58</f>
        <v>472</v>
      </c>
      <c r="D59" s="82">
        <f>D47-D58</f>
        <v>474</v>
      </c>
      <c r="E59" s="82">
        <f>E47-E58</f>
        <v>0</v>
      </c>
    </row>
    <row r="60" spans="2:5" ht="15.75">
      <c r="B60" s="133" t="str">
        <f>CONCATENATE("",E1-2,"/",E1-1," Budget Authority Amount:")</f>
        <v>2011/2012 Budget Authority Amount:</v>
      </c>
      <c r="C60" s="238">
        <f>inputOth!B77</f>
        <v>0</v>
      </c>
      <c r="D60" s="238">
        <f>inputPrYr!D55</f>
        <v>0</v>
      </c>
      <c r="E60" s="344">
        <f>IF(E59&lt;0,"See Tab E","")</f>
      </c>
    </row>
    <row r="61" spans="2:5" ht="15.75">
      <c r="B61" s="133"/>
      <c r="C61" s="274">
        <f>IF(C58&gt;C60,"See Tab A","")</f>
      </c>
      <c r="D61" s="274">
        <f>IF(D58&gt;D60,"See Tab C","")</f>
      </c>
      <c r="E61" s="47"/>
    </row>
    <row r="62" spans="2:5" ht="15.75">
      <c r="B62" s="133"/>
      <c r="C62" s="274">
        <f>IF(C59&lt;0,"See Tab B","")</f>
      </c>
      <c r="D62" s="274">
        <f>IF(D59&lt;0,"See Tab D","")</f>
      </c>
      <c r="E62" s="47"/>
    </row>
    <row r="63" spans="2:5" ht="15.75">
      <c r="B63" s="47"/>
      <c r="C63" s="47"/>
      <c r="D63" s="47"/>
      <c r="E63" s="47"/>
    </row>
    <row r="64" spans="2:5" ht="15.75">
      <c r="B64" s="367" t="s">
        <v>119</v>
      </c>
      <c r="C64" s="278">
        <v>21</v>
      </c>
      <c r="D64" s="47"/>
      <c r="E64" s="47"/>
    </row>
  </sheetData>
  <sheetProtection/>
  <conditionalFormatting sqref="C13">
    <cfRule type="cellIs" priority="18" dxfId="274" operator="greaterThan" stopIfTrue="1">
      <formula>$C$15*0.1</formula>
    </cfRule>
  </conditionalFormatting>
  <conditionalFormatting sqref="D13">
    <cfRule type="cellIs" priority="17" dxfId="274" operator="greaterThan" stopIfTrue="1">
      <formula>$D$15*0.1</formula>
    </cfRule>
  </conditionalFormatting>
  <conditionalFormatting sqref="E13">
    <cfRule type="cellIs" priority="16" dxfId="274" operator="greaterThan" stopIfTrue="1">
      <formula>$E$15*0.1</formula>
    </cfRule>
  </conditionalFormatting>
  <conditionalFormatting sqref="C26">
    <cfRule type="cellIs" priority="15" dxfId="274" operator="greaterThan" stopIfTrue="1">
      <formula>$C$28*0.1</formula>
    </cfRule>
  </conditionalFormatting>
  <conditionalFormatting sqref="D26">
    <cfRule type="cellIs" priority="14" dxfId="274" operator="greaterThan" stopIfTrue="1">
      <formula>$D$28*0.1</formula>
    </cfRule>
  </conditionalFormatting>
  <conditionalFormatting sqref="E26">
    <cfRule type="cellIs" priority="13" dxfId="274" operator="greaterThan" stopIfTrue="1">
      <formula>$E$28*0.1</formula>
    </cfRule>
  </conditionalFormatting>
  <conditionalFormatting sqref="C44">
    <cfRule type="cellIs" priority="12" dxfId="274" operator="greaterThan" stopIfTrue="1">
      <formula>$C$46*0.1</formula>
    </cfRule>
  </conditionalFormatting>
  <conditionalFormatting sqref="D44">
    <cfRule type="cellIs" priority="11" dxfId="274" operator="greaterThan" stopIfTrue="1">
      <formula>$D$46*0.1</formula>
    </cfRule>
  </conditionalFormatting>
  <conditionalFormatting sqref="E44">
    <cfRule type="cellIs" priority="10" dxfId="274" operator="greaterThan" stopIfTrue="1">
      <formula>$E$46*0.1</formula>
    </cfRule>
  </conditionalFormatting>
  <conditionalFormatting sqref="C56">
    <cfRule type="cellIs" priority="9" dxfId="274" operator="greaterThan" stopIfTrue="1">
      <formula>$C$58*0.1</formula>
    </cfRule>
  </conditionalFormatting>
  <conditionalFormatting sqref="D56">
    <cfRule type="cellIs" priority="8" dxfId="274" operator="greaterThan" stopIfTrue="1">
      <formula>$D$58*0.1</formula>
    </cfRule>
  </conditionalFormatting>
  <conditionalFormatting sqref="E56">
    <cfRule type="cellIs" priority="7" dxfId="274" operator="greaterThan" stopIfTrue="1">
      <formula>$E$58*0.1</formula>
    </cfRule>
  </conditionalFormatting>
  <conditionalFormatting sqref="C58:D58">
    <cfRule type="cellIs" priority="6" dxfId="3" operator="greaterThan" stopIfTrue="1">
      <formula>$D$60</formula>
    </cfRule>
  </conditionalFormatting>
  <conditionalFormatting sqref="C59 E59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59">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9"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dimension ref="B1:E77"/>
  <sheetViews>
    <sheetView view="pageBreakPreview" zoomScale="60" zoomScalePageLayoutView="0" workbookViewId="0" topLeftCell="A1">
      <selection activeCell="B25" sqref="B25"/>
    </sheetView>
  </sheetViews>
  <sheetFormatPr defaultColWidth="8.796875" defaultRowHeight="15"/>
  <cols>
    <col min="1" max="1" width="2.3984375" style="105" customWidth="1"/>
    <col min="2" max="2" width="31.09765625" style="105" customWidth="1"/>
    <col min="3" max="4" width="15.796875" style="105" customWidth="1"/>
    <col min="5" max="5" width="16.296875" style="105" customWidth="1"/>
    <col min="6" max="16384" width="8.8984375" style="105" customWidth="1"/>
  </cols>
  <sheetData>
    <row r="1" spans="2:5" ht="15.75">
      <c r="B1" s="194" t="str">
        <f>(inputPrYr!D2)</f>
        <v>CITY OF ELLSWORTH</v>
      </c>
      <c r="C1" s="47"/>
      <c r="D1" s="47"/>
      <c r="E1" s="216">
        <f>inputPrYr!$C$5</f>
        <v>2013</v>
      </c>
    </row>
    <row r="2" spans="2:5" ht="15.75">
      <c r="B2" s="47"/>
      <c r="C2" s="47"/>
      <c r="D2" s="47"/>
      <c r="E2" s="166"/>
    </row>
    <row r="3" spans="2:5" ht="15.75">
      <c r="B3" s="246" t="s">
        <v>168</v>
      </c>
      <c r="C3" s="290"/>
      <c r="D3" s="290"/>
      <c r="E3" s="291"/>
    </row>
    <row r="4" spans="2:5" ht="15.75">
      <c r="B4" s="52" t="s">
        <v>102</v>
      </c>
      <c r="C4" s="639" t="s">
        <v>862</v>
      </c>
      <c r="D4" s="640" t="s">
        <v>863</v>
      </c>
      <c r="E4" s="141" t="s">
        <v>864</v>
      </c>
    </row>
    <row r="5" spans="2:5" ht="15.75">
      <c r="B5" s="464" t="str">
        <f>(inputPrYr!B57)</f>
        <v>Water/Sewer</v>
      </c>
      <c r="C5" s="222" t="str">
        <f>CONCATENATE("Actual for ",E1-2,"")</f>
        <v>Actual for 2011</v>
      </c>
      <c r="D5" s="222" t="str">
        <f>CONCATENATE("Estimate for ",E1-1,"")</f>
        <v>Estimate for 2012</v>
      </c>
      <c r="E5" s="205" t="str">
        <f>CONCATENATE("Year for ",E1,"")</f>
        <v>Year for 2013</v>
      </c>
    </row>
    <row r="6" spans="2:5" ht="15.75">
      <c r="B6" s="147" t="s">
        <v>221</v>
      </c>
      <c r="C6" s="254">
        <v>152841</v>
      </c>
      <c r="D6" s="252">
        <f>C72</f>
        <v>188337</v>
      </c>
      <c r="E6" s="225">
        <f>D72</f>
        <v>171609</v>
      </c>
    </row>
    <row r="7" spans="2:5" ht="15.75">
      <c r="B7" s="281" t="s">
        <v>223</v>
      </c>
      <c r="C7" s="156"/>
      <c r="D7" s="156"/>
      <c r="E7" s="86"/>
    </row>
    <row r="8" spans="2:5" ht="15.75">
      <c r="B8" s="270" t="s">
        <v>1069</v>
      </c>
      <c r="C8" s="254">
        <v>97947</v>
      </c>
      <c r="D8" s="254">
        <v>96968</v>
      </c>
      <c r="E8" s="257">
        <v>93000</v>
      </c>
    </row>
    <row r="9" spans="2:5" ht="15.75">
      <c r="B9" s="270" t="s">
        <v>1070</v>
      </c>
      <c r="C9" s="254">
        <v>485791</v>
      </c>
      <c r="D9" s="254">
        <v>480933</v>
      </c>
      <c r="E9" s="257">
        <v>468000</v>
      </c>
    </row>
    <row r="10" spans="2:5" ht="15.75">
      <c r="B10" s="270" t="s">
        <v>1071</v>
      </c>
      <c r="C10" s="254">
        <v>31911</v>
      </c>
      <c r="D10" s="254">
        <v>31592</v>
      </c>
      <c r="E10" s="257">
        <v>29960</v>
      </c>
    </row>
    <row r="11" spans="2:5" ht="15.75">
      <c r="B11" s="270" t="s">
        <v>1072</v>
      </c>
      <c r="C11" s="254">
        <v>264588</v>
      </c>
      <c r="D11" s="254">
        <v>261942</v>
      </c>
      <c r="E11" s="257">
        <v>253000</v>
      </c>
    </row>
    <row r="12" spans="2:5" ht="15.75">
      <c r="B12" s="270" t="s">
        <v>1073</v>
      </c>
      <c r="C12" s="254">
        <v>205632</v>
      </c>
      <c r="D12" s="254">
        <v>203576</v>
      </c>
      <c r="E12" s="257">
        <v>196000</v>
      </c>
    </row>
    <row r="13" spans="2:5" ht="15.75">
      <c r="B13" s="270" t="s">
        <v>1074</v>
      </c>
      <c r="C13" s="254">
        <v>6166</v>
      </c>
      <c r="D13" s="254">
        <v>6104</v>
      </c>
      <c r="E13" s="257">
        <v>5250</v>
      </c>
    </row>
    <row r="14" spans="2:5" ht="15.75">
      <c r="B14" s="270" t="s">
        <v>1075</v>
      </c>
      <c r="C14" s="254">
        <v>9625</v>
      </c>
      <c r="D14" s="254">
        <v>9529</v>
      </c>
      <c r="E14" s="257">
        <v>8000</v>
      </c>
    </row>
    <row r="15" spans="2:5" ht="15.75">
      <c r="B15" s="270" t="s">
        <v>965</v>
      </c>
      <c r="C15" s="254">
        <v>759</v>
      </c>
      <c r="D15" s="254">
        <v>751</v>
      </c>
      <c r="E15" s="257">
        <v>700</v>
      </c>
    </row>
    <row r="16" spans="2:5" ht="15.75">
      <c r="B16" s="270" t="s">
        <v>1076</v>
      </c>
      <c r="C16" s="254">
        <v>7725</v>
      </c>
      <c r="D16" s="254">
        <v>7648</v>
      </c>
      <c r="E16" s="257">
        <v>7495</v>
      </c>
    </row>
    <row r="17" spans="2:5" ht="15.75">
      <c r="B17" s="270" t="s">
        <v>1077</v>
      </c>
      <c r="C17" s="254">
        <v>3509</v>
      </c>
      <c r="D17" s="254">
        <v>3473</v>
      </c>
      <c r="E17" s="257">
        <v>3404</v>
      </c>
    </row>
    <row r="18" spans="2:5" ht="15.75">
      <c r="B18" s="292" t="s">
        <v>108</v>
      </c>
      <c r="C18" s="254">
        <v>784</v>
      </c>
      <c r="D18" s="254">
        <v>776</v>
      </c>
      <c r="E18" s="257">
        <v>600</v>
      </c>
    </row>
    <row r="19" spans="2:5" ht="15.75">
      <c r="B19" s="156" t="s">
        <v>14</v>
      </c>
      <c r="C19" s="254">
        <v>6640</v>
      </c>
      <c r="D19" s="254">
        <v>6573</v>
      </c>
      <c r="E19" s="257">
        <v>6500</v>
      </c>
    </row>
    <row r="20" spans="2:5" ht="15.75">
      <c r="B20" s="249" t="s">
        <v>700</v>
      </c>
      <c r="C20" s="259">
        <f>IF(C21*0.1&lt;C19,"Exceed 10% Rule","")</f>
      </c>
      <c r="D20" s="259">
        <f>IF(D21*0.1&lt;D19,"Exceed 10% Rule","")</f>
      </c>
      <c r="E20" s="293">
        <f>IF(E21*0.1&lt;E19,"Exceed 10% Rule","")</f>
      </c>
    </row>
    <row r="21" spans="2:5" ht="15.75">
      <c r="B21" s="261" t="s">
        <v>109</v>
      </c>
      <c r="C21" s="263">
        <f>SUM(C8:C19)</f>
        <v>1121077</v>
      </c>
      <c r="D21" s="263">
        <f>SUM(D8:D19)</f>
        <v>1109865</v>
      </c>
      <c r="E21" s="264">
        <f>SUM(E8:E19)</f>
        <v>1071909</v>
      </c>
    </row>
    <row r="22" spans="2:5" ht="15.75">
      <c r="B22" s="261" t="s">
        <v>110</v>
      </c>
      <c r="C22" s="263">
        <f>C6+C21</f>
        <v>1273918</v>
      </c>
      <c r="D22" s="263">
        <f>D6+D21</f>
        <v>1298202</v>
      </c>
      <c r="E22" s="264">
        <f>E6+E21</f>
        <v>1243518</v>
      </c>
    </row>
    <row r="23" spans="2:5" ht="15.75">
      <c r="B23" s="147" t="s">
        <v>112</v>
      </c>
      <c r="C23" s="156"/>
      <c r="D23" s="156"/>
      <c r="E23" s="86"/>
    </row>
    <row r="24" spans="2:5" ht="15.75">
      <c r="B24" s="666" t="s">
        <v>1078</v>
      </c>
      <c r="C24" s="86"/>
      <c r="D24" s="86"/>
      <c r="E24" s="86"/>
    </row>
    <row r="25" spans="2:5" ht="15.75">
      <c r="B25" s="277" t="s">
        <v>120</v>
      </c>
      <c r="C25" s="257">
        <v>40763</v>
      </c>
      <c r="D25" s="257">
        <v>42220</v>
      </c>
      <c r="E25" s="257">
        <v>43820</v>
      </c>
    </row>
    <row r="26" spans="2:5" ht="15.75">
      <c r="B26" s="277" t="s">
        <v>113</v>
      </c>
      <c r="C26" s="257">
        <v>76434</v>
      </c>
      <c r="D26" s="257">
        <v>72414</v>
      </c>
      <c r="E26" s="257">
        <v>77101</v>
      </c>
    </row>
    <row r="27" spans="2:5" ht="15.75">
      <c r="B27" s="277" t="s">
        <v>114</v>
      </c>
      <c r="C27" s="257">
        <v>12279</v>
      </c>
      <c r="D27" s="257">
        <v>12150</v>
      </c>
      <c r="E27" s="257">
        <v>13300</v>
      </c>
    </row>
    <row r="28" spans="2:5" ht="15.75">
      <c r="B28" s="277" t="s">
        <v>252</v>
      </c>
      <c r="C28" s="257">
        <v>16</v>
      </c>
      <c r="D28" s="257">
        <v>600</v>
      </c>
      <c r="E28" s="257">
        <v>7340</v>
      </c>
    </row>
    <row r="29" spans="2:5" ht="15.75">
      <c r="B29" s="223" t="s">
        <v>75</v>
      </c>
      <c r="C29" s="262">
        <f>SUM(C25:C28)</f>
        <v>129492</v>
      </c>
      <c r="D29" s="262">
        <f>SUM(D25:D28)</f>
        <v>127384</v>
      </c>
      <c r="E29" s="262">
        <f>SUM(E25:E28)</f>
        <v>141561</v>
      </c>
    </row>
    <row r="30" spans="2:5" ht="15.75">
      <c r="B30" s="666" t="s">
        <v>1079</v>
      </c>
      <c r="C30" s="86"/>
      <c r="D30" s="86"/>
      <c r="E30" s="86"/>
    </row>
    <row r="31" spans="2:5" ht="15.75">
      <c r="B31" s="277" t="s">
        <v>120</v>
      </c>
      <c r="C31" s="257">
        <v>68356</v>
      </c>
      <c r="D31" s="257">
        <v>70700</v>
      </c>
      <c r="E31" s="257">
        <v>73458</v>
      </c>
    </row>
    <row r="32" spans="2:5" ht="15.75">
      <c r="B32" s="277" t="s">
        <v>113</v>
      </c>
      <c r="C32" s="257">
        <v>59395</v>
      </c>
      <c r="D32" s="257">
        <v>57739</v>
      </c>
      <c r="E32" s="257">
        <v>62225</v>
      </c>
    </row>
    <row r="33" spans="2:5" ht="15.75">
      <c r="B33" s="277" t="s">
        <v>114</v>
      </c>
      <c r="C33" s="257">
        <v>67704</v>
      </c>
      <c r="D33" s="257">
        <v>69800</v>
      </c>
      <c r="E33" s="257">
        <v>77500</v>
      </c>
    </row>
    <row r="34" spans="2:5" ht="15.75">
      <c r="B34" s="277" t="s">
        <v>252</v>
      </c>
      <c r="C34" s="257">
        <v>0</v>
      </c>
      <c r="D34" s="257"/>
      <c r="E34" s="257">
        <v>10659</v>
      </c>
    </row>
    <row r="35" spans="2:5" ht="15.75">
      <c r="B35" s="223" t="s">
        <v>75</v>
      </c>
      <c r="C35" s="262">
        <f>SUM(C31:C34)</f>
        <v>195455</v>
      </c>
      <c r="D35" s="262">
        <f>SUM(D31:D34)</f>
        <v>198239</v>
      </c>
      <c r="E35" s="262">
        <f>SUM(E31:E34)</f>
        <v>223842</v>
      </c>
    </row>
    <row r="36" spans="2:5" ht="15.75">
      <c r="B36" s="666" t="s">
        <v>1080</v>
      </c>
      <c r="C36" s="86"/>
      <c r="D36" s="86"/>
      <c r="E36" s="86"/>
    </row>
    <row r="37" spans="2:5" ht="15.75">
      <c r="B37" s="277" t="s">
        <v>120</v>
      </c>
      <c r="C37" s="257">
        <v>31094</v>
      </c>
      <c r="D37" s="257">
        <v>32291</v>
      </c>
      <c r="E37" s="257">
        <v>33491</v>
      </c>
    </row>
    <row r="38" spans="2:5" ht="15.75">
      <c r="B38" s="277" t="s">
        <v>113</v>
      </c>
      <c r="C38" s="257">
        <v>11904</v>
      </c>
      <c r="D38" s="257">
        <v>13500</v>
      </c>
      <c r="E38" s="257">
        <v>14600</v>
      </c>
    </row>
    <row r="39" spans="2:5" ht="15.75">
      <c r="B39" s="277" t="s">
        <v>114</v>
      </c>
      <c r="C39" s="257">
        <v>23245</v>
      </c>
      <c r="D39" s="257">
        <v>26000</v>
      </c>
      <c r="E39" s="257">
        <v>28500</v>
      </c>
    </row>
    <row r="40" spans="2:5" ht="15.75">
      <c r="B40" s="277" t="s">
        <v>115</v>
      </c>
      <c r="C40" s="257">
        <v>2123</v>
      </c>
      <c r="D40" s="257">
        <v>1000</v>
      </c>
      <c r="E40" s="257">
        <v>1000</v>
      </c>
    </row>
    <row r="41" spans="2:5" ht="15.75">
      <c r="B41" s="277" t="s">
        <v>252</v>
      </c>
      <c r="C41" s="257">
        <v>0</v>
      </c>
      <c r="D41" s="257">
        <v>0</v>
      </c>
      <c r="E41" s="257">
        <v>9120</v>
      </c>
    </row>
    <row r="42" spans="2:5" ht="15.75">
      <c r="B42" s="277" t="s">
        <v>981</v>
      </c>
      <c r="C42" s="257">
        <v>30000</v>
      </c>
      <c r="D42" s="257">
        <v>50000</v>
      </c>
      <c r="E42" s="257">
        <v>40000</v>
      </c>
    </row>
    <row r="43" spans="2:5" ht="15.75">
      <c r="B43" s="277" t="s">
        <v>996</v>
      </c>
      <c r="C43" s="257">
        <v>65000</v>
      </c>
      <c r="D43" s="257">
        <v>21000</v>
      </c>
      <c r="E43" s="257">
        <v>65000</v>
      </c>
    </row>
    <row r="44" spans="2:5" ht="15.75">
      <c r="B44" s="223" t="s">
        <v>75</v>
      </c>
      <c r="C44" s="262">
        <f>SUM(C37:C43)</f>
        <v>163366</v>
      </c>
      <c r="D44" s="262">
        <f>SUM(D37:D43)</f>
        <v>143791</v>
      </c>
      <c r="E44" s="262">
        <f>SUM(E37:E43)</f>
        <v>191711</v>
      </c>
    </row>
    <row r="45" spans="2:5" ht="15.75">
      <c r="B45" s="666" t="s">
        <v>1081</v>
      </c>
      <c r="C45" s="86"/>
      <c r="D45" s="86"/>
      <c r="E45" s="86"/>
    </row>
    <row r="46" spans="2:5" ht="15.75">
      <c r="B46" s="277" t="s">
        <v>120</v>
      </c>
      <c r="C46" s="257">
        <v>55714</v>
      </c>
      <c r="D46" s="257">
        <v>43220</v>
      </c>
      <c r="E46" s="257">
        <v>44220</v>
      </c>
    </row>
    <row r="47" spans="2:5" ht="15.75">
      <c r="B47" s="277" t="s">
        <v>113</v>
      </c>
      <c r="C47" s="257">
        <v>72750</v>
      </c>
      <c r="D47" s="257">
        <v>100508</v>
      </c>
      <c r="E47" s="257">
        <v>79950</v>
      </c>
    </row>
    <row r="48" spans="2:5" ht="15.75">
      <c r="B48" s="277" t="s">
        <v>114</v>
      </c>
      <c r="C48" s="257">
        <v>11243</v>
      </c>
      <c r="D48" s="257">
        <v>11700</v>
      </c>
      <c r="E48" s="257">
        <v>12800</v>
      </c>
    </row>
    <row r="49" spans="2:5" ht="15.75">
      <c r="B49" s="277" t="s">
        <v>252</v>
      </c>
      <c r="C49" s="257">
        <v>0</v>
      </c>
      <c r="D49" s="257">
        <v>0</v>
      </c>
      <c r="E49" s="257">
        <v>10370</v>
      </c>
    </row>
    <row r="50" spans="2:5" ht="15.75">
      <c r="B50" s="277" t="s">
        <v>981</v>
      </c>
      <c r="C50" s="257">
        <v>20000</v>
      </c>
      <c r="D50" s="257">
        <v>35000</v>
      </c>
      <c r="E50" s="257">
        <v>30000</v>
      </c>
    </row>
    <row r="51" spans="2:5" ht="15.75">
      <c r="B51" s="277" t="s">
        <v>996</v>
      </c>
      <c r="C51" s="257">
        <v>24000</v>
      </c>
      <c r="D51" s="257">
        <v>15000</v>
      </c>
      <c r="E51" s="257">
        <v>30000</v>
      </c>
    </row>
    <row r="52" spans="2:5" ht="15.75">
      <c r="B52" s="223" t="s">
        <v>75</v>
      </c>
      <c r="C52" s="262">
        <f>SUM(C46:C51)</f>
        <v>183707</v>
      </c>
      <c r="D52" s="262">
        <f>SUM(D46:D51)</f>
        <v>205428</v>
      </c>
      <c r="E52" s="262">
        <f>SUM(E46:E51)</f>
        <v>207340</v>
      </c>
    </row>
    <row r="53" spans="2:5" ht="15.75">
      <c r="B53" s="666" t="s">
        <v>1082</v>
      </c>
      <c r="C53" s="86"/>
      <c r="D53" s="86"/>
      <c r="E53" s="86"/>
    </row>
    <row r="54" spans="2:5" ht="15.75">
      <c r="B54" s="277" t="s">
        <v>1083</v>
      </c>
      <c r="C54" s="257">
        <v>13964</v>
      </c>
      <c r="D54" s="257">
        <v>14300</v>
      </c>
      <c r="E54" s="257">
        <v>15800</v>
      </c>
    </row>
    <row r="55" spans="2:5" ht="15.75">
      <c r="B55" s="277" t="s">
        <v>252</v>
      </c>
      <c r="C55" s="257">
        <v>0</v>
      </c>
      <c r="D55" s="257">
        <v>0</v>
      </c>
      <c r="E55" s="257">
        <v>21840</v>
      </c>
    </row>
    <row r="56" spans="2:5" ht="15.75">
      <c r="B56" s="277" t="s">
        <v>1084</v>
      </c>
      <c r="C56" s="257">
        <v>15000</v>
      </c>
      <c r="D56" s="257">
        <v>5000</v>
      </c>
      <c r="E56" s="257">
        <v>5000</v>
      </c>
    </row>
    <row r="57" spans="2:5" ht="15.75">
      <c r="B57" s="277" t="s">
        <v>1085</v>
      </c>
      <c r="C57" s="257">
        <v>0</v>
      </c>
      <c r="D57" s="257">
        <v>225000</v>
      </c>
      <c r="E57" s="257">
        <v>225000</v>
      </c>
    </row>
    <row r="58" spans="2:5" ht="15.75">
      <c r="B58" s="277" t="s">
        <v>1086</v>
      </c>
      <c r="C58" s="257">
        <v>70000</v>
      </c>
      <c r="D58" s="257">
        <v>75000</v>
      </c>
      <c r="E58" s="257">
        <v>78000</v>
      </c>
    </row>
    <row r="59" spans="2:5" ht="15.75">
      <c r="B59" s="277" t="s">
        <v>1087</v>
      </c>
      <c r="C59" s="257">
        <v>65000</v>
      </c>
      <c r="D59" s="257">
        <v>63000</v>
      </c>
      <c r="E59" s="257">
        <v>63000</v>
      </c>
    </row>
    <row r="60" spans="2:5" ht="15.75">
      <c r="B60" s="258" t="s">
        <v>1088</v>
      </c>
      <c r="C60" s="250">
        <v>230000</v>
      </c>
      <c r="D60" s="250">
        <v>50000</v>
      </c>
      <c r="E60" s="257">
        <v>50000</v>
      </c>
    </row>
    <row r="61" spans="2:5" ht="15.75">
      <c r="B61" s="223" t="s">
        <v>75</v>
      </c>
      <c r="C61" s="262">
        <f>SUM(C54:C60)</f>
        <v>393964</v>
      </c>
      <c r="D61" s="262">
        <f>SUM(D54:D60)</f>
        <v>432300</v>
      </c>
      <c r="E61" s="262">
        <f>SUM(E54:E60)</f>
        <v>458640</v>
      </c>
    </row>
    <row r="62" spans="2:5" ht="15.75">
      <c r="B62" s="666" t="s">
        <v>14</v>
      </c>
      <c r="C62" s="86"/>
      <c r="D62" s="86"/>
      <c r="E62" s="86"/>
    </row>
    <row r="63" spans="2:5" ht="15.75">
      <c r="B63" s="277" t="s">
        <v>114</v>
      </c>
      <c r="C63" s="257">
        <v>19597</v>
      </c>
      <c r="D63" s="257">
        <v>19451</v>
      </c>
      <c r="E63" s="257">
        <v>19451</v>
      </c>
    </row>
    <row r="64" spans="2:5" ht="15.75">
      <c r="B64" s="277" t="s">
        <v>252</v>
      </c>
      <c r="C64" s="257"/>
      <c r="D64" s="257"/>
      <c r="E64" s="257">
        <v>973</v>
      </c>
    </row>
    <row r="65" spans="2:5" ht="15.75">
      <c r="B65" s="223" t="s">
        <v>75</v>
      </c>
      <c r="C65" s="262">
        <f>SUM(C63:C64)</f>
        <v>19597</v>
      </c>
      <c r="D65" s="262">
        <f>SUM(D63:D64)</f>
        <v>19451</v>
      </c>
      <c r="E65" s="262">
        <f>SUM(E63:E64)</f>
        <v>20424</v>
      </c>
    </row>
    <row r="66" spans="2:5" ht="15.75">
      <c r="B66" s="270"/>
      <c r="C66" s="254"/>
      <c r="D66" s="254"/>
      <c r="E66" s="257"/>
    </row>
    <row r="67" spans="2:5" ht="15.75">
      <c r="B67" s="270"/>
      <c r="C67" s="254"/>
      <c r="D67" s="254"/>
      <c r="E67" s="257"/>
    </row>
    <row r="68" spans="2:5" ht="15.75">
      <c r="B68" s="270"/>
      <c r="C68" s="254"/>
      <c r="D68" s="254"/>
      <c r="E68" s="257"/>
    </row>
    <row r="69" spans="2:5" ht="15.75">
      <c r="B69" s="271" t="s">
        <v>14</v>
      </c>
      <c r="C69" s="254"/>
      <c r="D69" s="254"/>
      <c r="E69" s="257">
        <v>0</v>
      </c>
    </row>
    <row r="70" spans="2:5" ht="15.75">
      <c r="B70" s="271" t="s">
        <v>701</v>
      </c>
      <c r="C70" s="259">
        <f>IF(C71*0.1&lt;C69,"Exceed 10% Rule","")</f>
      </c>
      <c r="D70" s="259">
        <f>IF(D71*0.1&lt;D69,"Exceed 10% Rule","")</f>
      </c>
      <c r="E70" s="293">
        <f>IF(E71*0.1&lt;E69,"Exceed 10% Rule","")</f>
      </c>
    </row>
    <row r="71" spans="2:5" ht="15.75">
      <c r="B71" s="261" t="s">
        <v>116</v>
      </c>
      <c r="C71" s="263">
        <f>C65+C52+C35+C29+C61+C44</f>
        <v>1085581</v>
      </c>
      <c r="D71" s="263">
        <f>D65+D52+D35+D29+D61+D44</f>
        <v>1126593</v>
      </c>
      <c r="E71" s="263">
        <f>E65+E52+E35+E29+E61+E44</f>
        <v>1243518</v>
      </c>
    </row>
    <row r="72" spans="2:5" ht="15.75">
      <c r="B72" s="147" t="s">
        <v>222</v>
      </c>
      <c r="C72" s="267">
        <f>C22-C71</f>
        <v>188337</v>
      </c>
      <c r="D72" s="267">
        <f>D22-D71</f>
        <v>171609</v>
      </c>
      <c r="E72" s="82">
        <f>E22-E71</f>
        <v>0</v>
      </c>
    </row>
    <row r="73" spans="2:5" ht="15.75">
      <c r="B73" s="133" t="str">
        <f>CONCATENATE("",E1-2," Budget Authority Limited Amount:")</f>
        <v>2011 Budget Authority Limited Amount:</v>
      </c>
      <c r="C73" s="238">
        <f>inputOth!B80</f>
        <v>1135847</v>
      </c>
      <c r="D73" s="238">
        <f>inputPrYr!D57</f>
        <v>1209370</v>
      </c>
      <c r="E73" s="344">
        <f>IF(E72&lt;0,"See Tab E","")</f>
      </c>
    </row>
    <row r="74" spans="2:5" ht="15.75">
      <c r="B74" s="133"/>
      <c r="C74" s="274">
        <f>IF(C71&gt;C73,"See Tab A","")</f>
      </c>
      <c r="D74" s="274">
        <f>IF(D71&gt;D73,"See Tab C","")</f>
      </c>
      <c r="E74" s="68"/>
    </row>
    <row r="75" spans="2:5" ht="15.75">
      <c r="B75" s="133"/>
      <c r="C75" s="274">
        <f>IF(C72&lt;0,"See Tab B","")</f>
      </c>
      <c r="D75" s="274">
        <f>IF(D72&lt;0,"See Tab D","")</f>
      </c>
      <c r="E75" s="68"/>
    </row>
    <row r="76" spans="2:5" ht="15">
      <c r="B76" s="68"/>
      <c r="C76" s="68"/>
      <c r="D76" s="68"/>
      <c r="E76" s="68"/>
    </row>
    <row r="77" spans="2:5" ht="15.75">
      <c r="B77" s="367" t="s">
        <v>119</v>
      </c>
      <c r="C77" s="278">
        <v>22</v>
      </c>
      <c r="D77" s="68"/>
      <c r="E77" s="68"/>
    </row>
  </sheetData>
  <sheetProtection/>
  <conditionalFormatting sqref="E19">
    <cfRule type="cellIs" priority="7" dxfId="274" operator="greaterThan" stopIfTrue="1">
      <formula>$E$21*0.1</formula>
    </cfRule>
  </conditionalFormatting>
  <conditionalFormatting sqref="E69">
    <cfRule type="cellIs" priority="8" dxfId="274" operator="greaterThan" stopIfTrue="1">
      <formula>$E$71*0.1</formula>
    </cfRule>
  </conditionalFormatting>
  <conditionalFormatting sqref="C69">
    <cfRule type="cellIs" priority="9" dxfId="3" operator="greaterThan" stopIfTrue="1">
      <formula>$C$71*0.1</formula>
    </cfRule>
  </conditionalFormatting>
  <conditionalFormatting sqref="D69">
    <cfRule type="cellIs" priority="10" dxfId="3" operator="greaterThan" stopIfTrue="1">
      <formula>$D$71*0.1</formula>
    </cfRule>
  </conditionalFormatting>
  <conditionalFormatting sqref="C71">
    <cfRule type="cellIs" priority="12" dxfId="3" operator="greaterThan" stopIfTrue="1">
      <formula>$C$73</formula>
    </cfRule>
  </conditionalFormatting>
  <conditionalFormatting sqref="C72 E72">
    <cfRule type="cellIs" priority="13" dxfId="3" operator="lessThan" stopIfTrue="1">
      <formula>0</formula>
    </cfRule>
  </conditionalFormatting>
  <conditionalFormatting sqref="D72">
    <cfRule type="cellIs" priority="6" dxfId="0" operator="lessThan" stopIfTrue="1">
      <formula>0</formula>
    </cfRule>
  </conditionalFormatting>
  <conditionalFormatting sqref="D19">
    <cfRule type="cellIs" priority="5" dxfId="0" operator="greaterThan" stopIfTrue="1">
      <formula>$D$21*0.1</formula>
    </cfRule>
  </conditionalFormatting>
  <conditionalFormatting sqref="C19">
    <cfRule type="cellIs" priority="4" dxfId="0" operator="greaterThan" stopIfTrue="1">
      <formula>$C$21*0.1</formula>
    </cfRule>
  </conditionalFormatting>
  <conditionalFormatting sqref="D71">
    <cfRule type="cellIs" priority="3" dxfId="3" operator="greaterThan" stopIfTrue="1">
      <formula>$C$73</formula>
    </cfRule>
  </conditionalFormatting>
  <conditionalFormatting sqref="E71">
    <cfRule type="cellIs" priority="1" dxfId="3" operator="greaterThan" stopIfTrue="1">
      <formula>$C$73</formula>
    </cfRule>
  </conditionalFormatting>
  <printOptions/>
  <pageMargins left="0.75" right="0.75" top="1" bottom="1" header="0.5" footer="0.5"/>
  <pageSetup blackAndWhite="1" horizontalDpi="600" verticalDpi="600" orientation="portrait" scale="76" r:id="rId1"/>
  <headerFooter alignWithMargins="0">
    <oddHeader>&amp;RState of Kansas
City</oddHeader>
  </headerFooter>
  <rowBreaks count="1" manualBreakCount="1">
    <brk id="22" max="255" man="1"/>
  </rowBreaks>
</worksheet>
</file>

<file path=xl/worksheets/sheet28.xml><?xml version="1.0" encoding="utf-8"?>
<worksheet xmlns="http://schemas.openxmlformats.org/spreadsheetml/2006/main" xmlns:r="http://schemas.openxmlformats.org/officeDocument/2006/relationships">
  <sheetPr>
    <pageSetUpPr fitToPage="1"/>
  </sheetPr>
  <dimension ref="B1:E51"/>
  <sheetViews>
    <sheetView zoomScalePageLayoutView="0" workbookViewId="0" topLeftCell="A13">
      <selection activeCell="D18" sqref="D18"/>
    </sheetView>
  </sheetViews>
  <sheetFormatPr defaultColWidth="8.796875" defaultRowHeight="15"/>
  <cols>
    <col min="1" max="1" width="2.3984375" style="105" customWidth="1"/>
    <col min="2" max="2" width="31.09765625" style="105" customWidth="1"/>
    <col min="3" max="4" width="15.796875" style="105" customWidth="1"/>
    <col min="5" max="5" width="16.19921875" style="105" customWidth="1"/>
    <col min="6" max="16384" width="8.8984375" style="105" customWidth="1"/>
  </cols>
  <sheetData>
    <row r="1" spans="2:5" ht="15.75">
      <c r="B1" s="194" t="str">
        <f>(inputPrYr!D2)</f>
        <v>CITY OF ELLSWORTH</v>
      </c>
      <c r="C1" s="47"/>
      <c r="D1" s="47"/>
      <c r="E1" s="216">
        <f>inputPrYr!$C$5</f>
        <v>2013</v>
      </c>
    </row>
    <row r="2" spans="2:5" ht="15.75">
      <c r="B2" s="47"/>
      <c r="C2" s="47"/>
      <c r="D2" s="47"/>
      <c r="E2" s="166"/>
    </row>
    <row r="3" spans="2:5" ht="15.75">
      <c r="B3" s="246" t="s">
        <v>168</v>
      </c>
      <c r="C3" s="290"/>
      <c r="D3" s="290"/>
      <c r="E3" s="291"/>
    </row>
    <row r="4" spans="2:5" ht="15.75">
      <c r="B4" s="52" t="s">
        <v>102</v>
      </c>
      <c r="C4" s="639" t="s">
        <v>862</v>
      </c>
      <c r="D4" s="640" t="s">
        <v>863</v>
      </c>
      <c r="E4" s="141" t="s">
        <v>864</v>
      </c>
    </row>
    <row r="5" spans="2:5" ht="15.75">
      <c r="B5" s="464" t="str">
        <f>(inputPrYr!B58)</f>
        <v>Recreation &amp; Pool</v>
      </c>
      <c r="C5" s="222" t="str">
        <f>CONCATENATE("Actual for ",E1-2,"")</f>
        <v>Actual for 2011</v>
      </c>
      <c r="D5" s="222" t="str">
        <f>CONCATENATE("Estimate for ",E1-1,"")</f>
        <v>Estimate for 2012</v>
      </c>
      <c r="E5" s="205" t="str">
        <f>CONCATENATE("Year for ",E1,"")</f>
        <v>Year for 2013</v>
      </c>
    </row>
    <row r="6" spans="2:5" ht="15.75">
      <c r="B6" s="147" t="s">
        <v>221</v>
      </c>
      <c r="C6" s="67">
        <v>38277</v>
      </c>
      <c r="D6" s="225">
        <f>C46</f>
        <v>24367</v>
      </c>
      <c r="E6" s="225">
        <f>D46</f>
        <v>18015</v>
      </c>
    </row>
    <row r="7" spans="2:5" ht="15.75">
      <c r="B7" s="281" t="s">
        <v>223</v>
      </c>
      <c r="C7" s="86"/>
      <c r="D7" s="86"/>
      <c r="E7" s="86"/>
    </row>
    <row r="8" spans="2:5" ht="15.75">
      <c r="B8" s="270" t="s">
        <v>1089</v>
      </c>
      <c r="C8" s="257">
        <v>70</v>
      </c>
      <c r="D8" s="257">
        <v>70</v>
      </c>
      <c r="E8" s="257">
        <v>70</v>
      </c>
    </row>
    <row r="9" spans="2:5" ht="15.75">
      <c r="B9" s="270" t="s">
        <v>1090</v>
      </c>
      <c r="C9" s="257">
        <v>2549</v>
      </c>
      <c r="D9" s="257">
        <v>2500</v>
      </c>
      <c r="E9" s="257">
        <v>2400</v>
      </c>
    </row>
    <row r="10" spans="2:5" ht="15.75">
      <c r="B10" s="270" t="s">
        <v>1091</v>
      </c>
      <c r="C10" s="257">
        <v>25401</v>
      </c>
      <c r="D10" s="257">
        <v>25250</v>
      </c>
      <c r="E10" s="257">
        <v>24500</v>
      </c>
    </row>
    <row r="11" spans="2:5" ht="15.75">
      <c r="B11" s="270" t="s">
        <v>1092</v>
      </c>
      <c r="C11" s="257">
        <v>250</v>
      </c>
      <c r="D11" s="257">
        <v>250</v>
      </c>
      <c r="E11" s="257">
        <v>250</v>
      </c>
    </row>
    <row r="12" spans="2:5" ht="15.75">
      <c r="B12" s="270" t="s">
        <v>1093</v>
      </c>
      <c r="C12" s="257">
        <v>1733</v>
      </c>
      <c r="D12" s="257">
        <v>1700</v>
      </c>
      <c r="E12" s="257">
        <v>1600</v>
      </c>
    </row>
    <row r="13" spans="2:5" ht="15.75">
      <c r="B13" s="270" t="s">
        <v>1094</v>
      </c>
      <c r="C13" s="257">
        <v>7224</v>
      </c>
      <c r="D13" s="257">
        <v>7000</v>
      </c>
      <c r="E13" s="257">
        <v>6750</v>
      </c>
    </row>
    <row r="14" spans="2:5" ht="15.75">
      <c r="B14" s="270" t="s">
        <v>1095</v>
      </c>
      <c r="C14" s="257">
        <v>18539</v>
      </c>
      <c r="D14" s="257">
        <v>18250</v>
      </c>
      <c r="E14" s="257">
        <v>18000</v>
      </c>
    </row>
    <row r="15" spans="2:5" ht="15.75">
      <c r="B15" s="270" t="s">
        <v>1096</v>
      </c>
      <c r="C15" s="257">
        <v>7135</v>
      </c>
      <c r="D15" s="257">
        <v>6750</v>
      </c>
      <c r="E15" s="257">
        <v>6500</v>
      </c>
    </row>
    <row r="16" spans="2:5" ht="15.75">
      <c r="B16" s="270" t="s">
        <v>1013</v>
      </c>
      <c r="C16" s="257">
        <v>0</v>
      </c>
      <c r="D16" s="257">
        <v>100</v>
      </c>
      <c r="E16" s="257">
        <v>100</v>
      </c>
    </row>
    <row r="17" spans="2:5" ht="15.75">
      <c r="B17" s="270" t="s">
        <v>1097</v>
      </c>
      <c r="C17" s="257">
        <v>413</v>
      </c>
      <c r="D17" s="257">
        <v>400</v>
      </c>
      <c r="E17" s="257">
        <v>300</v>
      </c>
    </row>
    <row r="18" spans="2:5" ht="15.75">
      <c r="B18" s="270" t="s">
        <v>1098</v>
      </c>
      <c r="C18" s="257">
        <v>47000</v>
      </c>
      <c r="D18" s="257">
        <v>46000</v>
      </c>
      <c r="E18" s="257">
        <v>46000</v>
      </c>
    </row>
    <row r="19" spans="2:5" ht="15.75">
      <c r="B19" s="270" t="s">
        <v>1099</v>
      </c>
      <c r="C19" s="257">
        <v>65000</v>
      </c>
      <c r="D19" s="257">
        <v>63000</v>
      </c>
      <c r="E19" s="257">
        <v>63000</v>
      </c>
    </row>
    <row r="20" spans="2:5" ht="15.75">
      <c r="B20" s="292" t="s">
        <v>108</v>
      </c>
      <c r="C20" s="257">
        <v>176</v>
      </c>
      <c r="D20" s="257">
        <v>145</v>
      </c>
      <c r="E20" s="257">
        <v>82</v>
      </c>
    </row>
    <row r="21" spans="2:5" ht="15.75">
      <c r="B21" s="156" t="s">
        <v>14</v>
      </c>
      <c r="C21" s="257">
        <v>2115</v>
      </c>
      <c r="D21" s="251">
        <v>2050</v>
      </c>
      <c r="E21" s="251">
        <v>2000</v>
      </c>
    </row>
    <row r="22" spans="2:5" ht="15.75">
      <c r="B22" s="249" t="s">
        <v>700</v>
      </c>
      <c r="C22" s="293">
        <f>IF(C23*0.1&lt;C21,"Exceed 10% Rule","")</f>
      </c>
      <c r="D22" s="260">
        <f>IF(D23*0.1&lt;D21,"Exceed 10% Rule","")</f>
      </c>
      <c r="E22" s="260">
        <f>IF(E23*0.1&lt;E21,"Exceed 10% Rule","")</f>
      </c>
    </row>
    <row r="23" spans="2:5" ht="15.75">
      <c r="B23" s="261" t="s">
        <v>109</v>
      </c>
      <c r="C23" s="264">
        <f>SUM(C8:C21)</f>
        <v>177605</v>
      </c>
      <c r="D23" s="264">
        <f>SUM(D8:D21)</f>
        <v>173465</v>
      </c>
      <c r="E23" s="264">
        <f>SUM(E8:E21)</f>
        <v>171552</v>
      </c>
    </row>
    <row r="24" spans="2:5" ht="15.75">
      <c r="B24" s="261" t="s">
        <v>110</v>
      </c>
      <c r="C24" s="264">
        <f>C6+C23</f>
        <v>215882</v>
      </c>
      <c r="D24" s="264">
        <f>D6+D23</f>
        <v>197832</v>
      </c>
      <c r="E24" s="264">
        <f>E6+E23</f>
        <v>189567</v>
      </c>
    </row>
    <row r="25" spans="2:5" ht="15.75">
      <c r="B25" s="147" t="s">
        <v>112</v>
      </c>
      <c r="C25" s="86"/>
      <c r="D25" s="86"/>
      <c r="E25" s="86"/>
    </row>
    <row r="26" spans="2:5" ht="15.75">
      <c r="B26" s="666" t="s">
        <v>1100</v>
      </c>
      <c r="C26" s="86"/>
      <c r="D26" s="86"/>
      <c r="E26" s="86"/>
    </row>
    <row r="27" spans="2:5" ht="15.75">
      <c r="B27" s="277" t="s">
        <v>120</v>
      </c>
      <c r="C27" s="257">
        <v>59290</v>
      </c>
      <c r="D27" s="257">
        <v>59120</v>
      </c>
      <c r="E27" s="257">
        <v>60120</v>
      </c>
    </row>
    <row r="28" spans="2:5" ht="15.75">
      <c r="B28" s="277" t="s">
        <v>113</v>
      </c>
      <c r="C28" s="257">
        <v>13803</v>
      </c>
      <c r="D28" s="257">
        <v>14466</v>
      </c>
      <c r="E28" s="257">
        <v>16535</v>
      </c>
    </row>
    <row r="29" spans="2:5" ht="15.75">
      <c r="B29" s="277" t="s">
        <v>114</v>
      </c>
      <c r="C29" s="257">
        <v>7431</v>
      </c>
      <c r="D29" s="257">
        <v>6900</v>
      </c>
      <c r="E29" s="257">
        <v>7300</v>
      </c>
    </row>
    <row r="30" spans="2:5" ht="15.75">
      <c r="B30" s="277" t="s">
        <v>115</v>
      </c>
      <c r="C30" s="257">
        <v>5273</v>
      </c>
      <c r="D30" s="257">
        <v>6312</v>
      </c>
      <c r="E30" s="257">
        <v>6350</v>
      </c>
    </row>
    <row r="31" spans="2:5" ht="15.75">
      <c r="B31" s="277" t="s">
        <v>252</v>
      </c>
      <c r="C31" s="257">
        <v>544</v>
      </c>
      <c r="D31" s="257">
        <v>400</v>
      </c>
      <c r="E31" s="257">
        <v>400</v>
      </c>
    </row>
    <row r="32" spans="2:5" ht="15.75">
      <c r="B32" s="277" t="s">
        <v>981</v>
      </c>
      <c r="C32" s="257">
        <v>19000</v>
      </c>
      <c r="D32" s="257">
        <v>10000</v>
      </c>
      <c r="E32" s="257">
        <v>8000</v>
      </c>
    </row>
    <row r="33" spans="2:5" ht="15.75">
      <c r="B33" s="277" t="s">
        <v>996</v>
      </c>
      <c r="C33" s="257">
        <v>8000</v>
      </c>
      <c r="D33" s="257">
        <v>4000</v>
      </c>
      <c r="E33" s="257">
        <v>2000</v>
      </c>
    </row>
    <row r="34" spans="2:5" ht="15.75">
      <c r="B34" s="223" t="s">
        <v>75</v>
      </c>
      <c r="C34" s="262">
        <f>SUM(C27:C33)</f>
        <v>113341</v>
      </c>
      <c r="D34" s="262">
        <f>SUM(D27:D33)</f>
        <v>101198</v>
      </c>
      <c r="E34" s="262">
        <f>SUM(E27:E33)</f>
        <v>100705</v>
      </c>
    </row>
    <row r="35" spans="2:5" ht="15.75">
      <c r="B35" s="666" t="s">
        <v>1101</v>
      </c>
      <c r="C35" s="86"/>
      <c r="D35" s="86"/>
      <c r="E35" s="86"/>
    </row>
    <row r="36" spans="2:5" ht="15.75">
      <c r="B36" s="277" t="s">
        <v>120</v>
      </c>
      <c r="C36" s="257">
        <v>47661</v>
      </c>
      <c r="D36" s="257">
        <v>48000</v>
      </c>
      <c r="E36" s="257">
        <v>48500</v>
      </c>
    </row>
    <row r="37" spans="2:5" ht="15.75">
      <c r="B37" s="277" t="s">
        <v>113</v>
      </c>
      <c r="C37" s="257">
        <v>11320</v>
      </c>
      <c r="D37" s="257">
        <v>10919</v>
      </c>
      <c r="E37" s="257">
        <v>11135</v>
      </c>
    </row>
    <row r="38" spans="2:5" ht="15.75">
      <c r="B38" s="277" t="s">
        <v>114</v>
      </c>
      <c r="C38" s="257">
        <v>14554</v>
      </c>
      <c r="D38" s="257">
        <v>15500</v>
      </c>
      <c r="E38" s="257">
        <v>16000</v>
      </c>
    </row>
    <row r="39" spans="2:5" ht="15.75">
      <c r="B39" s="277" t="s">
        <v>252</v>
      </c>
      <c r="C39" s="257">
        <v>639</v>
      </c>
      <c r="D39" s="257">
        <v>1200</v>
      </c>
      <c r="E39" s="257">
        <v>1200</v>
      </c>
    </row>
    <row r="40" spans="2:5" ht="15.75">
      <c r="B40" s="277" t="s">
        <v>981</v>
      </c>
      <c r="C40" s="257">
        <v>4000</v>
      </c>
      <c r="D40" s="257">
        <v>3000</v>
      </c>
      <c r="E40" s="257">
        <v>3000</v>
      </c>
    </row>
    <row r="41" spans="2:5" ht="15.75">
      <c r="B41" s="277" t="s">
        <v>996</v>
      </c>
      <c r="C41" s="257"/>
      <c r="D41" s="257"/>
      <c r="E41" s="257"/>
    </row>
    <row r="42" spans="2:5" ht="15.75">
      <c r="B42" s="223" t="s">
        <v>75</v>
      </c>
      <c r="C42" s="262">
        <f>SUM(C36:C41)</f>
        <v>78174</v>
      </c>
      <c r="D42" s="262">
        <f>SUM(D36:D41)</f>
        <v>78619</v>
      </c>
      <c r="E42" s="262">
        <f>SUM(E36:E41)</f>
        <v>79835</v>
      </c>
    </row>
    <row r="43" spans="2:5" ht="15.75">
      <c r="B43" s="271" t="s">
        <v>14</v>
      </c>
      <c r="C43" s="257"/>
      <c r="D43" s="251"/>
      <c r="E43" s="251">
        <v>9027</v>
      </c>
    </row>
    <row r="44" spans="2:5" ht="15.75">
      <c r="B44" s="271" t="s">
        <v>701</v>
      </c>
      <c r="C44" s="293">
        <f>IF(C45*0.1&lt;C43,"Exceed 10% Rule","")</f>
      </c>
      <c r="D44" s="260">
        <f>IF(D45*0.1&lt;D43,"Exceed 10% Rule","")</f>
      </c>
      <c r="E44" s="260">
        <f>IF(E45*0.1&lt;E43,"Exceed 10% Rule","")</f>
      </c>
    </row>
    <row r="45" spans="2:5" ht="15.75">
      <c r="B45" s="261" t="s">
        <v>116</v>
      </c>
      <c r="C45" s="264">
        <f>C42+C34</f>
        <v>191515</v>
      </c>
      <c r="D45" s="264">
        <f>D34+D42</f>
        <v>179817</v>
      </c>
      <c r="E45" s="264">
        <f>E42+E34+E43</f>
        <v>189567</v>
      </c>
    </row>
    <row r="46" spans="2:5" ht="15.75">
      <c r="B46" s="147" t="s">
        <v>222</v>
      </c>
      <c r="C46" s="82">
        <f>C24-C45</f>
        <v>24367</v>
      </c>
      <c r="D46" s="82">
        <f>D24-D45</f>
        <v>18015</v>
      </c>
      <c r="E46" s="82">
        <f>E24-E45</f>
        <v>0</v>
      </c>
    </row>
    <row r="47" spans="2:5" ht="15.75">
      <c r="B47" s="133" t="str">
        <f>CONCATENATE("",E1-2," Budget Authority Limited Amount:")</f>
        <v>2011 Budget Authority Limited Amount:</v>
      </c>
      <c r="C47" s="238">
        <f>inputOth!B81</f>
        <v>215895</v>
      </c>
      <c r="D47" s="238">
        <f>inputPrYr!D58</f>
        <v>195226</v>
      </c>
      <c r="E47" s="344">
        <f>IF(E46&lt;0,"See Tab E","")</f>
      </c>
    </row>
    <row r="48" spans="2:5" ht="15.75">
      <c r="B48" s="133"/>
      <c r="C48" s="274">
        <f>IF(C45&gt;C47,"See Tab A","")</f>
      </c>
      <c r="D48" s="274">
        <f>IF(D45&gt;D47,"See Tab C","")</f>
      </c>
      <c r="E48" s="68"/>
    </row>
    <row r="49" spans="2:5" ht="15.75">
      <c r="B49" s="133"/>
      <c r="C49" s="274">
        <f>IF(C46&lt;0,"See Tab B","")</f>
      </c>
      <c r="D49" s="274">
        <f>IF(D46&lt;0,"See Tab D","")</f>
      </c>
      <c r="E49" s="68"/>
    </row>
    <row r="50" spans="2:5" ht="15">
      <c r="B50" s="68"/>
      <c r="C50" s="68"/>
      <c r="D50" s="68"/>
      <c r="E50" s="68"/>
    </row>
    <row r="51" spans="2:5" ht="15.75">
      <c r="B51" s="367" t="s">
        <v>119</v>
      </c>
      <c r="C51" s="278">
        <v>23</v>
      </c>
      <c r="D51" s="68"/>
      <c r="E51" s="68"/>
    </row>
  </sheetData>
  <sheetProtection/>
  <conditionalFormatting sqref="E21">
    <cfRule type="cellIs" priority="2" dxfId="274" operator="greaterThan" stopIfTrue="1">
      <formula>$E$23*0.1</formula>
    </cfRule>
  </conditionalFormatting>
  <conditionalFormatting sqref="E43">
    <cfRule type="cellIs" priority="3" dxfId="274" operator="greaterThan" stopIfTrue="1">
      <formula>$E$45*0.1</formula>
    </cfRule>
  </conditionalFormatting>
  <conditionalFormatting sqref="D21">
    <cfRule type="cellIs" priority="4" dxfId="274" operator="greaterThan" stopIfTrue="1">
      <formula>$D$23*0.1</formula>
    </cfRule>
  </conditionalFormatting>
  <conditionalFormatting sqref="D43">
    <cfRule type="cellIs" priority="5" dxfId="274" operator="greaterThan" stopIfTrue="1">
      <formula>$D$45*0.1</formula>
    </cfRule>
  </conditionalFormatting>
  <conditionalFormatting sqref="C21">
    <cfRule type="cellIs" priority="6" dxfId="274" operator="greaterThan" stopIfTrue="1">
      <formula>$C$23*0.1</formula>
    </cfRule>
  </conditionalFormatting>
  <conditionalFormatting sqref="C43">
    <cfRule type="cellIs" priority="7" dxfId="274" operator="greaterThan" stopIfTrue="1">
      <formula>$C$45*0.1</formula>
    </cfRule>
  </conditionalFormatting>
  <conditionalFormatting sqref="D45">
    <cfRule type="cellIs" priority="8" dxfId="3" operator="greaterThan" stopIfTrue="1">
      <formula>$D$47</formula>
    </cfRule>
  </conditionalFormatting>
  <conditionalFormatting sqref="C45">
    <cfRule type="cellIs" priority="9" dxfId="3" operator="greaterThan" stopIfTrue="1">
      <formula>$C$47</formula>
    </cfRule>
  </conditionalFormatting>
  <conditionalFormatting sqref="C46 E46">
    <cfRule type="cellIs" priority="10" dxfId="3" operator="lessThan" stopIfTrue="1">
      <formula>0</formula>
    </cfRule>
  </conditionalFormatting>
  <conditionalFormatting sqref="D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4" t="str">
        <f>(inputPrYr!D2)</f>
        <v>CITY OF ELLSWORTH</v>
      </c>
      <c r="C1" s="47"/>
      <c r="D1" s="47"/>
      <c r="E1" s="245">
        <f>inputPrYr!C5</f>
        <v>2013</v>
      </c>
    </row>
    <row r="2" spans="2:5" ht="15.75">
      <c r="B2" s="47"/>
      <c r="C2" s="47"/>
      <c r="D2" s="47"/>
      <c r="E2" s="166"/>
    </row>
    <row r="3" spans="2:5" ht="15.75">
      <c r="B3" s="246" t="s">
        <v>168</v>
      </c>
      <c r="C3" s="285"/>
      <c r="D3" s="285"/>
      <c r="E3" s="285"/>
    </row>
    <row r="4" spans="2:5" ht="15.75">
      <c r="B4" s="52" t="s">
        <v>102</v>
      </c>
      <c r="C4" s="639" t="s">
        <v>862</v>
      </c>
      <c r="D4" s="640" t="s">
        <v>863</v>
      </c>
      <c r="E4" s="141" t="s">
        <v>864</v>
      </c>
    </row>
    <row r="5" spans="2:5" ht="15.75">
      <c r="B5" s="464" t="str">
        <f>inputPrYr!B54</f>
        <v>2011 S.O. Cost of Issuance</v>
      </c>
      <c r="C5" s="222" t="str">
        <f>CONCATENATE("Actual for ",E1-2,"")</f>
        <v>Actual for 2011</v>
      </c>
      <c r="D5" s="222" t="str">
        <f>CONCATENATE("Estimate for ",E1-1,"")</f>
        <v>Estimate for 2012</v>
      </c>
      <c r="E5" s="205" t="str">
        <f>CONCATENATE("Year for ",E1,"")</f>
        <v>Year for 2013</v>
      </c>
    </row>
    <row r="6" spans="2:5" ht="15.75">
      <c r="B6" s="249" t="s">
        <v>221</v>
      </c>
      <c r="C6" s="67">
        <v>0</v>
      </c>
      <c r="D6" s="225">
        <f>C29</f>
        <v>0</v>
      </c>
      <c r="E6" s="225">
        <f>D29</f>
        <v>0</v>
      </c>
    </row>
    <row r="7" spans="2:5" s="45" customFormat="1" ht="15.75">
      <c r="B7" s="253" t="s">
        <v>223</v>
      </c>
      <c r="C7" s="86"/>
      <c r="D7" s="86"/>
      <c r="E7" s="86"/>
    </row>
    <row r="8" spans="2:5" ht="15.75">
      <c r="B8" s="270" t="s">
        <v>1047</v>
      </c>
      <c r="C8" s="67">
        <v>13000</v>
      </c>
      <c r="D8" s="67"/>
      <c r="E8" s="67"/>
    </row>
    <row r="9" spans="2:5" ht="15.75">
      <c r="B9" s="270"/>
      <c r="C9" s="67"/>
      <c r="D9" s="67"/>
      <c r="E9" s="67"/>
    </row>
    <row r="10" spans="2:5" ht="15.75">
      <c r="B10" s="270"/>
      <c r="C10" s="67"/>
      <c r="D10" s="67"/>
      <c r="E10" s="67"/>
    </row>
    <row r="11" spans="2:5" ht="15.75">
      <c r="B11" s="270"/>
      <c r="C11" s="67"/>
      <c r="D11" s="67"/>
      <c r="E11" s="67"/>
    </row>
    <row r="12" spans="2:5" ht="15.75">
      <c r="B12" s="258" t="s">
        <v>108</v>
      </c>
      <c r="C12" s="67"/>
      <c r="D12" s="67"/>
      <c r="E12" s="67"/>
    </row>
    <row r="13" spans="2:5" ht="15.75">
      <c r="B13" s="156" t="s">
        <v>14</v>
      </c>
      <c r="C13" s="67"/>
      <c r="D13" s="255"/>
      <c r="E13" s="255"/>
    </row>
    <row r="14" spans="2:5" ht="15.75">
      <c r="B14" s="249" t="s">
        <v>700</v>
      </c>
      <c r="C14" s="293">
        <f>IF(C15*0.1&lt;C13,"Exceed 10% Rule","")</f>
      </c>
      <c r="D14" s="260">
        <f>IF(D15*0.1&lt;D13,"Exceed 10% Rule","")</f>
      </c>
      <c r="E14" s="260">
        <f>IF(E15*0.1&lt;E13,"Exceed 10% Rule","")</f>
      </c>
    </row>
    <row r="15" spans="2:5" ht="15.75">
      <c r="B15" s="261" t="s">
        <v>109</v>
      </c>
      <c r="C15" s="264">
        <f>SUM(C8:C13)</f>
        <v>13000</v>
      </c>
      <c r="D15" s="264">
        <f>SUM(D8:D13)</f>
        <v>0</v>
      </c>
      <c r="E15" s="264">
        <f>SUM(E8:E13)</f>
        <v>0</v>
      </c>
    </row>
    <row r="16" spans="2:5" ht="15.75">
      <c r="B16" s="261" t="s">
        <v>110</v>
      </c>
      <c r="C16" s="264">
        <f>C6+C15</f>
        <v>13000</v>
      </c>
      <c r="D16" s="264">
        <f>D6+D15</f>
        <v>0</v>
      </c>
      <c r="E16" s="264">
        <f>E6+E15</f>
        <v>0</v>
      </c>
    </row>
    <row r="17" spans="2:5" ht="15.75">
      <c r="B17" s="147" t="s">
        <v>112</v>
      </c>
      <c r="C17" s="225"/>
      <c r="D17" s="225"/>
      <c r="E17" s="225"/>
    </row>
    <row r="18" spans="2:5" ht="15.75">
      <c r="B18" s="270" t="s">
        <v>1053</v>
      </c>
      <c r="C18" s="67">
        <v>3378</v>
      </c>
      <c r="D18" s="67"/>
      <c r="E18" s="67"/>
    </row>
    <row r="19" spans="2:5" ht="15.75">
      <c r="B19" s="270" t="s">
        <v>1065</v>
      </c>
      <c r="C19" s="67">
        <v>9622</v>
      </c>
      <c r="D19" s="67"/>
      <c r="E19" s="67"/>
    </row>
    <row r="20" spans="2:5" ht="15.75">
      <c r="B20" s="270" t="s">
        <v>1050</v>
      </c>
      <c r="C20" s="67">
        <v>0</v>
      </c>
      <c r="D20" s="67"/>
      <c r="E20" s="67"/>
    </row>
    <row r="21" spans="2:5" ht="15.75">
      <c r="B21" s="270"/>
      <c r="C21" s="67">
        <v>0</v>
      </c>
      <c r="D21" s="67"/>
      <c r="E21" s="67"/>
    </row>
    <row r="22" spans="2:5" ht="15.75">
      <c r="B22" s="270"/>
      <c r="C22" s="67"/>
      <c r="D22" s="67"/>
      <c r="E22" s="67"/>
    </row>
    <row r="23" spans="2:5" ht="15.75">
      <c r="B23" s="270"/>
      <c r="C23" s="67"/>
      <c r="D23" s="67"/>
      <c r="E23" s="67"/>
    </row>
    <row r="24" spans="2:5" ht="15.75">
      <c r="B24" s="270"/>
      <c r="C24" s="67"/>
      <c r="D24" s="67"/>
      <c r="E24" s="67"/>
    </row>
    <row r="25" spans="2:5" ht="15.75">
      <c r="B25" s="270"/>
      <c r="C25" s="67"/>
      <c r="D25" s="67"/>
      <c r="E25" s="67"/>
    </row>
    <row r="26" spans="2:5" ht="15.75">
      <c r="B26" s="271" t="s">
        <v>14</v>
      </c>
      <c r="C26" s="67"/>
      <c r="D26" s="255"/>
      <c r="E26" s="255"/>
    </row>
    <row r="27" spans="2:5" ht="15.75">
      <c r="B27" s="271" t="s">
        <v>703</v>
      </c>
      <c r="C27" s="293">
        <f>IF(C28*0.1&lt;C26,"Exceed 10% Rule","")</f>
      </c>
      <c r="D27" s="260">
        <f>IF(D28*0.1&lt;D26,"Exceed 10% Rule","")</f>
      </c>
      <c r="E27" s="260">
        <f>IF(E28*0.1&lt;E26,"Exceed 10% Rule","")</f>
      </c>
    </row>
    <row r="28" spans="2:5" ht="15.75">
      <c r="B28" s="261" t="s">
        <v>116</v>
      </c>
      <c r="C28" s="264">
        <f>SUM(C18:C26)</f>
        <v>13000</v>
      </c>
      <c r="D28" s="264">
        <f>SUM(D18:D26)</f>
        <v>0</v>
      </c>
      <c r="E28" s="264">
        <f>SUM(E18:E26)</f>
        <v>0</v>
      </c>
    </row>
    <row r="29" spans="2:5" ht="15.75">
      <c r="B29" s="147" t="s">
        <v>222</v>
      </c>
      <c r="C29" s="82">
        <f>C16-C28</f>
        <v>0</v>
      </c>
      <c r="D29" s="82">
        <f>D16-D28</f>
        <v>0</v>
      </c>
      <c r="E29" s="82">
        <f>E16-E28</f>
        <v>0</v>
      </c>
    </row>
    <row r="30" spans="2:5" ht="15.75">
      <c r="B30" s="133" t="str">
        <f>CONCATENATE("",E1-2,"/",E1-1," Budget Authority Amount:")</f>
        <v>2011/2012 Budget Authority Amount:</v>
      </c>
      <c r="C30" s="238">
        <f>inputOth!B78</f>
        <v>0</v>
      </c>
      <c r="D30" s="238">
        <f>inputPrYr!D54</f>
        <v>0</v>
      </c>
      <c r="E30" s="344">
        <f>IF(E29&lt;0,"See Tab E","")</f>
      </c>
    </row>
    <row r="31" spans="2:5" ht="15.75">
      <c r="B31" s="133"/>
      <c r="C31" s="345" t="str">
        <f>IF(C28&gt;C30,"See Tab A","")</f>
        <v>See Tab A</v>
      </c>
      <c r="D31" s="274">
        <f>IF(D28&gt;D30,"See Tab C","")</f>
      </c>
      <c r="E31" s="96"/>
    </row>
    <row r="32" spans="2:5" ht="15.75">
      <c r="B32" s="133"/>
      <c r="C32" s="345">
        <f>IF(C29&lt;0,"See Tab B","")</f>
      </c>
      <c r="D32" s="274">
        <f>IF(D29&lt;0,"See Tab D","")</f>
      </c>
      <c r="E32" s="96"/>
    </row>
    <row r="33" spans="2:5" ht="15.75">
      <c r="B33" s="47"/>
      <c r="C33" s="346"/>
      <c r="D33" s="96"/>
      <c r="E33" s="96"/>
    </row>
    <row r="34" spans="2:5" ht="15.75">
      <c r="B34" s="52" t="s">
        <v>102</v>
      </c>
      <c r="C34" s="347"/>
      <c r="D34" s="288"/>
      <c r="E34" s="288"/>
    </row>
    <row r="35" spans="2:5" ht="15.75">
      <c r="B35" s="47"/>
      <c r="C35" s="639" t="s">
        <v>862</v>
      </c>
      <c r="D35" s="640" t="s">
        <v>863</v>
      </c>
      <c r="E35" s="141" t="s">
        <v>864</v>
      </c>
    </row>
    <row r="36" spans="2:5" ht="15.75">
      <c r="B36" s="464" t="str">
        <f>inputPrYr!B43</f>
        <v>TDD Principal &amp; Interest</v>
      </c>
      <c r="C36" s="222" t="str">
        <f>CONCATENATE("Actual for ",$E$1-2,"")</f>
        <v>Actual for 2011</v>
      </c>
      <c r="D36" s="222" t="str">
        <f>CONCATENATE("Estimate for ",$E$1-1,"")</f>
        <v>Estimate for 2012</v>
      </c>
      <c r="E36" s="205" t="str">
        <f>CONCATENATE("Year for ",$E$1,"")</f>
        <v>Year for 2013</v>
      </c>
    </row>
    <row r="37" spans="2:5" ht="15.75">
      <c r="B37" s="249" t="s">
        <v>221</v>
      </c>
      <c r="C37" s="67">
        <v>118724</v>
      </c>
      <c r="D37" s="225">
        <f>C60</f>
        <v>127030</v>
      </c>
      <c r="E37" s="225">
        <f>D60</f>
        <v>141356</v>
      </c>
    </row>
    <row r="38" spans="2:5" s="45" customFormat="1" ht="15.75">
      <c r="B38" s="253" t="s">
        <v>223</v>
      </c>
      <c r="C38" s="86"/>
      <c r="D38" s="86"/>
      <c r="E38" s="86"/>
    </row>
    <row r="39" spans="2:5" ht="15.75">
      <c r="B39" s="270" t="s">
        <v>1044</v>
      </c>
      <c r="C39" s="67">
        <v>89821</v>
      </c>
      <c r="D39" s="67">
        <v>95000</v>
      </c>
      <c r="E39" s="67">
        <v>90000</v>
      </c>
    </row>
    <row r="40" spans="2:5" ht="15.75">
      <c r="B40" s="270"/>
      <c r="C40" s="67"/>
      <c r="D40" s="67"/>
      <c r="E40" s="67"/>
    </row>
    <row r="41" spans="2:5" ht="15.75">
      <c r="B41" s="270"/>
      <c r="C41" s="67"/>
      <c r="D41" s="67"/>
      <c r="E41" s="67"/>
    </row>
    <row r="42" spans="2:5" ht="15.75">
      <c r="B42" s="270"/>
      <c r="C42" s="67"/>
      <c r="D42" s="67"/>
      <c r="E42" s="67"/>
    </row>
    <row r="43" spans="2:5" ht="15.75">
      <c r="B43" s="258" t="s">
        <v>108</v>
      </c>
      <c r="C43" s="67">
        <v>903</v>
      </c>
      <c r="D43" s="67">
        <v>650</v>
      </c>
      <c r="E43" s="67">
        <v>600</v>
      </c>
    </row>
    <row r="44" spans="2:5" ht="15.75">
      <c r="B44" s="156" t="s">
        <v>14</v>
      </c>
      <c r="C44" s="67"/>
      <c r="D44" s="255"/>
      <c r="E44" s="255"/>
    </row>
    <row r="45" spans="2:5" ht="15.75">
      <c r="B45" s="249" t="s">
        <v>700</v>
      </c>
      <c r="C45" s="293">
        <f>IF(C46*0.1&lt;C44,"Exceed 10% Rule","")</f>
      </c>
      <c r="D45" s="260">
        <f>IF(D46*0.1&lt;D44,"Exceed 10% Rule","")</f>
      </c>
      <c r="E45" s="260">
        <f>IF(E46*0.1&lt;E44,"Exceed 10% Rule","")</f>
      </c>
    </row>
    <row r="46" spans="2:5" ht="15.75">
      <c r="B46" s="261" t="s">
        <v>109</v>
      </c>
      <c r="C46" s="264">
        <f>SUM(C39:C44)</f>
        <v>90724</v>
      </c>
      <c r="D46" s="264">
        <f>SUM(D39:D44)</f>
        <v>95650</v>
      </c>
      <c r="E46" s="264">
        <f>SUM(E39:E44)</f>
        <v>90600</v>
      </c>
    </row>
    <row r="47" spans="2:5" ht="15.75">
      <c r="B47" s="261" t="s">
        <v>110</v>
      </c>
      <c r="C47" s="264">
        <f>C37+C46</f>
        <v>209448</v>
      </c>
      <c r="D47" s="264">
        <f>D37+D46</f>
        <v>222680</v>
      </c>
      <c r="E47" s="264">
        <f>E37+E46</f>
        <v>231956</v>
      </c>
    </row>
    <row r="48" spans="2:5" ht="15.75">
      <c r="B48" s="147" t="s">
        <v>112</v>
      </c>
      <c r="C48" s="225"/>
      <c r="D48" s="225"/>
      <c r="E48" s="225"/>
    </row>
    <row r="49" spans="2:5" ht="15.75">
      <c r="B49" s="270" t="s">
        <v>1102</v>
      </c>
      <c r="C49" s="67">
        <v>0</v>
      </c>
      <c r="D49" s="67">
        <v>0</v>
      </c>
      <c r="E49" s="67">
        <v>146726</v>
      </c>
    </row>
    <row r="50" spans="2:5" ht="15.75">
      <c r="B50" s="270" t="s">
        <v>1048</v>
      </c>
      <c r="C50" s="67">
        <v>25000</v>
      </c>
      <c r="D50" s="67">
        <v>25000</v>
      </c>
      <c r="E50" s="67">
        <v>30000</v>
      </c>
    </row>
    <row r="51" spans="2:5" ht="15.75">
      <c r="B51" s="270" t="s">
        <v>1057</v>
      </c>
      <c r="C51" s="67">
        <v>57418</v>
      </c>
      <c r="D51" s="67">
        <v>56324</v>
      </c>
      <c r="E51" s="67">
        <v>55230</v>
      </c>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1" t="s">
        <v>14</v>
      </c>
      <c r="C57" s="67"/>
      <c r="D57" s="255"/>
      <c r="E57" s="255"/>
    </row>
    <row r="58" spans="2:5" ht="15.75">
      <c r="B58" s="271" t="s">
        <v>701</v>
      </c>
      <c r="C58" s="293">
        <f>IF(C59*0.1&lt;C57,"Exceed 10% Rule","")</f>
      </c>
      <c r="D58" s="260">
        <f>IF(D59*0.1&lt;D57,"Exceed 10% Rule","")</f>
      </c>
      <c r="E58" s="260">
        <f>IF(E59*0.1&lt;E57,"Exceed 10% Rule","")</f>
      </c>
    </row>
    <row r="59" spans="2:5" ht="15.75">
      <c r="B59" s="261" t="s">
        <v>116</v>
      </c>
      <c r="C59" s="390">
        <f>SUM(C49:C57)</f>
        <v>82418</v>
      </c>
      <c r="D59" s="264">
        <f>SUM(D49:D57)</f>
        <v>81324</v>
      </c>
      <c r="E59" s="264">
        <f>SUM(E49:E57)</f>
        <v>231956</v>
      </c>
    </row>
    <row r="60" spans="2:5" ht="15.75">
      <c r="B60" s="147" t="s">
        <v>222</v>
      </c>
      <c r="C60" s="82">
        <f>C47-C59</f>
        <v>127030</v>
      </c>
      <c r="D60" s="82">
        <f>D47-D59</f>
        <v>141356</v>
      </c>
      <c r="E60" s="82">
        <f>E47-E59</f>
        <v>0</v>
      </c>
    </row>
    <row r="61" spans="2:5" ht="15.75">
      <c r="B61" s="133" t="str">
        <f>CONCATENATE("",E1-2,"/",E1-1," Budget Authority Amount:")</f>
        <v>2011/2012 Budget Authority Amount:</v>
      </c>
      <c r="C61" s="238">
        <f>inputOth!B67</f>
        <v>150111</v>
      </c>
      <c r="D61" s="238">
        <f>inputPrYr!D43</f>
        <v>262555</v>
      </c>
      <c r="E61" s="344">
        <f>IF(E60&lt;0,"See Tab E","")</f>
      </c>
    </row>
    <row r="62" spans="2:5" ht="15.75">
      <c r="B62" s="133"/>
      <c r="C62" s="274">
        <f>IF(C59&gt;C61,"See Tab A","")</f>
      </c>
      <c r="D62" s="274">
        <f>IF(D59&gt;D61,"See Tab C","")</f>
      </c>
      <c r="E62" s="47"/>
    </row>
    <row r="63" spans="2:5" ht="15.75">
      <c r="B63" s="133"/>
      <c r="C63" s="274">
        <f>IF(C60&lt;0,"See Tab B","")</f>
      </c>
      <c r="D63" s="274">
        <f>IF(D60&lt;0,"See Tab D","")</f>
      </c>
      <c r="E63" s="47"/>
    </row>
    <row r="64" spans="2:5" ht="15.75">
      <c r="B64" s="47"/>
      <c r="C64" s="47"/>
      <c r="D64" s="47"/>
      <c r="E64" s="47"/>
    </row>
    <row r="65" spans="2:5" ht="15.75">
      <c r="B65" s="367" t="s">
        <v>119</v>
      </c>
      <c r="C65" s="278"/>
      <c r="D65" s="47"/>
      <c r="E65" s="47"/>
    </row>
  </sheetData>
  <sheetProtection/>
  <conditionalFormatting sqref="C13">
    <cfRule type="cellIs" priority="19" dxfId="274" operator="greaterThan" stopIfTrue="1">
      <formula>$C$15*0.1</formula>
    </cfRule>
  </conditionalFormatting>
  <conditionalFormatting sqref="D13">
    <cfRule type="cellIs" priority="18" dxfId="274" operator="greaterThan" stopIfTrue="1">
      <formula>$D$15*0.1</formula>
    </cfRule>
  </conditionalFormatting>
  <conditionalFormatting sqref="E13">
    <cfRule type="cellIs" priority="17" dxfId="274" operator="greaterThan" stopIfTrue="1">
      <formula>$E$15*0.1</formula>
    </cfRule>
  </conditionalFormatting>
  <conditionalFormatting sqref="C26">
    <cfRule type="cellIs" priority="16" dxfId="274" operator="greaterThan" stopIfTrue="1">
      <formula>$C$28*0.1</formula>
    </cfRule>
  </conditionalFormatting>
  <conditionalFormatting sqref="D26">
    <cfRule type="cellIs" priority="15" dxfId="274" operator="greaterThan" stopIfTrue="1">
      <formula>$D$28*0.1</formula>
    </cfRule>
  </conditionalFormatting>
  <conditionalFormatting sqref="E26">
    <cfRule type="cellIs" priority="14" dxfId="274" operator="greaterThan" stopIfTrue="1">
      <formula>$E$28*0.1</formula>
    </cfRule>
  </conditionalFormatting>
  <conditionalFormatting sqref="C44">
    <cfRule type="cellIs" priority="13" dxfId="274" operator="greaterThan" stopIfTrue="1">
      <formula>$C$46*0.1</formula>
    </cfRule>
  </conditionalFormatting>
  <conditionalFormatting sqref="D44">
    <cfRule type="cellIs" priority="12" dxfId="274" operator="greaterThan" stopIfTrue="1">
      <formula>$D$46*0.1</formula>
    </cfRule>
  </conditionalFormatting>
  <conditionalFormatting sqref="E44">
    <cfRule type="cellIs" priority="11" dxfId="274" operator="greaterThan" stopIfTrue="1">
      <formula>$E$46*0.1</formula>
    </cfRule>
  </conditionalFormatting>
  <conditionalFormatting sqref="C57">
    <cfRule type="cellIs" priority="10" dxfId="274" operator="greaterThan" stopIfTrue="1">
      <formula>$C$59*0.1</formula>
    </cfRule>
  </conditionalFormatting>
  <conditionalFormatting sqref="D57">
    <cfRule type="cellIs" priority="9" dxfId="274" operator="greaterThan" stopIfTrue="1">
      <formula>$D$59*0.1</formula>
    </cfRule>
  </conditionalFormatting>
  <conditionalFormatting sqref="E57">
    <cfRule type="cellIs" priority="8" dxfId="274" operator="greaterThan" stopIfTrue="1">
      <formula>$E$59*0.1</formula>
    </cfRule>
  </conditionalFormatting>
  <conditionalFormatting sqref="D59">
    <cfRule type="cellIs" priority="7" dxfId="3" operator="greaterThan" stopIfTrue="1">
      <formula>$D$61</formula>
    </cfRule>
  </conditionalFormatting>
  <conditionalFormatting sqref="C60 E60 C29 E29">
    <cfRule type="cellIs" priority="6" dxfId="3" operator="lessThan" stopIfTrue="1">
      <formula>0</formula>
    </cfRule>
  </conditionalFormatting>
  <conditionalFormatting sqref="D28">
    <cfRule type="cellIs" priority="5" dxfId="3" operator="greaterThan" stopIfTrue="1">
      <formula>$D$30</formula>
    </cfRule>
  </conditionalFormatting>
  <conditionalFormatting sqref="C28">
    <cfRule type="cellIs" priority="4"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2" dxfId="0" operator="lessThan" stopIfTrue="1">
      <formula>0</formula>
    </cfRule>
  </conditionalFormatting>
  <conditionalFormatting sqref="C59">
    <cfRule type="cellIs" priority="1" dxfId="0" operator="greaterThan" stopIfTrue="1">
      <formula>$C$36</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xml><?xml version="1.0" encoding="utf-8"?>
<worksheet xmlns="http://schemas.openxmlformats.org/spreadsheetml/2006/main" xmlns:r="http://schemas.openxmlformats.org/officeDocument/2006/relationships">
  <dimension ref="A1:E83"/>
  <sheetViews>
    <sheetView view="pageBreakPreview" zoomScale="60" zoomScalePageLayoutView="0" workbookViewId="0" topLeftCell="A49">
      <selection activeCell="E8" sqref="E8"/>
    </sheetView>
  </sheetViews>
  <sheetFormatPr defaultColWidth="8.796875" defaultRowHeight="15"/>
  <cols>
    <col min="1" max="1" width="20.19921875" style="105" customWidth="1"/>
    <col min="2" max="2" width="15.8984375" style="105" customWidth="1"/>
    <col min="3" max="3" width="9.796875" style="105" customWidth="1"/>
    <col min="4" max="4" width="15.09765625" style="105" customWidth="1"/>
    <col min="5" max="5" width="15.796875" style="105" customWidth="1"/>
    <col min="6" max="16384" width="8.8984375" style="105" customWidth="1"/>
  </cols>
  <sheetData>
    <row r="1" spans="1:5" ht="15.75">
      <c r="A1" s="171" t="str">
        <f>inputPrYr!$D$2</f>
        <v>CITY OF ELLSWORTH</v>
      </c>
      <c r="B1" s="68"/>
      <c r="C1" s="68"/>
      <c r="D1" s="68"/>
      <c r="E1" s="170">
        <f>inputPrYr!C5</f>
        <v>2013</v>
      </c>
    </row>
    <row r="2" spans="1:5" ht="15">
      <c r="A2" s="68"/>
      <c r="B2" s="68"/>
      <c r="C2" s="68"/>
      <c r="D2" s="68"/>
      <c r="E2" s="68"/>
    </row>
    <row r="3" spans="1:5" ht="15.75">
      <c r="A3" s="679" t="s">
        <v>302</v>
      </c>
      <c r="B3" s="680"/>
      <c r="C3" s="680"/>
      <c r="D3" s="680"/>
      <c r="E3" s="680"/>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6"/>
    </row>
    <row r="7" spans="1:5" ht="15.75">
      <c r="A7" s="106" t="str">
        <f>CONCATENATE("Total Assessed Valuation for ",E1-1,"")</f>
        <v>Total Assessed Valuation for 2012</v>
      </c>
      <c r="B7" s="72"/>
      <c r="C7" s="72"/>
      <c r="D7" s="72"/>
      <c r="E7" s="67">
        <v>12452089</v>
      </c>
    </row>
    <row r="8" spans="1:5" ht="15.75">
      <c r="A8" s="106" t="str">
        <f>CONCATENATE("New Improvements for ",E1-1,"")</f>
        <v>New Improvements for 2012</v>
      </c>
      <c r="B8" s="72"/>
      <c r="C8" s="72"/>
      <c r="D8" s="72"/>
      <c r="E8" s="107">
        <v>846046</v>
      </c>
    </row>
    <row r="9" spans="1:5" ht="15.75">
      <c r="A9" s="106" t="str">
        <f>CONCATENATE("Personal Property excluding oil, gas, mobile homes - ",E1-1,"")</f>
        <v>Personal Property excluding oil, gas, mobile homes - 2012</v>
      </c>
      <c r="B9" s="72"/>
      <c r="C9" s="72"/>
      <c r="D9" s="72"/>
      <c r="E9" s="107">
        <v>558607</v>
      </c>
    </row>
    <row r="10" spans="1:5" ht="15.75">
      <c r="A10" s="108" t="s">
        <v>242</v>
      </c>
      <c r="B10" s="72"/>
      <c r="C10" s="72"/>
      <c r="D10" s="72"/>
      <c r="E10" s="86"/>
    </row>
    <row r="11" spans="1:5" ht="15.75">
      <c r="A11" s="106" t="s">
        <v>214</v>
      </c>
      <c r="B11" s="72"/>
      <c r="C11" s="72"/>
      <c r="D11" s="72"/>
      <c r="E11" s="107">
        <v>0</v>
      </c>
    </row>
    <row r="12" spans="1:5" ht="15.75">
      <c r="A12" s="106" t="s">
        <v>215</v>
      </c>
      <c r="B12" s="72"/>
      <c r="C12" s="72"/>
      <c r="D12" s="72"/>
      <c r="E12" s="107">
        <v>0</v>
      </c>
    </row>
    <row r="13" spans="1:5" ht="15.75">
      <c r="A13" s="106" t="s">
        <v>216</v>
      </c>
      <c r="B13" s="72"/>
      <c r="C13" s="72"/>
      <c r="D13" s="72"/>
      <c r="E13" s="107">
        <v>0</v>
      </c>
    </row>
    <row r="14" spans="1:5" ht="15.75">
      <c r="A14" s="106" t="str">
        <f>CONCATENATE("Property that has changed in use for ",E1-1,"")</f>
        <v>Property that has changed in use for 2012</v>
      </c>
      <c r="B14" s="72"/>
      <c r="C14" s="72"/>
      <c r="D14" s="72"/>
      <c r="E14" s="107">
        <v>125402</v>
      </c>
    </row>
    <row r="15" spans="1:5" ht="15.75">
      <c r="A15" s="106" t="str">
        <f>CONCATENATE("Personal Property  excluding oil, gas, mobile homes- ",E1-2,"")</f>
        <v>Personal Property  excluding oil, gas, mobile homes- 2011</v>
      </c>
      <c r="B15" s="72"/>
      <c r="C15" s="72"/>
      <c r="D15" s="72"/>
      <c r="E15" s="107">
        <v>626761</v>
      </c>
    </row>
    <row r="16" spans="1:5" ht="15.75">
      <c r="A16" s="106" t="str">
        <f>CONCATENATE("Gross earnings (intangible) tax estimate for ",E1,"")</f>
        <v>Gross earnings (intangible) tax estimate for 2013</v>
      </c>
      <c r="B16" s="72"/>
      <c r="C16" s="72"/>
      <c r="D16" s="92"/>
      <c r="E16" s="67">
        <v>0</v>
      </c>
    </row>
    <row r="17" spans="1:5" ht="15.75">
      <c r="A17" s="106" t="s">
        <v>243</v>
      </c>
      <c r="B17" s="72"/>
      <c r="C17" s="72"/>
      <c r="D17" s="72"/>
      <c r="E17" s="102">
        <v>543550</v>
      </c>
    </row>
    <row r="18" spans="1:5" ht="15.75">
      <c r="A18" s="75"/>
      <c r="B18" s="76"/>
      <c r="C18" s="76"/>
      <c r="D18" s="76"/>
      <c r="E18" s="83"/>
    </row>
    <row r="19" spans="1:5" ht="15.75">
      <c r="A19" s="75" t="str">
        <f>CONCATENATE("Actual Tax Rates for the ",E1-1," Budget:")</f>
        <v>Actual Tax Rates for the 2012 Budget:</v>
      </c>
      <c r="B19" s="76"/>
      <c r="C19" s="76"/>
      <c r="D19" s="76"/>
      <c r="E19" s="83"/>
    </row>
    <row r="20" spans="1:5" ht="15.75">
      <c r="A20" s="688" t="s">
        <v>89</v>
      </c>
      <c r="B20" s="689"/>
      <c r="C20" s="68"/>
      <c r="D20" s="109" t="s">
        <v>140</v>
      </c>
      <c r="E20" s="83"/>
    </row>
    <row r="21" spans="1:5" ht="15.75">
      <c r="A21" s="70" t="s">
        <v>73</v>
      </c>
      <c r="B21" s="71"/>
      <c r="C21" s="76"/>
      <c r="D21" s="110">
        <v>51.675</v>
      </c>
      <c r="E21" s="83"/>
    </row>
    <row r="22" spans="1:5" ht="15.75">
      <c r="A22" s="106" t="s">
        <v>44</v>
      </c>
      <c r="B22" s="72"/>
      <c r="C22" s="76"/>
      <c r="D22" s="111">
        <v>12.042</v>
      </c>
      <c r="E22" s="83"/>
    </row>
    <row r="23" spans="1:5" ht="15.75">
      <c r="A23" s="106" t="str">
        <f>IF(inputPrYr!B19&gt;" ",(inputPrYr!B19)," ")</f>
        <v>Library</v>
      </c>
      <c r="B23" s="72"/>
      <c r="C23" s="76"/>
      <c r="D23" s="111">
        <v>7.761</v>
      </c>
      <c r="E23" s="83"/>
    </row>
    <row r="24" spans="1:5" ht="15.75">
      <c r="A24" s="106" t="str">
        <f>IF(inputPrYr!B21&gt;" ",(inputPrYr!B21)," ")</f>
        <v>Fire/Police Equipment</v>
      </c>
      <c r="B24" s="72"/>
      <c r="C24" s="76"/>
      <c r="D24" s="111">
        <v>3.13</v>
      </c>
      <c r="E24" s="83"/>
    </row>
    <row r="25" spans="1:5" ht="15.75">
      <c r="A25" s="106" t="str">
        <f>IF(inputPrYr!B22&gt;" ",(inputPrYr!B22)," ")</f>
        <v> </v>
      </c>
      <c r="B25" s="72"/>
      <c r="C25" s="76"/>
      <c r="D25" s="111"/>
      <c r="E25" s="83"/>
    </row>
    <row r="26" spans="1:5" ht="15.75">
      <c r="A26" s="112"/>
      <c r="B26" s="76"/>
      <c r="C26" s="271" t="s">
        <v>75</v>
      </c>
      <c r="D26" s="538">
        <f>SUM(D21:D25)</f>
        <v>74.60799999999999</v>
      </c>
      <c r="E26" s="112"/>
    </row>
    <row r="27" spans="1:5" ht="15">
      <c r="A27" s="112"/>
      <c r="B27" s="112"/>
      <c r="C27" s="112"/>
      <c r="D27" s="112"/>
      <c r="E27" s="112"/>
    </row>
    <row r="28" spans="1:5" ht="15.75">
      <c r="A28" s="71" t="str">
        <f>CONCATENATE("Final Assessed Valuation from the November 1, ",E1-2," Abstract")</f>
        <v>Final Assessed Valuation from the November 1, 2011 Abstract</v>
      </c>
      <c r="B28" s="113"/>
      <c r="C28" s="113"/>
      <c r="D28" s="113"/>
      <c r="E28" s="102">
        <v>11770713</v>
      </c>
    </row>
    <row r="29" spans="1:5" ht="15">
      <c r="A29" s="112"/>
      <c r="B29" s="112"/>
      <c r="C29" s="112"/>
      <c r="D29" s="112"/>
      <c r="E29" s="112"/>
    </row>
    <row r="30" spans="1:5" ht="15.75">
      <c r="A30" s="114" t="str">
        <f>CONCATENATE("From the County Treasurer's Budget Information - ",E1," Budget Year Estimates:")</f>
        <v>From the County Treasurer's Budget Information - 2013 Budget Year Estimates:</v>
      </c>
      <c r="B30" s="58"/>
      <c r="C30" s="58"/>
      <c r="D30" s="115"/>
      <c r="E30" s="96"/>
    </row>
    <row r="31" spans="1:5" ht="15.75">
      <c r="A31" s="70" t="s">
        <v>76</v>
      </c>
      <c r="B31" s="71"/>
      <c r="C31" s="71"/>
      <c r="D31" s="116"/>
      <c r="E31" s="67">
        <v>132547</v>
      </c>
    </row>
    <row r="32" spans="1:5" ht="15.75">
      <c r="A32" s="106" t="s">
        <v>77</v>
      </c>
      <c r="B32" s="72"/>
      <c r="C32" s="72"/>
      <c r="D32" s="117"/>
      <c r="E32" s="67">
        <v>2587</v>
      </c>
    </row>
    <row r="33" spans="1:5" ht="15.75">
      <c r="A33" s="106" t="s">
        <v>244</v>
      </c>
      <c r="B33" s="72"/>
      <c r="C33" s="72"/>
      <c r="D33" s="117"/>
      <c r="E33" s="67">
        <v>1542</v>
      </c>
    </row>
    <row r="34" spans="1:5" ht="15.75">
      <c r="A34" s="106" t="s">
        <v>245</v>
      </c>
      <c r="B34" s="72"/>
      <c r="C34" s="72"/>
      <c r="D34" s="117"/>
      <c r="E34" s="67">
        <v>0</v>
      </c>
    </row>
    <row r="35" spans="1:5" ht="15.75">
      <c r="A35" s="106" t="s">
        <v>246</v>
      </c>
      <c r="B35" s="72"/>
      <c r="C35" s="72"/>
      <c r="D35" s="117"/>
      <c r="E35" s="67">
        <v>0</v>
      </c>
    </row>
    <row r="36" spans="1:5" ht="15.75">
      <c r="A36" s="47" t="s">
        <v>247</v>
      </c>
      <c r="B36" s="47"/>
      <c r="C36" s="47"/>
      <c r="D36" s="47"/>
      <c r="E36" s="47"/>
    </row>
    <row r="37" spans="1:5" ht="15.75">
      <c r="A37" s="46" t="s">
        <v>96</v>
      </c>
      <c r="B37" s="56"/>
      <c r="C37" s="56"/>
      <c r="D37" s="47"/>
      <c r="E37" s="47"/>
    </row>
    <row r="38" spans="1:5" ht="15.75">
      <c r="A38" s="70" t="str">
        <f>CONCATENATE("Actual Delinquency for ",E1-3," Tax - (rate .01213 = 1.213%, key in 1.2)")</f>
        <v>Actual Delinquency for 2010 Tax - (rate .01213 = 1.213%, key in 1.2)</v>
      </c>
      <c r="B38" s="71"/>
      <c r="C38" s="71"/>
      <c r="D38" s="81"/>
      <c r="E38" s="537">
        <v>0</v>
      </c>
    </row>
    <row r="39" spans="1:5" ht="15.75">
      <c r="A39" s="106" t="s">
        <v>790</v>
      </c>
      <c r="B39" s="106"/>
      <c r="C39" s="72"/>
      <c r="D39" s="72"/>
      <c r="E39" s="537"/>
    </row>
    <row r="40" spans="1:5" ht="15.75">
      <c r="A40" s="47"/>
      <c r="B40" s="47"/>
      <c r="C40" s="47"/>
      <c r="D40" s="47"/>
      <c r="E40" s="47"/>
    </row>
    <row r="41" spans="1:5" ht="15.75">
      <c r="A41" s="118" t="s">
        <v>4</v>
      </c>
      <c r="B41" s="119"/>
      <c r="C41" s="120"/>
      <c r="D41" s="120"/>
      <c r="E41" s="120"/>
    </row>
    <row r="42" spans="1:5" ht="15.75">
      <c r="A42" s="121" t="str">
        <f>CONCATENATE("",E1," State Distribution for Kansas Gas Tax")</f>
        <v>2013 State Distribution for Kansas Gas Tax</v>
      </c>
      <c r="B42" s="122"/>
      <c r="C42" s="122"/>
      <c r="D42" s="123"/>
      <c r="E42" s="102">
        <v>79576</v>
      </c>
    </row>
    <row r="43" spans="1:5" ht="15.75">
      <c r="A43" s="124" t="str">
        <f>CONCATENATE("",E1," County Transfers for Gas**")</f>
        <v>2013 County Transfers for Gas**</v>
      </c>
      <c r="B43" s="125"/>
      <c r="C43" s="125"/>
      <c r="D43" s="126"/>
      <c r="E43" s="102">
        <v>0</v>
      </c>
    </row>
    <row r="44" spans="1:5" ht="15.75">
      <c r="A44" s="124" t="str">
        <f>CONCATENATE("Adjusted ",E1-1," State Distribution for Kansas Gas Tax")</f>
        <v>Adjusted 2012 State Distribution for Kansas Gas Tax</v>
      </c>
      <c r="B44" s="125"/>
      <c r="C44" s="125"/>
      <c r="D44" s="126"/>
      <c r="E44" s="102">
        <v>78978</v>
      </c>
    </row>
    <row r="45" spans="1:5" ht="15.75">
      <c r="A45" s="124" t="str">
        <f>CONCATENATE("Adjusted ",E1-1," County Transfers for Gas**")</f>
        <v>Adjusted 2012 County Transfers for Gas**</v>
      </c>
      <c r="B45" s="125"/>
      <c r="C45" s="125"/>
      <c r="D45" s="126"/>
      <c r="E45" s="102">
        <v>0</v>
      </c>
    </row>
    <row r="46" spans="1:5" ht="15">
      <c r="A46" s="690" t="s">
        <v>297</v>
      </c>
      <c r="B46" s="691"/>
      <c r="C46" s="691"/>
      <c r="D46" s="691"/>
      <c r="E46" s="691"/>
    </row>
    <row r="47" spans="1:5" ht="15">
      <c r="A47" s="127" t="s">
        <v>298</v>
      </c>
      <c r="B47" s="127"/>
      <c r="C47" s="127"/>
      <c r="D47" s="127"/>
      <c r="E47" s="127"/>
    </row>
    <row r="48" spans="1:5" ht="15">
      <c r="A48" s="68"/>
      <c r="B48" s="68"/>
      <c r="C48" s="68"/>
      <c r="D48" s="68"/>
      <c r="E48" s="68"/>
    </row>
    <row r="49" spans="1:5" ht="15.75">
      <c r="A49" s="692" t="str">
        <f>CONCATENATE("From the ",E1-2," Budget Certificate Page")</f>
        <v>From the 2011 Budget Certificate Page</v>
      </c>
      <c r="B49" s="693"/>
      <c r="C49" s="68"/>
      <c r="D49" s="68"/>
      <c r="E49" s="68"/>
    </row>
    <row r="50" spans="1:5" ht="15.75">
      <c r="A50" s="128"/>
      <c r="B50" s="128" t="str">
        <f>CONCATENATE("",E1-2," Expenditure Amounts")</f>
        <v>2011 Expenditure Amounts</v>
      </c>
      <c r="C50" s="686" t="str">
        <f>CONCATENATE("Note: If the ",E1-2," budget was amended, then the")</f>
        <v>Note: If the 2011 budget was amended, then the</v>
      </c>
      <c r="D50" s="687"/>
      <c r="E50" s="687"/>
    </row>
    <row r="51" spans="1:5" ht="15.75">
      <c r="A51" s="129" t="s">
        <v>9</v>
      </c>
      <c r="B51" s="129" t="s">
        <v>10</v>
      </c>
      <c r="C51" s="130" t="s">
        <v>11</v>
      </c>
      <c r="D51" s="131"/>
      <c r="E51" s="131"/>
    </row>
    <row r="52" spans="1:5" ht="15.75">
      <c r="A52" s="132" t="str">
        <f>inputPrYr!B17</f>
        <v>General</v>
      </c>
      <c r="B52" s="102">
        <v>1977443</v>
      </c>
      <c r="C52" s="130" t="s">
        <v>12</v>
      </c>
      <c r="D52" s="131"/>
      <c r="E52" s="131"/>
    </row>
    <row r="53" spans="1:5" ht="15.75">
      <c r="A53" s="132" t="str">
        <f>inputPrYr!B18</f>
        <v>Debt Service</v>
      </c>
      <c r="B53" s="102">
        <v>434452</v>
      </c>
      <c r="C53" s="130"/>
      <c r="D53" s="131"/>
      <c r="E53" s="131"/>
    </row>
    <row r="54" spans="1:5" ht="15.75">
      <c r="A54" s="132" t="str">
        <f>inputPrYr!B19</f>
        <v>Library</v>
      </c>
      <c r="B54" s="102">
        <v>104992</v>
      </c>
      <c r="C54" s="68"/>
      <c r="D54" s="68"/>
      <c r="E54" s="68"/>
    </row>
    <row r="55" spans="1:5" ht="15.75">
      <c r="A55" s="132" t="str">
        <f>inputPrYr!B21</f>
        <v>Fire/Police Equipment</v>
      </c>
      <c r="B55" s="102">
        <v>15954</v>
      </c>
      <c r="C55" s="68"/>
      <c r="D55" s="68"/>
      <c r="E55" s="68"/>
    </row>
    <row r="56" spans="1:5" ht="15.75">
      <c r="A56" s="132" t="str">
        <f>inputPrYr!B34</f>
        <v>Special Highway</v>
      </c>
      <c r="B56" s="102">
        <v>110933</v>
      </c>
      <c r="C56" s="68"/>
      <c r="D56" s="68"/>
      <c r="E56" s="68"/>
    </row>
    <row r="57" spans="1:5" ht="15.75">
      <c r="A57" s="132" t="str">
        <f>inputPrYr!B35</f>
        <v>Special Parks &amp; Recreation</v>
      </c>
      <c r="B57" s="102">
        <v>7450</v>
      </c>
      <c r="C57" s="68"/>
      <c r="D57" s="68"/>
      <c r="E57" s="68"/>
    </row>
    <row r="58" spans="1:5" ht="15.75">
      <c r="A58" s="132" t="str">
        <f>inputPrYr!B36</f>
        <v>Solid Waste</v>
      </c>
      <c r="B58" s="102">
        <v>155701</v>
      </c>
      <c r="C58" s="68"/>
      <c r="D58" s="68"/>
      <c r="E58" s="68"/>
    </row>
    <row r="59" spans="1:5" ht="15.75">
      <c r="A59" s="132" t="str">
        <f>inputPrYr!B37</f>
        <v>Capital Improvement</v>
      </c>
      <c r="B59" s="102">
        <v>645671</v>
      </c>
      <c r="C59" s="68"/>
      <c r="D59" s="68"/>
      <c r="E59" s="68"/>
    </row>
    <row r="60" spans="1:5" ht="15.75">
      <c r="A60" s="132" t="str">
        <f>inputPrYr!B38</f>
        <v>Municipal Equipment</v>
      </c>
      <c r="B60" s="102">
        <v>489321</v>
      </c>
      <c r="C60" s="68"/>
      <c r="D60" s="68"/>
      <c r="E60" s="68"/>
    </row>
    <row r="61" spans="1:5" ht="15.75">
      <c r="A61" s="132" t="str">
        <f>inputPrYr!B39</f>
        <v>Tourism &amp; Convention</v>
      </c>
      <c r="B61" s="102">
        <v>22235</v>
      </c>
      <c r="C61" s="68"/>
      <c r="D61" s="68"/>
      <c r="E61" s="68"/>
    </row>
    <row r="62" spans="1:5" ht="15.75">
      <c r="A62" s="132" t="str">
        <f>inputPrYr!B40</f>
        <v>TDD Dees &amp; Kunkle</v>
      </c>
      <c r="B62" s="102">
        <v>120487</v>
      </c>
      <c r="C62" s="68"/>
      <c r="D62" s="68"/>
      <c r="E62" s="68"/>
    </row>
    <row r="63" spans="1:5" ht="15.75">
      <c r="A63" s="132" t="str">
        <f>inputPrYr!B41</f>
        <v>Water/Sewer Emer Depriciation</v>
      </c>
      <c r="B63" s="102">
        <v>115130</v>
      </c>
      <c r="C63" s="68"/>
      <c r="D63" s="68"/>
      <c r="E63" s="68"/>
    </row>
    <row r="64" spans="1:5" ht="15.75">
      <c r="A64" s="132" t="s">
        <v>940</v>
      </c>
      <c r="B64" s="102">
        <v>49787</v>
      </c>
      <c r="C64" s="68"/>
      <c r="D64" s="68"/>
      <c r="E64" s="68"/>
    </row>
    <row r="65" spans="1:5" ht="15.75">
      <c r="A65" s="132" t="str">
        <f>inputPrYr!B42</f>
        <v>TDD Debt Service Reserve</v>
      </c>
      <c r="B65" s="102">
        <v>117237</v>
      </c>
      <c r="C65" s="68"/>
      <c r="D65" s="68"/>
      <c r="E65" s="68"/>
    </row>
    <row r="66" spans="1:5" ht="15.75">
      <c r="A66" s="132" t="s">
        <v>941</v>
      </c>
      <c r="B66" s="102">
        <v>6019</v>
      </c>
      <c r="C66" s="68"/>
      <c r="D66" s="68"/>
      <c r="E66" s="68"/>
    </row>
    <row r="67" spans="1:5" ht="15.75">
      <c r="A67" s="132" t="str">
        <f>inputPrYr!B43</f>
        <v>TDD Principal &amp; Interest</v>
      </c>
      <c r="B67" s="102">
        <v>150111</v>
      </c>
      <c r="C67" s="68"/>
      <c r="D67" s="68"/>
      <c r="E67" s="68"/>
    </row>
    <row r="68" spans="1:5" ht="15.75">
      <c r="A68" s="132" t="str">
        <f>inputPrYr!B44</f>
        <v>2011 G.O. Redemption</v>
      </c>
      <c r="B68" s="102">
        <v>0</v>
      </c>
      <c r="C68" s="68"/>
      <c r="D68" s="68"/>
      <c r="E68" s="68"/>
    </row>
    <row r="69" spans="1:5" ht="15.75">
      <c r="A69" s="132" t="str">
        <f>inputPrYr!B45</f>
        <v>2011 G.O. Cost of Issuance</v>
      </c>
      <c r="B69" s="102">
        <v>0</v>
      </c>
      <c r="C69" s="68"/>
      <c r="D69" s="68"/>
      <c r="E69" s="68"/>
    </row>
    <row r="70" spans="1:5" ht="15.75">
      <c r="A70" s="132" t="str">
        <f>inputPrYr!B46</f>
        <v>2011 G.O. Compliance</v>
      </c>
      <c r="B70" s="102">
        <v>0</v>
      </c>
      <c r="C70" s="68"/>
      <c r="D70" s="68"/>
      <c r="E70" s="68"/>
    </row>
    <row r="71" spans="1:5" ht="15.75">
      <c r="A71" s="132" t="str">
        <f>inputPrYr!B47</f>
        <v>W/S Improvement</v>
      </c>
      <c r="B71" s="102">
        <v>604289</v>
      </c>
      <c r="C71" s="68"/>
      <c r="D71" s="68"/>
      <c r="E71" s="68"/>
    </row>
    <row r="72" spans="1:5" ht="15.75">
      <c r="A72" s="132" t="s">
        <v>942</v>
      </c>
      <c r="B72" s="102">
        <v>0</v>
      </c>
      <c r="C72" s="68"/>
      <c r="D72" s="68"/>
      <c r="E72" s="68"/>
    </row>
    <row r="73" spans="1:5" ht="15.75">
      <c r="A73" s="132" t="s">
        <v>924</v>
      </c>
      <c r="B73" s="102">
        <v>15132</v>
      </c>
      <c r="C73" s="68"/>
      <c r="D73" s="68"/>
      <c r="E73" s="68"/>
    </row>
    <row r="74" spans="1:5" ht="15.75">
      <c r="A74" s="132" t="s">
        <v>943</v>
      </c>
      <c r="B74" s="102">
        <v>913</v>
      </c>
      <c r="C74" s="68"/>
      <c r="D74" s="68"/>
      <c r="E74" s="68"/>
    </row>
    <row r="75" spans="1:5" ht="15.75">
      <c r="A75" s="132" t="s">
        <v>944</v>
      </c>
      <c r="B75" s="102">
        <v>641232</v>
      </c>
      <c r="C75" s="68"/>
      <c r="D75" s="68"/>
      <c r="E75" s="68"/>
    </row>
    <row r="76" spans="1:5" ht="15.75">
      <c r="A76" s="132" t="s">
        <v>925</v>
      </c>
      <c r="B76" s="102">
        <v>0</v>
      </c>
      <c r="C76" s="68"/>
      <c r="D76" s="68"/>
      <c r="E76" s="68"/>
    </row>
    <row r="77" spans="1:5" ht="15.75">
      <c r="A77" s="132" t="s">
        <v>945</v>
      </c>
      <c r="B77" s="102">
        <v>0</v>
      </c>
      <c r="C77" s="68"/>
      <c r="D77" s="68"/>
      <c r="E77" s="68"/>
    </row>
    <row r="78" spans="1:5" ht="15.75">
      <c r="A78" s="132" t="s">
        <v>1067</v>
      </c>
      <c r="B78" s="102">
        <v>0</v>
      </c>
      <c r="C78" s="68"/>
      <c r="D78" s="68"/>
      <c r="E78" s="68"/>
    </row>
    <row r="79" spans="1:5" ht="15.75">
      <c r="A79" s="132" t="s">
        <v>928</v>
      </c>
      <c r="B79" s="102">
        <v>0</v>
      </c>
      <c r="C79" s="68"/>
      <c r="D79" s="68"/>
      <c r="E79" s="68"/>
    </row>
    <row r="80" spans="1:5" ht="15.75">
      <c r="A80" s="132" t="str">
        <f>inputPrYr!B57</f>
        <v>Water/Sewer</v>
      </c>
      <c r="B80" s="102">
        <v>1135847</v>
      </c>
      <c r="C80" s="68"/>
      <c r="D80" s="68"/>
      <c r="E80" s="68"/>
    </row>
    <row r="81" spans="1:5" ht="15.75">
      <c r="A81" s="132" t="str">
        <f>inputPrYr!B58</f>
        <v>Recreation &amp; Pool</v>
      </c>
      <c r="B81" s="102">
        <v>215895</v>
      </c>
      <c r="C81" s="68"/>
      <c r="D81" s="68"/>
      <c r="E81" s="68"/>
    </row>
    <row r="82" spans="1:5" ht="15.75">
      <c r="A82" s="132"/>
      <c r="B82" s="102"/>
      <c r="C82" s="68"/>
      <c r="D82" s="68"/>
      <c r="E82" s="68"/>
    </row>
    <row r="83" spans="1:5" ht="15.75">
      <c r="A83" s="132"/>
      <c r="B83" s="102">
        <f>B81+B80+B79+B78+B77+B76+B75+B74+B73+B72+B71+B70+B69+B68+B67+B66+B65+B64+B63+B62+B61+B60+B59+B58+B57+B56+B55+B54+B53+B52</f>
        <v>7136231</v>
      </c>
      <c r="C83" s="68"/>
      <c r="D83" s="68"/>
      <c r="E83" s="68"/>
    </row>
  </sheetData>
  <sheetProtection/>
  <mergeCells count="5">
    <mergeCell ref="C50:E50"/>
    <mergeCell ref="A20:B20"/>
    <mergeCell ref="A46:E46"/>
    <mergeCell ref="A3:E3"/>
    <mergeCell ref="A49:B49"/>
  </mergeCells>
  <printOptions/>
  <pageMargins left="0.75" right="0.75" top="1" bottom="1" header="0.5" footer="0.5"/>
  <pageSetup blackAndWhite="1" horizontalDpi="600" verticalDpi="600" orientation="portrait" scale="86" r:id="rId1"/>
  <rowBreaks count="1" manualBreakCount="1">
    <brk id="40" max="255" man="1"/>
  </rowBreaks>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43">
      <selection activeCell="B3" sqref="B3:I3"/>
    </sheetView>
  </sheetViews>
  <sheetFormatPr defaultColWidth="8.796875" defaultRowHeight="15"/>
  <cols>
    <col min="1" max="1" width="2.59765625" style="607" customWidth="1"/>
    <col min="2" max="4" width="8.8984375" style="607" customWidth="1"/>
    <col min="5" max="5" width="9.69921875" style="607" customWidth="1"/>
    <col min="6" max="6" width="8.8984375" style="607" customWidth="1"/>
    <col min="7" max="7" width="9.69921875" style="607" customWidth="1"/>
    <col min="8" max="16384" width="8.8984375" style="607" customWidth="1"/>
  </cols>
  <sheetData>
    <row r="1" spans="2:9" ht="15.75">
      <c r="B1" s="606"/>
      <c r="C1" s="606"/>
      <c r="D1" s="606"/>
      <c r="E1" s="606"/>
      <c r="F1" s="606"/>
      <c r="G1" s="606"/>
      <c r="H1" s="606"/>
      <c r="I1" s="606"/>
    </row>
    <row r="2" spans="2:9" ht="15.75">
      <c r="B2" s="748" t="s">
        <v>808</v>
      </c>
      <c r="C2" s="748"/>
      <c r="D2" s="748"/>
      <c r="E2" s="748"/>
      <c r="F2" s="748"/>
      <c r="G2" s="748"/>
      <c r="H2" s="748"/>
      <c r="I2" s="748"/>
    </row>
    <row r="3" spans="2:9" ht="15.75">
      <c r="B3" s="748" t="s">
        <v>809</v>
      </c>
      <c r="C3" s="748"/>
      <c r="D3" s="748"/>
      <c r="E3" s="748"/>
      <c r="F3" s="748"/>
      <c r="G3" s="748"/>
      <c r="H3" s="748"/>
      <c r="I3" s="748"/>
    </row>
    <row r="4" spans="2:9" ht="15.75">
      <c r="B4" s="608"/>
      <c r="C4" s="608"/>
      <c r="D4" s="608"/>
      <c r="E4" s="608"/>
      <c r="F4" s="608"/>
      <c r="G4" s="608"/>
      <c r="H4" s="608"/>
      <c r="I4" s="608"/>
    </row>
    <row r="5" spans="2:9" ht="15.75">
      <c r="B5" s="749" t="str">
        <f>CONCATENATE("Budgeted Year: ",inputPrYr!C5,"")</f>
        <v>Budgeted Year: 2013</v>
      </c>
      <c r="C5" s="749"/>
      <c r="D5" s="749"/>
      <c r="E5" s="749"/>
      <c r="F5" s="749"/>
      <c r="G5" s="749"/>
      <c r="H5" s="749"/>
      <c r="I5" s="749"/>
    </row>
    <row r="6" spans="2:9" ht="15.75">
      <c r="B6" s="609"/>
      <c r="C6" s="608"/>
      <c r="D6" s="608"/>
      <c r="E6" s="608"/>
      <c r="F6" s="608"/>
      <c r="G6" s="608"/>
      <c r="H6" s="608"/>
      <c r="I6" s="608"/>
    </row>
    <row r="7" spans="2:9" ht="15.75">
      <c r="B7" s="609" t="str">
        <f>CONCATENATE("Library found in: ",inputPrYr!D2,"")</f>
        <v>Library found in: CITY OF ELLSWORTH</v>
      </c>
      <c r="C7" s="608"/>
      <c r="D7" s="608"/>
      <c r="E7" s="608"/>
      <c r="F7" s="608"/>
      <c r="G7" s="608"/>
      <c r="H7" s="608"/>
      <c r="I7" s="608"/>
    </row>
    <row r="8" spans="2:9" ht="15.75">
      <c r="B8" s="609" t="str">
        <f>inputPrYr!D3</f>
        <v>ELLSWORTH COUNTY</v>
      </c>
      <c r="C8" s="608"/>
      <c r="D8" s="608"/>
      <c r="E8" s="608"/>
      <c r="F8" s="608"/>
      <c r="G8" s="608"/>
      <c r="H8" s="608"/>
      <c r="I8" s="608"/>
    </row>
    <row r="9" spans="2:9" ht="15.75">
      <c r="B9" s="608"/>
      <c r="C9" s="608"/>
      <c r="D9" s="608"/>
      <c r="E9" s="608"/>
      <c r="F9" s="608"/>
      <c r="G9" s="608"/>
      <c r="H9" s="608"/>
      <c r="I9" s="608"/>
    </row>
    <row r="10" spans="2:9" ht="39" customHeight="1">
      <c r="B10" s="750" t="s">
        <v>810</v>
      </c>
      <c r="C10" s="750"/>
      <c r="D10" s="750"/>
      <c r="E10" s="750"/>
      <c r="F10" s="750"/>
      <c r="G10" s="750"/>
      <c r="H10" s="750"/>
      <c r="I10" s="750"/>
    </row>
    <row r="11" spans="2:9" ht="15.75">
      <c r="B11" s="608"/>
      <c r="C11" s="608"/>
      <c r="D11" s="608"/>
      <c r="E11" s="608"/>
      <c r="F11" s="608"/>
      <c r="G11" s="608"/>
      <c r="H11" s="608"/>
      <c r="I11" s="608"/>
    </row>
    <row r="12" spans="2:9" ht="15.75">
      <c r="B12" s="610" t="s">
        <v>811</v>
      </c>
      <c r="C12" s="608"/>
      <c r="D12" s="608"/>
      <c r="E12" s="608"/>
      <c r="F12" s="608"/>
      <c r="G12" s="608"/>
      <c r="H12" s="608"/>
      <c r="I12" s="608"/>
    </row>
    <row r="13" spans="2:9" ht="15.75">
      <c r="B13" s="608"/>
      <c r="C13" s="608"/>
      <c r="D13" s="608"/>
      <c r="E13" s="611" t="s">
        <v>812</v>
      </c>
      <c r="F13" s="608"/>
      <c r="G13" s="611" t="s">
        <v>813</v>
      </c>
      <c r="H13" s="608"/>
      <c r="I13" s="608"/>
    </row>
    <row r="14" spans="2:9" ht="15.75">
      <c r="B14" s="608"/>
      <c r="C14" s="608"/>
      <c r="D14" s="608"/>
      <c r="E14" s="612">
        <f>inputPrYr!C5-1</f>
        <v>2012</v>
      </c>
      <c r="F14" s="608"/>
      <c r="G14" s="612">
        <f>inputPrYr!C5</f>
        <v>2013</v>
      </c>
      <c r="H14" s="608"/>
      <c r="I14" s="608"/>
    </row>
    <row r="15" spans="2:9" ht="15.75">
      <c r="B15" s="609" t="s">
        <v>913</v>
      </c>
      <c r="C15" s="608"/>
      <c r="D15" s="608"/>
      <c r="E15" s="613">
        <f>'DebtSvs-library'!D48</f>
        <v>89976</v>
      </c>
      <c r="F15" s="608"/>
      <c r="G15" s="613">
        <f>'DebtSvs-library'!E81</f>
        <v>100519</v>
      </c>
      <c r="H15" s="608"/>
      <c r="I15" s="608"/>
    </row>
    <row r="16" spans="2:9" ht="15.75">
      <c r="B16" s="609" t="s">
        <v>104</v>
      </c>
      <c r="C16" s="608"/>
      <c r="D16" s="608"/>
      <c r="E16" s="613">
        <f>'DebtSvs-library'!D49</f>
        <v>982</v>
      </c>
      <c r="F16" s="608"/>
      <c r="G16" s="613">
        <f>'DebtSvs-library'!E49</f>
        <v>700</v>
      </c>
      <c r="H16" s="608"/>
      <c r="I16" s="608"/>
    </row>
    <row r="17" spans="2:9" ht="15.75">
      <c r="B17" s="609" t="s">
        <v>105</v>
      </c>
      <c r="C17" s="608"/>
      <c r="D17" s="608"/>
      <c r="E17" s="613">
        <f>'DebtSvs-library'!D50</f>
        <v>14500</v>
      </c>
      <c r="F17" s="608"/>
      <c r="G17" s="613">
        <f>'DebtSvs-library'!E50</f>
        <v>13788</v>
      </c>
      <c r="H17" s="608"/>
      <c r="I17" s="608"/>
    </row>
    <row r="18" spans="2:9" ht="15.75">
      <c r="B18" s="609" t="s">
        <v>914</v>
      </c>
      <c r="C18" s="608"/>
      <c r="D18" s="608"/>
      <c r="E18" s="613">
        <f>'DebtSvs-library'!D51</f>
        <v>383</v>
      </c>
      <c r="F18" s="608"/>
      <c r="G18" s="613">
        <f>'DebtSvs-library'!E51</f>
        <v>269</v>
      </c>
      <c r="H18" s="608"/>
      <c r="I18" s="608"/>
    </row>
    <row r="19" spans="2:9" ht="15.75">
      <c r="B19" s="609" t="s">
        <v>915</v>
      </c>
      <c r="C19" s="608"/>
      <c r="D19" s="608"/>
      <c r="E19" s="613">
        <f>'DebtSvs-library'!D52</f>
        <v>174</v>
      </c>
      <c r="F19" s="608"/>
      <c r="G19" s="613">
        <f>'DebtSvs-library'!E52</f>
        <v>151</v>
      </c>
      <c r="H19" s="608"/>
      <c r="I19" s="608"/>
    </row>
    <row r="20" spans="2:9" ht="15.75">
      <c r="B20" s="608" t="s">
        <v>245</v>
      </c>
      <c r="C20" s="608"/>
      <c r="D20" s="608"/>
      <c r="E20" s="613">
        <v>0</v>
      </c>
      <c r="F20" s="608"/>
      <c r="G20" s="613">
        <v>0</v>
      </c>
      <c r="H20" s="608"/>
      <c r="I20" s="608"/>
    </row>
    <row r="21" spans="2:9" ht="15.75">
      <c r="B21" s="608"/>
      <c r="C21" s="608"/>
      <c r="D21" s="608"/>
      <c r="E21" s="613">
        <v>0</v>
      </c>
      <c r="F21" s="608"/>
      <c r="G21" s="613">
        <v>0</v>
      </c>
      <c r="H21" s="608"/>
      <c r="I21" s="608"/>
    </row>
    <row r="22" spans="2:9" ht="15.75">
      <c r="B22" s="608" t="s">
        <v>814</v>
      </c>
      <c r="C22" s="608"/>
      <c r="D22" s="608"/>
      <c r="E22" s="614">
        <f>SUM(E15:E21)</f>
        <v>106015</v>
      </c>
      <c r="F22" s="608"/>
      <c r="G22" s="614">
        <f>SUM(G15:G21)</f>
        <v>115427</v>
      </c>
      <c r="H22" s="608"/>
      <c r="I22" s="608"/>
    </row>
    <row r="23" spans="2:9" ht="15.75">
      <c r="B23" s="608" t="s">
        <v>815</v>
      </c>
      <c r="C23" s="608"/>
      <c r="D23" s="608"/>
      <c r="E23" s="638">
        <f>G22-E22</f>
        <v>9412</v>
      </c>
      <c r="F23" s="608"/>
      <c r="G23" s="615"/>
      <c r="H23" s="608"/>
      <c r="I23" s="608"/>
    </row>
    <row r="24" spans="2:9" ht="15.75">
      <c r="B24" s="608" t="s">
        <v>816</v>
      </c>
      <c r="C24" s="608"/>
      <c r="D24" s="616" t="str">
        <f>IF((G22-E22)&gt;0,"Qualify","Not Qualify")</f>
        <v>Qualify</v>
      </c>
      <c r="E24" s="608"/>
      <c r="F24" s="608"/>
      <c r="G24" s="608"/>
      <c r="H24" s="608"/>
      <c r="I24" s="608"/>
    </row>
    <row r="25" spans="2:9" ht="15.75">
      <c r="B25" s="608"/>
      <c r="C25" s="608"/>
      <c r="D25" s="608"/>
      <c r="E25" s="608"/>
      <c r="F25" s="608"/>
      <c r="G25" s="608"/>
      <c r="H25" s="608"/>
      <c r="I25" s="608"/>
    </row>
    <row r="26" spans="2:9" ht="15.75">
      <c r="B26" s="610" t="s">
        <v>817</v>
      </c>
      <c r="C26" s="608"/>
      <c r="D26" s="608"/>
      <c r="E26" s="608"/>
      <c r="F26" s="608"/>
      <c r="G26" s="608"/>
      <c r="H26" s="608"/>
      <c r="I26" s="608"/>
    </row>
    <row r="27" spans="2:9" ht="15.75">
      <c r="B27" s="608" t="s">
        <v>818</v>
      </c>
      <c r="C27" s="608"/>
      <c r="D27" s="608"/>
      <c r="E27" s="613">
        <f>summ!D47</f>
        <v>11770713</v>
      </c>
      <c r="F27" s="608"/>
      <c r="G27" s="613">
        <f>summ!F47</f>
        <v>12452089</v>
      </c>
      <c r="H27" s="608"/>
      <c r="I27" s="608"/>
    </row>
    <row r="28" spans="2:9" ht="15.75">
      <c r="B28" s="608" t="s">
        <v>819</v>
      </c>
      <c r="C28" s="608"/>
      <c r="D28" s="608"/>
      <c r="E28" s="617" t="str">
        <f>IF(G27-E27&gt;0,"No","Yes")</f>
        <v>No</v>
      </c>
      <c r="F28" s="608"/>
      <c r="G28" s="608"/>
      <c r="H28" s="608"/>
      <c r="I28" s="608"/>
    </row>
    <row r="29" spans="2:9" ht="15.75">
      <c r="B29" s="608" t="s">
        <v>820</v>
      </c>
      <c r="C29" s="608"/>
      <c r="D29" s="608"/>
      <c r="E29" s="611">
        <f>summ!E17</f>
        <v>7.761</v>
      </c>
      <c r="F29" s="608"/>
      <c r="G29" s="618">
        <f>summ!H17</f>
        <v>8.072</v>
      </c>
      <c r="H29" s="608"/>
      <c r="I29" s="608"/>
    </row>
    <row r="30" spans="2:9" ht="15.75">
      <c r="B30" s="608" t="s">
        <v>821</v>
      </c>
      <c r="C30" s="608"/>
      <c r="D30" s="608"/>
      <c r="E30" s="619">
        <f>G29-E29</f>
        <v>0.31099999999999905</v>
      </c>
      <c r="F30" s="608"/>
      <c r="G30" s="608"/>
      <c r="H30" s="608"/>
      <c r="I30" s="608"/>
    </row>
    <row r="31" spans="2:9" ht="15.75">
      <c r="B31" s="608" t="s">
        <v>816</v>
      </c>
      <c r="C31" s="608"/>
      <c r="D31" s="620" t="str">
        <f>IF(E30&gt;=0,"Qualify","Not Qualify")</f>
        <v>Qualify</v>
      </c>
      <c r="E31" s="608"/>
      <c r="F31" s="608"/>
      <c r="G31" s="608"/>
      <c r="H31" s="608"/>
      <c r="I31" s="608"/>
    </row>
    <row r="32" spans="2:9" ht="15.75">
      <c r="B32" s="608"/>
      <c r="C32" s="608"/>
      <c r="D32" s="608"/>
      <c r="E32" s="608"/>
      <c r="F32" s="608"/>
      <c r="G32" s="608"/>
      <c r="H32" s="608"/>
      <c r="I32" s="608"/>
    </row>
    <row r="33" spans="2:9" ht="15.75">
      <c r="B33" s="608" t="s">
        <v>822</v>
      </c>
      <c r="C33" s="608"/>
      <c r="D33" s="608"/>
      <c r="E33" s="608"/>
      <c r="F33" s="621" t="str">
        <f>IF(D24="Not Qualify",IF(D31="Not Qualify",IF(D31="Not Qualify","Not Qualify","Qualify"),"Qualify"),"Qualify")</f>
        <v>Qualify</v>
      </c>
      <c r="G33" s="608"/>
      <c r="H33" s="608"/>
      <c r="I33" s="608"/>
    </row>
    <row r="34" spans="2:9" ht="15.75">
      <c r="B34" s="608"/>
      <c r="C34" s="608"/>
      <c r="D34" s="608"/>
      <c r="E34" s="608"/>
      <c r="F34" s="608"/>
      <c r="G34" s="608"/>
      <c r="H34" s="608"/>
      <c r="I34" s="608"/>
    </row>
    <row r="35" spans="2:9" ht="15.75">
      <c r="B35" s="608"/>
      <c r="C35" s="608"/>
      <c r="D35" s="608"/>
      <c r="E35" s="608"/>
      <c r="F35" s="608"/>
      <c r="G35" s="608"/>
      <c r="H35" s="608"/>
      <c r="I35" s="608"/>
    </row>
    <row r="36" spans="2:9" ht="37.5" customHeight="1">
      <c r="B36" s="750" t="s">
        <v>823</v>
      </c>
      <c r="C36" s="750"/>
      <c r="D36" s="750"/>
      <c r="E36" s="750"/>
      <c r="F36" s="750"/>
      <c r="G36" s="750"/>
      <c r="H36" s="750"/>
      <c r="I36" s="750"/>
    </row>
    <row r="37" spans="2:9" ht="15.75">
      <c r="B37" s="608"/>
      <c r="C37" s="608"/>
      <c r="D37" s="608"/>
      <c r="E37" s="608"/>
      <c r="F37" s="608"/>
      <c r="G37" s="608"/>
      <c r="H37" s="608"/>
      <c r="I37" s="608"/>
    </row>
    <row r="38" spans="2:9" ht="15.75">
      <c r="B38" s="608"/>
      <c r="C38" s="608"/>
      <c r="D38" s="608"/>
      <c r="E38" s="608"/>
      <c r="F38" s="608"/>
      <c r="G38" s="608"/>
      <c r="H38" s="608"/>
      <c r="I38" s="608"/>
    </row>
    <row r="39" spans="2:9" ht="15.75">
      <c r="B39" s="608"/>
      <c r="C39" s="608"/>
      <c r="D39" s="608"/>
      <c r="E39" s="608"/>
      <c r="F39" s="608"/>
      <c r="G39" s="608"/>
      <c r="H39" s="608"/>
      <c r="I39" s="608"/>
    </row>
    <row r="40" spans="2:9" ht="15.75">
      <c r="B40" s="608"/>
      <c r="C40" s="608"/>
      <c r="D40" s="608"/>
      <c r="E40" s="622" t="s">
        <v>111</v>
      </c>
      <c r="F40" s="623">
        <v>7</v>
      </c>
      <c r="G40" s="608"/>
      <c r="H40" s="608"/>
      <c r="I40" s="608"/>
    </row>
    <row r="41" spans="2:9" ht="15.75">
      <c r="B41" s="608"/>
      <c r="C41" s="608"/>
      <c r="D41" s="608"/>
      <c r="E41" s="608"/>
      <c r="F41" s="608"/>
      <c r="G41" s="608"/>
      <c r="H41" s="608"/>
      <c r="I41" s="608"/>
    </row>
    <row r="42" spans="2:9" ht="15.75">
      <c r="B42" s="608"/>
      <c r="C42" s="608"/>
      <c r="D42" s="608"/>
      <c r="E42" s="608"/>
      <c r="F42" s="608"/>
      <c r="G42" s="608"/>
      <c r="H42" s="608"/>
      <c r="I42" s="608"/>
    </row>
    <row r="43" spans="2:9" ht="15.75">
      <c r="B43" s="751" t="s">
        <v>824</v>
      </c>
      <c r="C43" s="752"/>
      <c r="D43" s="752"/>
      <c r="E43" s="752"/>
      <c r="F43" s="752"/>
      <c r="G43" s="752"/>
      <c r="H43" s="752"/>
      <c r="I43" s="752"/>
    </row>
    <row r="44" spans="2:9" ht="15.75">
      <c r="B44" s="608"/>
      <c r="C44" s="608"/>
      <c r="D44" s="608"/>
      <c r="E44" s="608"/>
      <c r="F44" s="608"/>
      <c r="G44" s="608"/>
      <c r="H44" s="608"/>
      <c r="I44" s="608"/>
    </row>
    <row r="45" spans="2:9" ht="15.75">
      <c r="B45" s="624" t="s">
        <v>825</v>
      </c>
      <c r="C45" s="608"/>
      <c r="D45" s="608"/>
      <c r="E45" s="608"/>
      <c r="F45" s="608"/>
      <c r="G45" s="608"/>
      <c r="H45" s="608"/>
      <c r="I45" s="608"/>
    </row>
    <row r="46" spans="2:9" ht="15.75">
      <c r="B46" s="624" t="str">
        <f>CONCATENATE("sources in your ",G14," library fund is not equal to or greater than the amount from the same")</f>
        <v>sources in your 2013 library fund is not equal to or greater than the amount from the same</v>
      </c>
      <c r="C46" s="608"/>
      <c r="D46" s="608"/>
      <c r="E46" s="608"/>
      <c r="F46" s="608"/>
      <c r="G46" s="608"/>
      <c r="H46" s="608"/>
      <c r="I46" s="608"/>
    </row>
    <row r="47" spans="2:9" ht="15.75">
      <c r="B47" s="624" t="str">
        <f>CONCATENATE("sources in ",E14,".")</f>
        <v>sources in 2012.</v>
      </c>
      <c r="C47" s="606"/>
      <c r="D47" s="606"/>
      <c r="E47" s="606"/>
      <c r="F47" s="606"/>
      <c r="G47" s="606"/>
      <c r="H47" s="606"/>
      <c r="I47" s="606"/>
    </row>
    <row r="48" spans="2:9" ht="15.75">
      <c r="B48" s="606"/>
      <c r="C48" s="606"/>
      <c r="D48" s="606"/>
      <c r="E48" s="606"/>
      <c r="F48" s="606"/>
      <c r="G48" s="606"/>
      <c r="H48" s="606"/>
      <c r="I48" s="606"/>
    </row>
    <row r="49" spans="2:9" ht="15.75">
      <c r="B49" s="624" t="s">
        <v>826</v>
      </c>
      <c r="C49" s="624"/>
      <c r="D49" s="625"/>
      <c r="E49" s="625"/>
      <c r="F49" s="625"/>
      <c r="G49" s="625"/>
      <c r="H49" s="625"/>
      <c r="I49" s="625"/>
    </row>
    <row r="50" spans="2:9" ht="15.75">
      <c r="B50" s="624" t="s">
        <v>827</v>
      </c>
      <c r="C50" s="624"/>
      <c r="D50" s="625"/>
      <c r="E50" s="625"/>
      <c r="F50" s="625"/>
      <c r="G50" s="625"/>
      <c r="H50" s="625"/>
      <c r="I50" s="625"/>
    </row>
    <row r="51" spans="2:9" ht="15.75">
      <c r="B51" s="624" t="s">
        <v>828</v>
      </c>
      <c r="C51" s="624"/>
      <c r="D51" s="625"/>
      <c r="E51" s="625"/>
      <c r="F51" s="625"/>
      <c r="G51" s="625"/>
      <c r="H51" s="625"/>
      <c r="I51" s="625"/>
    </row>
    <row r="52" spans="2:9" ht="15">
      <c r="B52" s="625"/>
      <c r="C52" s="625"/>
      <c r="D52" s="625"/>
      <c r="E52" s="625"/>
      <c r="F52" s="625"/>
      <c r="G52" s="625"/>
      <c r="H52" s="625"/>
      <c r="I52" s="625"/>
    </row>
    <row r="53" spans="2:9" ht="15.75">
      <c r="B53" s="626" t="s">
        <v>829</v>
      </c>
      <c r="C53" s="625"/>
      <c r="D53" s="625"/>
      <c r="E53" s="625"/>
      <c r="F53" s="625"/>
      <c r="G53" s="625"/>
      <c r="H53" s="625"/>
      <c r="I53" s="625"/>
    </row>
    <row r="54" spans="2:9" ht="15">
      <c r="B54" s="625"/>
      <c r="C54" s="625"/>
      <c r="D54" s="625"/>
      <c r="E54" s="625"/>
      <c r="F54" s="625"/>
      <c r="G54" s="625"/>
      <c r="H54" s="625"/>
      <c r="I54" s="625"/>
    </row>
    <row r="55" spans="2:9" ht="15.75">
      <c r="B55" s="624" t="s">
        <v>830</v>
      </c>
      <c r="C55" s="625"/>
      <c r="D55" s="625"/>
      <c r="E55" s="625"/>
      <c r="F55" s="625"/>
      <c r="G55" s="625"/>
      <c r="H55" s="625"/>
      <c r="I55" s="625"/>
    </row>
    <row r="56" spans="2:9" ht="15.75">
      <c r="B56" s="624" t="s">
        <v>831</v>
      </c>
      <c r="C56" s="625"/>
      <c r="D56" s="625"/>
      <c r="E56" s="625"/>
      <c r="F56" s="625"/>
      <c r="G56" s="625"/>
      <c r="H56" s="625"/>
      <c r="I56" s="625"/>
    </row>
    <row r="57" spans="2:9" ht="15">
      <c r="B57" s="625"/>
      <c r="C57" s="625"/>
      <c r="D57" s="625"/>
      <c r="E57" s="625"/>
      <c r="F57" s="625"/>
      <c r="G57" s="625"/>
      <c r="H57" s="625"/>
      <c r="I57" s="625"/>
    </row>
    <row r="58" spans="2:9" ht="15.75">
      <c r="B58" s="626" t="s">
        <v>832</v>
      </c>
      <c r="C58" s="624"/>
      <c r="D58" s="624"/>
      <c r="E58" s="624"/>
      <c r="F58" s="624"/>
      <c r="G58" s="625"/>
      <c r="H58" s="625"/>
      <c r="I58" s="625"/>
    </row>
    <row r="59" spans="2:9" ht="15.75">
      <c r="B59" s="624"/>
      <c r="C59" s="624"/>
      <c r="D59" s="624"/>
      <c r="E59" s="624"/>
      <c r="F59" s="624"/>
      <c r="G59" s="625"/>
      <c r="H59" s="625"/>
      <c r="I59" s="625"/>
    </row>
    <row r="60" spans="2:9" ht="15.75">
      <c r="B60" s="624" t="s">
        <v>833</v>
      </c>
      <c r="C60" s="624"/>
      <c r="D60" s="624"/>
      <c r="E60" s="624"/>
      <c r="F60" s="624"/>
      <c r="G60" s="625"/>
      <c r="H60" s="625"/>
      <c r="I60" s="625"/>
    </row>
    <row r="61" spans="2:9" ht="15.75">
      <c r="B61" s="624" t="s">
        <v>834</v>
      </c>
      <c r="C61" s="624"/>
      <c r="D61" s="624"/>
      <c r="E61" s="624"/>
      <c r="F61" s="624"/>
      <c r="G61" s="625"/>
      <c r="H61" s="625"/>
      <c r="I61" s="625"/>
    </row>
    <row r="62" spans="2:9" ht="15.75">
      <c r="B62" s="624" t="s">
        <v>835</v>
      </c>
      <c r="C62" s="624"/>
      <c r="D62" s="624"/>
      <c r="E62" s="624"/>
      <c r="F62" s="624"/>
      <c r="G62" s="625"/>
      <c r="H62" s="625"/>
      <c r="I62" s="625"/>
    </row>
    <row r="63" spans="2:9" ht="15.75">
      <c r="B63" s="624" t="s">
        <v>836</v>
      </c>
      <c r="C63" s="624"/>
      <c r="D63" s="624"/>
      <c r="E63" s="624"/>
      <c r="F63" s="624"/>
      <c r="G63" s="625"/>
      <c r="H63" s="625"/>
      <c r="I63" s="625"/>
    </row>
    <row r="64" spans="2:9" ht="15">
      <c r="B64" s="627"/>
      <c r="C64" s="627"/>
      <c r="D64" s="627"/>
      <c r="E64" s="627"/>
      <c r="F64" s="627"/>
      <c r="G64" s="625"/>
      <c r="H64" s="625"/>
      <c r="I64" s="625"/>
    </row>
    <row r="65" spans="2:9" ht="15.75">
      <c r="B65" s="624" t="s">
        <v>837</v>
      </c>
      <c r="C65" s="627"/>
      <c r="D65" s="627"/>
      <c r="E65" s="627"/>
      <c r="F65" s="627"/>
      <c r="G65" s="625"/>
      <c r="H65" s="625"/>
      <c r="I65" s="625"/>
    </row>
    <row r="66" spans="2:9" ht="15.75">
      <c r="B66" s="624" t="s">
        <v>838</v>
      </c>
      <c r="C66" s="627"/>
      <c r="D66" s="627"/>
      <c r="E66" s="627"/>
      <c r="F66" s="627"/>
      <c r="G66" s="625"/>
      <c r="H66" s="625"/>
      <c r="I66" s="625"/>
    </row>
    <row r="67" spans="2:9" ht="15">
      <c r="B67" s="627"/>
      <c r="C67" s="627"/>
      <c r="D67" s="627"/>
      <c r="E67" s="627"/>
      <c r="F67" s="627"/>
      <c r="G67" s="625"/>
      <c r="H67" s="625"/>
      <c r="I67" s="625"/>
    </row>
    <row r="68" spans="2:9" ht="15.75">
      <c r="B68" s="624" t="s">
        <v>839</v>
      </c>
      <c r="C68" s="627"/>
      <c r="D68" s="627"/>
      <c r="E68" s="627"/>
      <c r="F68" s="627"/>
      <c r="G68" s="625"/>
      <c r="H68" s="625"/>
      <c r="I68" s="625"/>
    </row>
    <row r="69" spans="2:9" ht="15.75">
      <c r="B69" s="624" t="s">
        <v>840</v>
      </c>
      <c r="C69" s="627"/>
      <c r="D69" s="627"/>
      <c r="E69" s="627"/>
      <c r="F69" s="627"/>
      <c r="G69" s="625"/>
      <c r="H69" s="625"/>
      <c r="I69" s="625"/>
    </row>
    <row r="70" spans="2:9" ht="15">
      <c r="B70" s="627"/>
      <c r="C70" s="627"/>
      <c r="D70" s="627"/>
      <c r="E70" s="627"/>
      <c r="F70" s="627"/>
      <c r="G70" s="625"/>
      <c r="H70" s="625"/>
      <c r="I70" s="625"/>
    </row>
    <row r="71" spans="2:9" ht="15.75">
      <c r="B71" s="626" t="s">
        <v>841</v>
      </c>
      <c r="C71" s="627"/>
      <c r="D71" s="627"/>
      <c r="E71" s="627"/>
      <c r="F71" s="627"/>
      <c r="G71" s="625"/>
      <c r="H71" s="625"/>
      <c r="I71" s="625"/>
    </row>
    <row r="72" spans="2:9" ht="15">
      <c r="B72" s="627"/>
      <c r="C72" s="627"/>
      <c r="D72" s="627"/>
      <c r="E72" s="627"/>
      <c r="F72" s="627"/>
      <c r="G72" s="625"/>
      <c r="H72" s="625"/>
      <c r="I72" s="625"/>
    </row>
    <row r="73" spans="2:9" ht="15.75">
      <c r="B73" s="624" t="s">
        <v>842</v>
      </c>
      <c r="C73" s="627"/>
      <c r="D73" s="627"/>
      <c r="E73" s="627"/>
      <c r="F73" s="627"/>
      <c r="G73" s="625"/>
      <c r="H73" s="625"/>
      <c r="I73" s="625"/>
    </row>
    <row r="74" spans="2:9" ht="15.75">
      <c r="B74" s="624" t="s">
        <v>843</v>
      </c>
      <c r="C74" s="627"/>
      <c r="D74" s="627"/>
      <c r="E74" s="627"/>
      <c r="F74" s="627"/>
      <c r="G74" s="625"/>
      <c r="H74" s="625"/>
      <c r="I74" s="625"/>
    </row>
    <row r="75" spans="2:9" ht="15">
      <c r="B75" s="627"/>
      <c r="C75" s="627"/>
      <c r="D75" s="627"/>
      <c r="E75" s="627"/>
      <c r="F75" s="627"/>
      <c r="G75" s="625"/>
      <c r="H75" s="625"/>
      <c r="I75" s="625"/>
    </row>
    <row r="76" spans="2:9" ht="15.75">
      <c r="B76" s="626" t="s">
        <v>844</v>
      </c>
      <c r="C76" s="627"/>
      <c r="D76" s="627"/>
      <c r="E76" s="627"/>
      <c r="F76" s="627"/>
      <c r="G76" s="625"/>
      <c r="H76" s="625"/>
      <c r="I76" s="625"/>
    </row>
    <row r="77" spans="2:9" ht="15">
      <c r="B77" s="627"/>
      <c r="C77" s="627"/>
      <c r="D77" s="627"/>
      <c r="E77" s="627"/>
      <c r="F77" s="627"/>
      <c r="G77" s="625"/>
      <c r="H77" s="625"/>
      <c r="I77" s="625"/>
    </row>
    <row r="78" spans="2:9" ht="15.75">
      <c r="B78" s="624" t="str">
        <f>CONCATENATE("If the ",G14," municipal budget has not been published and has not been submitted to the County")</f>
        <v>If the 2013 municipal budget has not been published and has not been submitted to the County</v>
      </c>
      <c r="C78" s="627"/>
      <c r="D78" s="627"/>
      <c r="E78" s="627"/>
      <c r="F78" s="627"/>
      <c r="G78" s="625"/>
      <c r="H78" s="625"/>
      <c r="I78" s="625"/>
    </row>
    <row r="79" spans="2:9" ht="15.75">
      <c r="B79" s="624" t="s">
        <v>845</v>
      </c>
      <c r="C79" s="627"/>
      <c r="D79" s="627"/>
      <c r="E79" s="627"/>
      <c r="F79" s="627"/>
      <c r="G79" s="625"/>
      <c r="H79" s="625"/>
      <c r="I79" s="625"/>
    </row>
    <row r="80" spans="2:9" ht="15">
      <c r="B80" s="627"/>
      <c r="C80" s="627"/>
      <c r="D80" s="627"/>
      <c r="E80" s="627"/>
      <c r="F80" s="627"/>
      <c r="G80" s="625"/>
      <c r="H80" s="625"/>
      <c r="I80" s="625"/>
    </row>
    <row r="81" spans="2:9" ht="15.75">
      <c r="B81" s="626" t="s">
        <v>371</v>
      </c>
      <c r="C81" s="627"/>
      <c r="D81" s="627"/>
      <c r="E81" s="627"/>
      <c r="F81" s="627"/>
      <c r="G81" s="625"/>
      <c r="H81" s="625"/>
      <c r="I81" s="625"/>
    </row>
    <row r="82" spans="2:9" ht="15">
      <c r="B82" s="627"/>
      <c r="C82" s="627"/>
      <c r="D82" s="627"/>
      <c r="E82" s="627"/>
      <c r="F82" s="627"/>
      <c r="G82" s="625"/>
      <c r="H82" s="625"/>
      <c r="I82" s="625"/>
    </row>
    <row r="83" spans="2:9" ht="15.75">
      <c r="B83" s="624" t="s">
        <v>846</v>
      </c>
      <c r="C83" s="627"/>
      <c r="D83" s="627"/>
      <c r="E83" s="627"/>
      <c r="F83" s="627"/>
      <c r="G83" s="625"/>
      <c r="H83" s="625"/>
      <c r="I83" s="625"/>
    </row>
    <row r="84" spans="2:9" ht="15.75">
      <c r="B84" s="624" t="str">
        <f>CONCATENATE("Budget Year ",G14," is equal to or greater than that for Current Year Estimate ",E14,".")</f>
        <v>Budget Year 2013 is equal to or greater than that for Current Year Estimate 2012.</v>
      </c>
      <c r="C84" s="627"/>
      <c r="D84" s="627"/>
      <c r="E84" s="627"/>
      <c r="F84" s="627"/>
      <c r="G84" s="625"/>
      <c r="H84" s="625"/>
      <c r="I84" s="625"/>
    </row>
    <row r="85" spans="2:9" ht="15">
      <c r="B85" s="627"/>
      <c r="C85" s="627"/>
      <c r="D85" s="627"/>
      <c r="E85" s="627"/>
      <c r="F85" s="627"/>
      <c r="G85" s="625"/>
      <c r="H85" s="625"/>
      <c r="I85" s="625"/>
    </row>
    <row r="86" spans="2:9" ht="15.75">
      <c r="B86" s="624" t="s">
        <v>847</v>
      </c>
      <c r="C86" s="627"/>
      <c r="D86" s="627"/>
      <c r="E86" s="627"/>
      <c r="F86" s="627"/>
      <c r="G86" s="625"/>
      <c r="H86" s="625"/>
      <c r="I86" s="625"/>
    </row>
    <row r="87" spans="2:9" ht="15.75">
      <c r="B87" s="624" t="s">
        <v>848</v>
      </c>
      <c r="C87" s="627"/>
      <c r="D87" s="627"/>
      <c r="E87" s="627"/>
      <c r="F87" s="627"/>
      <c r="G87" s="625"/>
      <c r="H87" s="625"/>
      <c r="I87" s="625"/>
    </row>
    <row r="88" spans="2:9" ht="15.75">
      <c r="B88" s="624" t="s">
        <v>849</v>
      </c>
      <c r="C88" s="627"/>
      <c r="D88" s="627"/>
      <c r="E88" s="627"/>
      <c r="F88" s="627"/>
      <c r="G88" s="625"/>
      <c r="H88" s="625"/>
      <c r="I88" s="625"/>
    </row>
    <row r="89" spans="2:9" ht="15.75">
      <c r="B89" s="624" t="str">
        <f>CONCATENATE("purpose for the previous (",E14,") year.")</f>
        <v>purpose for the previous (2012) year.</v>
      </c>
      <c r="C89" s="627"/>
      <c r="D89" s="627"/>
      <c r="E89" s="627"/>
      <c r="F89" s="627"/>
      <c r="G89" s="625"/>
      <c r="H89" s="625"/>
      <c r="I89" s="625"/>
    </row>
    <row r="90" spans="2:9" ht="15">
      <c r="B90" s="627"/>
      <c r="C90" s="627"/>
      <c r="D90" s="627"/>
      <c r="E90" s="627"/>
      <c r="F90" s="627"/>
      <c r="G90" s="625"/>
      <c r="H90" s="625"/>
      <c r="I90" s="625"/>
    </row>
    <row r="91" spans="2:9" ht="15.75">
      <c r="B91" s="624" t="str">
        <f>CONCATENATE("Next, look to see if delinquent tax for ",G14," is budgeted. Often this line is budgeted at $0 or left")</f>
        <v>Next, look to see if delinquent tax for 2013 is budgeted. Often this line is budgeted at $0 or left</v>
      </c>
      <c r="C91" s="627"/>
      <c r="D91" s="627"/>
      <c r="E91" s="627"/>
      <c r="F91" s="627"/>
      <c r="G91" s="625"/>
      <c r="H91" s="625"/>
      <c r="I91" s="625"/>
    </row>
    <row r="92" spans="2:9" ht="15.75">
      <c r="B92" s="624" t="s">
        <v>850</v>
      </c>
      <c r="C92" s="627"/>
      <c r="D92" s="627"/>
      <c r="E92" s="627"/>
      <c r="F92" s="627"/>
      <c r="G92" s="625"/>
      <c r="H92" s="625"/>
      <c r="I92" s="625"/>
    </row>
    <row r="93" spans="2:9" ht="15.75">
      <c r="B93" s="624" t="s">
        <v>851</v>
      </c>
      <c r="C93" s="627"/>
      <c r="D93" s="627"/>
      <c r="E93" s="627"/>
      <c r="F93" s="627"/>
      <c r="G93" s="625"/>
      <c r="H93" s="625"/>
      <c r="I93" s="625"/>
    </row>
    <row r="94" spans="2:9" ht="15.75">
      <c r="B94" s="624" t="s">
        <v>852</v>
      </c>
      <c r="C94" s="627"/>
      <c r="D94" s="627"/>
      <c r="E94" s="627"/>
      <c r="F94" s="627"/>
      <c r="G94" s="625"/>
      <c r="H94" s="625"/>
      <c r="I94" s="625"/>
    </row>
    <row r="95" spans="2:9" ht="15">
      <c r="B95" s="627"/>
      <c r="C95" s="627"/>
      <c r="D95" s="627"/>
      <c r="E95" s="627"/>
      <c r="F95" s="627"/>
      <c r="G95" s="625"/>
      <c r="H95" s="625"/>
      <c r="I95" s="625"/>
    </row>
    <row r="96" spans="2:9" ht="15.75">
      <c r="B96" s="626" t="s">
        <v>853</v>
      </c>
      <c r="C96" s="627"/>
      <c r="D96" s="627"/>
      <c r="E96" s="627"/>
      <c r="F96" s="627"/>
      <c r="G96" s="625"/>
      <c r="H96" s="625"/>
      <c r="I96" s="625"/>
    </row>
    <row r="97" spans="2:9" ht="15">
      <c r="B97" s="627"/>
      <c r="C97" s="627"/>
      <c r="D97" s="627"/>
      <c r="E97" s="627"/>
      <c r="F97" s="627"/>
      <c r="G97" s="625"/>
      <c r="H97" s="625"/>
      <c r="I97" s="625"/>
    </row>
    <row r="98" spans="2:9" ht="15.75">
      <c r="B98" s="624" t="s">
        <v>854</v>
      </c>
      <c r="C98" s="627"/>
      <c r="D98" s="627"/>
      <c r="E98" s="627"/>
      <c r="F98" s="627"/>
      <c r="G98" s="625"/>
      <c r="H98" s="625"/>
      <c r="I98" s="625"/>
    </row>
    <row r="99" spans="2:9" ht="15.75">
      <c r="B99" s="624" t="s">
        <v>855</v>
      </c>
      <c r="C99" s="627"/>
      <c r="D99" s="627"/>
      <c r="E99" s="627"/>
      <c r="F99" s="627"/>
      <c r="G99" s="625"/>
      <c r="H99" s="625"/>
      <c r="I99" s="625"/>
    </row>
    <row r="100" spans="2:9" ht="15">
      <c r="B100" s="627"/>
      <c r="C100" s="627"/>
      <c r="D100" s="627"/>
      <c r="E100" s="627"/>
      <c r="F100" s="627"/>
      <c r="G100" s="625"/>
      <c r="H100" s="625"/>
      <c r="I100" s="625"/>
    </row>
    <row r="101" spans="2:9" ht="15.75">
      <c r="B101" s="624" t="s">
        <v>856</v>
      </c>
      <c r="C101" s="627"/>
      <c r="D101" s="627"/>
      <c r="E101" s="627"/>
      <c r="F101" s="627"/>
      <c r="G101" s="625"/>
      <c r="H101" s="625"/>
      <c r="I101" s="625"/>
    </row>
    <row r="102" spans="2:9" ht="15.75">
      <c r="B102" s="624" t="s">
        <v>857</v>
      </c>
      <c r="C102" s="627"/>
      <c r="D102" s="627"/>
      <c r="E102" s="627"/>
      <c r="F102" s="627"/>
      <c r="G102" s="625"/>
      <c r="H102" s="625"/>
      <c r="I102" s="625"/>
    </row>
    <row r="103" spans="2:9" ht="15.75">
      <c r="B103" s="624" t="s">
        <v>858</v>
      </c>
      <c r="C103" s="627"/>
      <c r="D103" s="627"/>
      <c r="E103" s="627"/>
      <c r="F103" s="627"/>
      <c r="G103" s="625"/>
      <c r="H103" s="625"/>
      <c r="I103" s="625"/>
    </row>
    <row r="104" spans="2:9" ht="15.75">
      <c r="B104" s="624" t="s">
        <v>859</v>
      </c>
      <c r="C104" s="627"/>
      <c r="D104" s="627"/>
      <c r="E104" s="627"/>
      <c r="F104" s="627"/>
      <c r="G104" s="625"/>
      <c r="H104" s="625"/>
      <c r="I104" s="625"/>
    </row>
    <row r="105" spans="2:9" ht="15.75">
      <c r="B105" s="662" t="s">
        <v>908</v>
      </c>
      <c r="C105" s="663"/>
      <c r="D105" s="663"/>
      <c r="E105" s="663"/>
      <c r="F105" s="663"/>
      <c r="G105" s="625"/>
      <c r="H105" s="625"/>
      <c r="I105" s="625"/>
    </row>
    <row r="108" ht="15">
      <c r="G108" s="628"/>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N36"/>
  <sheetViews>
    <sheetView zoomScalePageLayoutView="0" workbookViewId="0" topLeftCell="A16">
      <selection activeCell="C37" sqref="C37"/>
    </sheetView>
  </sheetViews>
  <sheetFormatPr defaultColWidth="8.796875" defaultRowHeight="15"/>
  <cols>
    <col min="1" max="16384" width="8.8984375" style="1" customWidth="1"/>
  </cols>
  <sheetData>
    <row r="1" spans="1:7" ht="16.5" customHeight="1">
      <c r="A1" s="756" t="s">
        <v>1145</v>
      </c>
      <c r="B1" s="756"/>
      <c r="C1" s="756"/>
      <c r="D1" s="756"/>
      <c r="E1" s="756"/>
      <c r="F1" s="756"/>
      <c r="G1" s="756"/>
    </row>
    <row r="2" spans="1:7" ht="16.5" customHeight="1">
      <c r="A2" s="756"/>
      <c r="B2" s="756"/>
      <c r="C2" s="756"/>
      <c r="D2" s="756"/>
      <c r="E2" s="756"/>
      <c r="F2" s="756"/>
      <c r="G2" s="756"/>
    </row>
    <row r="3" spans="1:7" ht="16.5" customHeight="1">
      <c r="A3" s="757"/>
      <c r="B3" s="757"/>
      <c r="C3" s="757"/>
      <c r="D3" s="757"/>
      <c r="E3" s="757"/>
      <c r="F3" s="757"/>
      <c r="G3" s="757"/>
    </row>
    <row r="4" spans="1:7" ht="16.5" customHeight="1">
      <c r="A4" s="754" t="str">
        <f>CONCATENATE("AN ORDINANCE ATTESTING TO AN INCREASE IN TAX REVENUES FOR BUDGET YEAR ",inputPrYr!C5," FOR THE ",(inputPrYr!$D$2))</f>
        <v>AN ORDINANCE ATTESTING TO AN INCREASE IN TAX REVENUES FOR BUDGET YEAR 2013 FOR THE CITY OF ELLSWORTH</v>
      </c>
      <c r="B4" s="754"/>
      <c r="C4" s="754"/>
      <c r="D4" s="754"/>
      <c r="E4" s="754"/>
      <c r="F4" s="754"/>
      <c r="G4" s="754"/>
    </row>
    <row r="5" spans="1:7" ht="16.5" customHeight="1">
      <c r="A5" s="754"/>
      <c r="B5" s="754"/>
      <c r="C5" s="754"/>
      <c r="D5" s="754"/>
      <c r="E5" s="754"/>
      <c r="F5" s="754"/>
      <c r="G5" s="754"/>
    </row>
    <row r="6" spans="1:7" ht="16.5" customHeight="1">
      <c r="A6" s="756"/>
      <c r="B6" s="756"/>
      <c r="C6" s="756"/>
      <c r="D6" s="756"/>
      <c r="E6" s="756"/>
      <c r="F6" s="756"/>
      <c r="G6" s="756"/>
    </row>
    <row r="7" spans="1:14" ht="16.5" customHeight="1">
      <c r="A7" s="754" t="str">
        <f>CONCATENATE("WHEREAS, the ",(inputPrYr!$D$2)," must continue to provide services to protect the health, safety, and welfare of the citizens of this community; and")</f>
        <v>WHEREAS, the CITY OF ELLSWORTH must continue to provide services to protect the health, safety, and welfare of the citizens of this community; and</v>
      </c>
      <c r="B7" s="754"/>
      <c r="C7" s="754"/>
      <c r="D7" s="754"/>
      <c r="E7" s="754"/>
      <c r="F7" s="754"/>
      <c r="G7" s="754"/>
      <c r="H7" s="24"/>
      <c r="I7" s="24"/>
      <c r="J7" s="24"/>
      <c r="K7" s="24"/>
      <c r="L7" s="24"/>
      <c r="M7" s="24"/>
      <c r="N7" s="24"/>
    </row>
    <row r="8" spans="1:14" ht="16.5" customHeight="1">
      <c r="A8" s="754"/>
      <c r="B8" s="754"/>
      <c r="C8" s="754"/>
      <c r="D8" s="754"/>
      <c r="E8" s="754"/>
      <c r="F8" s="754"/>
      <c r="G8" s="754"/>
      <c r="H8" s="24"/>
      <c r="I8" s="24"/>
      <c r="J8" s="24"/>
      <c r="K8" s="24"/>
      <c r="L8" s="24"/>
      <c r="M8" s="24"/>
      <c r="N8" s="24"/>
    </row>
    <row r="9" spans="1:7" ht="16.5" customHeight="1">
      <c r="A9" s="25"/>
      <c r="B9" s="25"/>
      <c r="C9" s="25"/>
      <c r="D9" s="25"/>
      <c r="E9" s="25"/>
      <c r="F9" s="25"/>
      <c r="G9" s="25"/>
    </row>
    <row r="10" spans="1:7" ht="16.5" customHeight="1">
      <c r="A10" s="754" t="s">
        <v>231</v>
      </c>
      <c r="B10" s="754"/>
      <c r="C10" s="754"/>
      <c r="D10" s="754"/>
      <c r="E10" s="754"/>
      <c r="F10" s="754"/>
      <c r="G10" s="754"/>
    </row>
    <row r="11" spans="1:7" ht="16.5" customHeight="1">
      <c r="A11" s="754"/>
      <c r="B11" s="754"/>
      <c r="C11" s="754"/>
      <c r="D11" s="754"/>
      <c r="E11" s="754"/>
      <c r="F11" s="754"/>
      <c r="G11" s="754"/>
    </row>
    <row r="12" spans="1:7" ht="16.5" customHeight="1">
      <c r="A12" s="25"/>
      <c r="B12" s="25"/>
      <c r="C12" s="25"/>
      <c r="D12" s="25"/>
      <c r="E12" s="25"/>
      <c r="F12" s="25"/>
      <c r="G12" s="25"/>
    </row>
    <row r="13" spans="1:14" ht="16.5" customHeight="1">
      <c r="A13" s="754" t="str">
        <f>CONCATENATE("NOW THEREFORE, be it ordained by the Governing Body of the ",(inputPrYr!$D$2),":")</f>
        <v>NOW THEREFORE, be it ordained by the Governing Body of the CITY OF ELLSWORTH:</v>
      </c>
      <c r="B13" s="754"/>
      <c r="C13" s="754"/>
      <c r="D13" s="754"/>
      <c r="E13" s="754"/>
      <c r="F13" s="754"/>
      <c r="G13" s="754"/>
      <c r="H13" s="24"/>
      <c r="I13" s="24"/>
      <c r="J13" s="24"/>
      <c r="K13" s="24"/>
      <c r="L13" s="24"/>
      <c r="M13" s="24"/>
      <c r="N13" s="24"/>
    </row>
    <row r="14" spans="1:14" ht="16.5" customHeight="1">
      <c r="A14" s="754"/>
      <c r="B14" s="754"/>
      <c r="C14" s="754"/>
      <c r="D14" s="754"/>
      <c r="E14" s="754"/>
      <c r="F14" s="754"/>
      <c r="G14" s="754"/>
      <c r="H14" s="24"/>
      <c r="I14" s="24"/>
      <c r="J14" s="24"/>
      <c r="K14" s="24"/>
      <c r="L14" s="24"/>
      <c r="M14" s="24"/>
      <c r="N14" s="24"/>
    </row>
    <row r="15" spans="1:14" ht="16.5" customHeight="1">
      <c r="A15" s="75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ELLSWORTH  has scheduled a public hearing and has prepared the proposed budget necessary to fund city services from January 1, 2013 until December 31, 2013.</v>
      </c>
      <c r="B15" s="754"/>
      <c r="C15" s="754"/>
      <c r="D15" s="754"/>
      <c r="E15" s="754"/>
      <c r="F15" s="754"/>
      <c r="G15" s="754"/>
      <c r="H15" s="24"/>
      <c r="I15" s="24"/>
      <c r="J15" s="24"/>
      <c r="K15" s="24"/>
      <c r="L15" s="24"/>
      <c r="M15" s="24"/>
      <c r="N15" s="24"/>
    </row>
    <row r="16" spans="1:14" ht="16.5" customHeight="1">
      <c r="A16" s="754"/>
      <c r="B16" s="754"/>
      <c r="C16" s="754"/>
      <c r="D16" s="754"/>
      <c r="E16" s="754"/>
      <c r="F16" s="754"/>
      <c r="G16" s="754"/>
      <c r="H16" s="24"/>
      <c r="I16" s="24"/>
      <c r="J16" s="24"/>
      <c r="K16" s="24"/>
      <c r="L16" s="24"/>
      <c r="M16" s="24"/>
      <c r="N16" s="24"/>
    </row>
    <row r="17" spans="1:14" ht="16.5" customHeight="1">
      <c r="A17" s="754"/>
      <c r="B17" s="754"/>
      <c r="C17" s="754"/>
      <c r="D17" s="754"/>
      <c r="E17" s="754"/>
      <c r="F17" s="754"/>
      <c r="G17" s="754"/>
      <c r="H17" s="24"/>
      <c r="I17" s="24"/>
      <c r="J17" s="24"/>
      <c r="K17" s="24"/>
      <c r="L17" s="24"/>
      <c r="M17" s="24"/>
      <c r="N17" s="24"/>
    </row>
    <row r="18" spans="1:7" ht="16.5" customHeight="1">
      <c r="A18" s="24"/>
      <c r="B18" s="24"/>
      <c r="C18" s="24"/>
      <c r="D18" s="24"/>
      <c r="E18" s="24"/>
      <c r="F18" s="24"/>
      <c r="G18" s="24"/>
    </row>
    <row r="19" spans="1:7" ht="16.5" customHeight="1">
      <c r="A19" s="755" t="s">
        <v>275</v>
      </c>
      <c r="B19" s="755"/>
      <c r="C19" s="755"/>
      <c r="D19" s="755"/>
      <c r="E19" s="755"/>
      <c r="F19" s="755"/>
      <c r="G19" s="755"/>
    </row>
    <row r="20" spans="1:7" ht="16.5" customHeight="1">
      <c r="A20" s="755" t="s">
        <v>276</v>
      </c>
      <c r="B20" s="755"/>
      <c r="C20" s="755"/>
      <c r="D20" s="755"/>
      <c r="E20" s="755"/>
      <c r="F20" s="755"/>
      <c r="G20" s="755"/>
    </row>
    <row r="21" spans="1:7" ht="16.5" customHeight="1">
      <c r="A21" s="755" t="str">
        <f>CONCATENATE("necessary to budget property tax revenues in an amount exceeding the levy in the ",inputPrYr!C5-1,"")</f>
        <v>necessary to budget property tax revenues in an amount exceeding the levy in the 2012</v>
      </c>
      <c r="B21" s="755"/>
      <c r="C21" s="755"/>
      <c r="D21" s="755"/>
      <c r="E21" s="755"/>
      <c r="F21" s="755"/>
      <c r="G21" s="755"/>
    </row>
    <row r="22" spans="1:7" ht="16.5" customHeight="1">
      <c r="A22" s="26" t="s">
        <v>277</v>
      </c>
      <c r="B22" s="26"/>
      <c r="C22" s="26"/>
      <c r="D22" s="26"/>
      <c r="E22" s="26"/>
      <c r="F22" s="26"/>
      <c r="G22" s="26"/>
    </row>
    <row r="23" spans="1:7" ht="16.5" customHeight="1">
      <c r="A23" s="24"/>
      <c r="B23" s="24"/>
      <c r="C23" s="24"/>
      <c r="D23" s="24"/>
      <c r="E23" s="24"/>
      <c r="F23" s="24"/>
      <c r="G23" s="24"/>
    </row>
    <row r="24" spans="1:7" ht="16.5" customHeight="1">
      <c r="A24" s="754" t="s">
        <v>232</v>
      </c>
      <c r="B24" s="754"/>
      <c r="C24" s="754"/>
      <c r="D24" s="754"/>
      <c r="E24" s="754"/>
      <c r="F24" s="754"/>
      <c r="G24" s="754"/>
    </row>
    <row r="25" spans="1:7" ht="16.5" customHeight="1">
      <c r="A25" s="754"/>
      <c r="B25" s="754"/>
      <c r="C25" s="754"/>
      <c r="D25" s="754"/>
      <c r="E25" s="754"/>
      <c r="F25" s="754"/>
      <c r="G25" s="754"/>
    </row>
    <row r="26" spans="1:7" ht="16.5" customHeight="1">
      <c r="A26" s="24"/>
      <c r="B26" s="24"/>
      <c r="C26" s="24"/>
      <c r="D26" s="24"/>
      <c r="E26" s="24"/>
      <c r="F26" s="24"/>
      <c r="G26" s="24"/>
    </row>
    <row r="27" spans="1:7" ht="16.5" customHeight="1">
      <c r="A27" s="754" t="str">
        <f>CONCATENATE("Passed and approved by the Governing Body on this 13th day of August, ",inputPrYr!C5-1,".")</f>
        <v>Passed and approved by the Governing Body on this 13th day of August, 2012.</v>
      </c>
      <c r="B27" s="754"/>
      <c r="C27" s="754"/>
      <c r="D27" s="754"/>
      <c r="E27" s="754"/>
      <c r="F27" s="754"/>
      <c r="G27" s="754"/>
    </row>
    <row r="28" spans="1:7" ht="16.5" customHeight="1">
      <c r="A28" s="754"/>
      <c r="B28" s="754"/>
      <c r="C28" s="754"/>
      <c r="D28" s="754"/>
      <c r="E28" s="754"/>
      <c r="F28" s="754"/>
      <c r="G28" s="754"/>
    </row>
    <row r="29" ht="16.5" customHeight="1"/>
    <row r="30" spans="1:7" ht="16.5" customHeight="1">
      <c r="A30" s="753" t="s">
        <v>233</v>
      </c>
      <c r="B30" s="753"/>
      <c r="C30" s="753"/>
      <c r="D30" s="753"/>
      <c r="E30" s="753"/>
      <c r="F30" s="753"/>
      <c r="G30" s="753"/>
    </row>
    <row r="31" spans="1:7" ht="16.5" customHeight="1">
      <c r="A31" s="753" t="s">
        <v>237</v>
      </c>
      <c r="B31" s="753"/>
      <c r="C31" s="753"/>
      <c r="D31" s="753"/>
      <c r="E31" s="753"/>
      <c r="F31" s="753"/>
      <c r="G31" s="753"/>
    </row>
    <row r="32" ht="16.5" customHeight="1">
      <c r="A32" s="1" t="s">
        <v>234</v>
      </c>
    </row>
    <row r="33" ht="16.5" customHeight="1">
      <c r="B33" s="1" t="s">
        <v>235</v>
      </c>
    </row>
    <row r="34" ht="16.5" customHeight="1"/>
    <row r="35" ht="16.5" customHeight="1"/>
    <row r="36" ht="16.5" customHeight="1">
      <c r="A36" s="1" t="s">
        <v>236</v>
      </c>
    </row>
    <row r="37" ht="16.5" customHeight="1"/>
    <row r="38" ht="16.5" customHeight="1"/>
    <row r="39" ht="16.5" customHeight="1"/>
    <row r="40" ht="16.5" customHeight="1"/>
  </sheetData>
  <sheetProtection/>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26" t="s">
        <v>361</v>
      </c>
      <c r="B3" s="326"/>
      <c r="C3" s="326"/>
      <c r="D3" s="326"/>
      <c r="E3" s="326"/>
      <c r="F3" s="326"/>
      <c r="G3" s="326"/>
      <c r="H3" s="326"/>
      <c r="I3" s="326"/>
      <c r="J3" s="326"/>
      <c r="K3" s="326"/>
      <c r="L3" s="326"/>
    </row>
    <row r="5" ht="15">
      <c r="A5" s="327" t="s">
        <v>362</v>
      </c>
    </row>
    <row r="6" ht="15">
      <c r="A6" s="327" t="str">
        <f>CONCATENATE(inputPrYr!C5-2," 'total expenditures' exceed your ",inputPrYr!C5-2," 'budget authority.'")</f>
        <v>2011 'total expenditures' exceed your 2011 'budget authority.'</v>
      </c>
    </row>
    <row r="7" ht="15">
      <c r="A7" s="327"/>
    </row>
    <row r="8" ht="15">
      <c r="A8" s="327" t="s">
        <v>363</v>
      </c>
    </row>
    <row r="9" ht="15">
      <c r="A9" s="327" t="s">
        <v>364</v>
      </c>
    </row>
    <row r="10" ht="15">
      <c r="A10" s="327" t="s">
        <v>365</v>
      </c>
    </row>
    <row r="11" ht="15">
      <c r="A11" s="327"/>
    </row>
    <row r="12" ht="15">
      <c r="A12" s="327"/>
    </row>
    <row r="13" ht="15">
      <c r="A13" s="328" t="s">
        <v>366</v>
      </c>
    </row>
    <row r="15" ht="15">
      <c r="A15" s="327" t="s">
        <v>367</v>
      </c>
    </row>
    <row r="16" ht="15">
      <c r="A16" s="327" t="str">
        <f>CONCATENATE("(i.e. an audit has not been completed, or the ",inputPrYr!C5," adopted")</f>
        <v>(i.e. an audit has not been completed, or the 2013 adopted</v>
      </c>
    </row>
    <row r="17" ht="15">
      <c r="A17" s="327" t="s">
        <v>368</v>
      </c>
    </row>
    <row r="18" ht="15">
      <c r="A18" s="327" t="s">
        <v>369</v>
      </c>
    </row>
    <row r="19" ht="15">
      <c r="A19" s="327" t="s">
        <v>370</v>
      </c>
    </row>
    <row r="21" ht="15">
      <c r="A21" s="328" t="s">
        <v>371</v>
      </c>
    </row>
    <row r="22" ht="15">
      <c r="A22" s="328"/>
    </row>
    <row r="23" ht="15">
      <c r="A23" s="327" t="s">
        <v>372</v>
      </c>
    </row>
    <row r="24" ht="15">
      <c r="A24" s="327" t="s">
        <v>373</v>
      </c>
    </row>
    <row r="25" ht="15">
      <c r="A25" s="327" t="str">
        <f>CONCATENATE("particular fund.  If your ",inputPrYr!C5-2," budget was amended, did you")</f>
        <v>particular fund.  If your 2011 budget was amended, did you</v>
      </c>
    </row>
    <row r="26" ht="15">
      <c r="A26" s="327" t="s">
        <v>374</v>
      </c>
    </row>
    <row r="27" ht="15">
      <c r="A27" s="327"/>
    </row>
    <row r="28" ht="15">
      <c r="A28" s="327" t="str">
        <f>CONCATENATE("Next, look to see if any of your ",inputPrYr!C5-2," expenditures can be")</f>
        <v>Next, look to see if any of your 2011 expenditures can be</v>
      </c>
    </row>
    <row r="29" ht="15">
      <c r="A29" s="327" t="s">
        <v>375</v>
      </c>
    </row>
    <row r="30" ht="15">
      <c r="A30" s="327" t="s">
        <v>376</v>
      </c>
    </row>
    <row r="31" ht="15">
      <c r="A31" s="327" t="s">
        <v>377</v>
      </c>
    </row>
    <row r="32" ht="15">
      <c r="A32" s="327"/>
    </row>
    <row r="33" ht="15">
      <c r="A33" s="327" t="str">
        <f>CONCATENATE("Additionally, do your ",inputPrYr!C5-2," receipts contain a reimbursement")</f>
        <v>Additionally, do your 2011 receipts contain a reimbursement</v>
      </c>
    </row>
    <row r="34" ht="15">
      <c r="A34" s="327" t="s">
        <v>378</v>
      </c>
    </row>
    <row r="35" ht="15">
      <c r="A35" s="327" t="s">
        <v>379</v>
      </c>
    </row>
    <row r="36" ht="15">
      <c r="A36" s="327"/>
    </row>
    <row r="37" ht="15">
      <c r="A37" s="327" t="s">
        <v>380</v>
      </c>
    </row>
    <row r="38" ht="15">
      <c r="A38" s="327" t="s">
        <v>381</v>
      </c>
    </row>
    <row r="39" ht="15">
      <c r="A39" s="327" t="s">
        <v>382</v>
      </c>
    </row>
    <row r="40" ht="15">
      <c r="A40" s="327" t="s">
        <v>383</v>
      </c>
    </row>
    <row r="41" ht="15">
      <c r="A41" s="327" t="s">
        <v>384</v>
      </c>
    </row>
    <row r="42" ht="15">
      <c r="A42" s="327" t="s">
        <v>385</v>
      </c>
    </row>
    <row r="43" ht="15">
      <c r="A43" s="327" t="s">
        <v>386</v>
      </c>
    </row>
    <row r="44" ht="15">
      <c r="A44" s="327" t="s">
        <v>387</v>
      </c>
    </row>
    <row r="45" ht="15">
      <c r="A45" s="327"/>
    </row>
    <row r="46" ht="15">
      <c r="A46" s="327" t="s">
        <v>388</v>
      </c>
    </row>
    <row r="47" ht="15">
      <c r="A47" s="327" t="s">
        <v>389</v>
      </c>
    </row>
    <row r="48" ht="15">
      <c r="A48" s="327" t="s">
        <v>390</v>
      </c>
    </row>
    <row r="49" ht="15">
      <c r="A49" s="327"/>
    </row>
    <row r="50" ht="15">
      <c r="A50" s="327" t="s">
        <v>391</v>
      </c>
    </row>
    <row r="51" ht="15">
      <c r="A51" s="327" t="s">
        <v>392</v>
      </c>
    </row>
    <row r="52" ht="15">
      <c r="A52" s="327" t="s">
        <v>393</v>
      </c>
    </row>
    <row r="53" ht="15">
      <c r="A53" s="327"/>
    </row>
    <row r="54" ht="15">
      <c r="A54" s="328" t="s">
        <v>394</v>
      </c>
    </row>
    <row r="55" ht="15">
      <c r="A55" s="327"/>
    </row>
    <row r="56" ht="15">
      <c r="A56" s="327" t="s">
        <v>395</v>
      </c>
    </row>
    <row r="57" ht="15">
      <c r="A57" s="327" t="s">
        <v>396</v>
      </c>
    </row>
    <row r="58" ht="15">
      <c r="A58" s="327" t="s">
        <v>397</v>
      </c>
    </row>
    <row r="59" ht="15">
      <c r="A59" s="327" t="s">
        <v>398</v>
      </c>
    </row>
    <row r="60" ht="15">
      <c r="A60" s="327" t="s">
        <v>399</v>
      </c>
    </row>
    <row r="61" ht="15">
      <c r="A61" s="327" t="s">
        <v>400</v>
      </c>
    </row>
    <row r="62" ht="15">
      <c r="A62" s="327" t="s">
        <v>401</v>
      </c>
    </row>
    <row r="63" ht="15">
      <c r="A63" s="327" t="s">
        <v>402</v>
      </c>
    </row>
    <row r="64" ht="15">
      <c r="A64" s="327" t="s">
        <v>403</v>
      </c>
    </row>
    <row r="65" ht="15">
      <c r="A65" s="327" t="s">
        <v>404</v>
      </c>
    </row>
    <row r="66" ht="15">
      <c r="A66" s="327" t="s">
        <v>405</v>
      </c>
    </row>
    <row r="67" ht="15">
      <c r="A67" s="327" t="s">
        <v>406</v>
      </c>
    </row>
    <row r="68" ht="15">
      <c r="A68" s="327" t="s">
        <v>407</v>
      </c>
    </row>
    <row r="69" ht="15">
      <c r="A69" s="327"/>
    </row>
    <row r="70" ht="15">
      <c r="A70" s="327" t="s">
        <v>408</v>
      </c>
    </row>
    <row r="71" ht="15">
      <c r="A71" s="327" t="s">
        <v>409</v>
      </c>
    </row>
    <row r="72" ht="15">
      <c r="A72" s="327" t="s">
        <v>410</v>
      </c>
    </row>
    <row r="73" ht="15">
      <c r="A73" s="327"/>
    </row>
    <row r="74" ht="15">
      <c r="A74" s="328" t="str">
        <f>CONCATENATE("What if the ",inputPrYr!C5-2," financial records have been closed?")</f>
        <v>What if the 2011 financial records have been closed?</v>
      </c>
    </row>
    <row r="76" ht="15">
      <c r="A76" s="327" t="s">
        <v>411</v>
      </c>
    </row>
    <row r="77" ht="15">
      <c r="A77" s="327" t="str">
        <f>CONCATENATE("(i.e. an audit for ",inputPrYr!C5-2," has been completed, or the ",inputPrYr!C5)</f>
        <v>(i.e. an audit for 2011 has been completed, or the 2013</v>
      </c>
    </row>
    <row r="78" ht="15">
      <c r="A78" s="327" t="s">
        <v>412</v>
      </c>
    </row>
    <row r="79" ht="15">
      <c r="A79" s="327" t="s">
        <v>413</v>
      </c>
    </row>
    <row r="80" ht="15">
      <c r="A80" s="327"/>
    </row>
    <row r="81" ht="15">
      <c r="A81" s="327" t="s">
        <v>414</v>
      </c>
    </row>
    <row r="82" ht="15">
      <c r="A82" s="327" t="s">
        <v>415</v>
      </c>
    </row>
    <row r="83" ht="15">
      <c r="A83" s="327" t="s">
        <v>416</v>
      </c>
    </row>
    <row r="84" ht="15">
      <c r="A84" s="327"/>
    </row>
    <row r="85" ht="15">
      <c r="A85" s="327" t="s">
        <v>417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26" t="s">
        <v>418</v>
      </c>
      <c r="B3" s="326"/>
      <c r="C3" s="326"/>
      <c r="D3" s="326"/>
      <c r="E3" s="326"/>
      <c r="F3" s="326"/>
      <c r="G3" s="326"/>
      <c r="H3" s="329"/>
      <c r="I3" s="329"/>
      <c r="J3" s="329"/>
    </row>
    <row r="5" ht="15">
      <c r="A5" s="327" t="s">
        <v>419</v>
      </c>
    </row>
    <row r="6" ht="15">
      <c r="A6" t="str">
        <f>CONCATENATE(inputPrYr!C5-2," expenditures show that you finished the year with a ")</f>
        <v>2011 expenditures show that you finished the year with a </v>
      </c>
    </row>
    <row r="7" ht="15">
      <c r="A7" t="s">
        <v>420</v>
      </c>
    </row>
    <row r="9" ht="15">
      <c r="A9" t="s">
        <v>421</v>
      </c>
    </row>
    <row r="10" ht="15">
      <c r="A10" t="s">
        <v>422</v>
      </c>
    </row>
    <row r="11" ht="15">
      <c r="A11" t="s">
        <v>423</v>
      </c>
    </row>
    <row r="13" ht="15">
      <c r="A13" s="328" t="s">
        <v>424</v>
      </c>
    </row>
    <row r="14" ht="15">
      <c r="A14" s="328"/>
    </row>
    <row r="15" ht="15">
      <c r="A15" s="327" t="s">
        <v>425</v>
      </c>
    </row>
    <row r="16" ht="15">
      <c r="A16" s="327" t="s">
        <v>426</v>
      </c>
    </row>
    <row r="17" ht="15">
      <c r="A17" s="327" t="s">
        <v>427</v>
      </c>
    </row>
    <row r="18" ht="15">
      <c r="A18" s="327"/>
    </row>
    <row r="19" ht="15">
      <c r="A19" s="328" t="s">
        <v>428</v>
      </c>
    </row>
    <row r="20" ht="15">
      <c r="A20" s="328"/>
    </row>
    <row r="21" ht="15">
      <c r="A21" s="327" t="s">
        <v>429</v>
      </c>
    </row>
    <row r="22" ht="15">
      <c r="A22" s="327" t="s">
        <v>430</v>
      </c>
    </row>
    <row r="23" ht="15">
      <c r="A23" s="327" t="s">
        <v>431</v>
      </c>
    </row>
    <row r="24" ht="15">
      <c r="A24" s="327"/>
    </row>
    <row r="25" ht="15">
      <c r="A25" s="328" t="s">
        <v>432</v>
      </c>
    </row>
    <row r="26" ht="15">
      <c r="A26" s="328"/>
    </row>
    <row r="27" ht="15">
      <c r="A27" s="327" t="s">
        <v>433</v>
      </c>
    </row>
    <row r="28" ht="15">
      <c r="A28" s="327" t="s">
        <v>434</v>
      </c>
    </row>
    <row r="29" ht="15">
      <c r="A29" s="327" t="s">
        <v>435</v>
      </c>
    </row>
    <row r="30" ht="15">
      <c r="A30" s="327"/>
    </row>
    <row r="31" ht="15">
      <c r="A31" s="328" t="s">
        <v>436</v>
      </c>
    </row>
    <row r="32" ht="15">
      <c r="A32" s="328"/>
    </row>
    <row r="33" spans="1:8" ht="15">
      <c r="A33" s="327" t="str">
        <f>CONCATENATE("If your financial records for ",inputPrYr!C5-2," are not closed")</f>
        <v>If your financial records for 2011 are not closed</v>
      </c>
      <c r="B33" s="327"/>
      <c r="C33" s="327"/>
      <c r="D33" s="327"/>
      <c r="E33" s="327"/>
      <c r="F33" s="327"/>
      <c r="G33" s="327"/>
      <c r="H33" s="327"/>
    </row>
    <row r="34" spans="1:8" ht="15">
      <c r="A34" s="327" t="str">
        <f>CONCATENATE("(i.e. an audit has not been completed, or the ",inputPrYr!C5," adopted ")</f>
        <v>(i.e. an audit has not been completed, or the 2013 adopted </v>
      </c>
      <c r="B34" s="327"/>
      <c r="C34" s="327"/>
      <c r="D34" s="327"/>
      <c r="E34" s="327"/>
      <c r="F34" s="327"/>
      <c r="G34" s="327"/>
      <c r="H34" s="327"/>
    </row>
    <row r="35" spans="1:8" ht="15">
      <c r="A35" s="327" t="s">
        <v>437</v>
      </c>
      <c r="B35" s="327"/>
      <c r="C35" s="327"/>
      <c r="D35" s="327"/>
      <c r="E35" s="327"/>
      <c r="F35" s="327"/>
      <c r="G35" s="327"/>
      <c r="H35" s="327"/>
    </row>
    <row r="36" spans="1:8" ht="15">
      <c r="A36" s="327" t="s">
        <v>438</v>
      </c>
      <c r="B36" s="327"/>
      <c r="C36" s="327"/>
      <c r="D36" s="327"/>
      <c r="E36" s="327"/>
      <c r="F36" s="327"/>
      <c r="G36" s="327"/>
      <c r="H36" s="327"/>
    </row>
    <row r="37" spans="1:8" ht="15">
      <c r="A37" s="327" t="s">
        <v>439</v>
      </c>
      <c r="B37" s="327"/>
      <c r="C37" s="327"/>
      <c r="D37" s="327"/>
      <c r="E37" s="327"/>
      <c r="F37" s="327"/>
      <c r="G37" s="327"/>
      <c r="H37" s="327"/>
    </row>
    <row r="38" spans="1:8" ht="15">
      <c r="A38" s="327" t="s">
        <v>440</v>
      </c>
      <c r="B38" s="327"/>
      <c r="C38" s="327"/>
      <c r="D38" s="327"/>
      <c r="E38" s="327"/>
      <c r="F38" s="327"/>
      <c r="G38" s="327"/>
      <c r="H38" s="327"/>
    </row>
    <row r="39" spans="1:8" ht="15">
      <c r="A39" s="327" t="s">
        <v>441</v>
      </c>
      <c r="B39" s="327"/>
      <c r="C39" s="327"/>
      <c r="D39" s="327"/>
      <c r="E39" s="327"/>
      <c r="F39" s="327"/>
      <c r="G39" s="327"/>
      <c r="H39" s="327"/>
    </row>
    <row r="40" spans="1:8" ht="15">
      <c r="A40" s="327"/>
      <c r="B40" s="327"/>
      <c r="C40" s="327"/>
      <c r="D40" s="327"/>
      <c r="E40" s="327"/>
      <c r="F40" s="327"/>
      <c r="G40" s="327"/>
      <c r="H40" s="327"/>
    </row>
    <row r="41" spans="1:8" ht="15">
      <c r="A41" s="327" t="s">
        <v>442</v>
      </c>
      <c r="B41" s="327"/>
      <c r="C41" s="327"/>
      <c r="D41" s="327"/>
      <c r="E41" s="327"/>
      <c r="F41" s="327"/>
      <c r="G41" s="327"/>
      <c r="H41" s="327"/>
    </row>
    <row r="42" spans="1:8" ht="15">
      <c r="A42" s="327" t="s">
        <v>443</v>
      </c>
      <c r="B42" s="327"/>
      <c r="C42" s="327"/>
      <c r="D42" s="327"/>
      <c r="E42" s="327"/>
      <c r="F42" s="327"/>
      <c r="G42" s="327"/>
      <c r="H42" s="327"/>
    </row>
    <row r="43" spans="1:8" ht="15">
      <c r="A43" s="327" t="s">
        <v>444</v>
      </c>
      <c r="B43" s="327"/>
      <c r="C43" s="327"/>
      <c r="D43" s="327"/>
      <c r="E43" s="327"/>
      <c r="F43" s="327"/>
      <c r="G43" s="327"/>
      <c r="H43" s="327"/>
    </row>
    <row r="44" spans="1:8" ht="15">
      <c r="A44" s="327" t="s">
        <v>445</v>
      </c>
      <c r="B44" s="327"/>
      <c r="C44" s="327"/>
      <c r="D44" s="327"/>
      <c r="E44" s="327"/>
      <c r="F44" s="327"/>
      <c r="G44" s="327"/>
      <c r="H44" s="327"/>
    </row>
    <row r="45" spans="1:8" ht="15">
      <c r="A45" s="327"/>
      <c r="B45" s="327"/>
      <c r="C45" s="327"/>
      <c r="D45" s="327"/>
      <c r="E45" s="327"/>
      <c r="F45" s="327"/>
      <c r="G45" s="327"/>
      <c r="H45" s="327"/>
    </row>
    <row r="46" spans="1:8" ht="15">
      <c r="A46" s="327" t="s">
        <v>446</v>
      </c>
      <c r="B46" s="327"/>
      <c r="C46" s="327"/>
      <c r="D46" s="327"/>
      <c r="E46" s="327"/>
      <c r="F46" s="327"/>
      <c r="G46" s="327"/>
      <c r="H46" s="327"/>
    </row>
    <row r="47" spans="1:8" ht="15">
      <c r="A47" s="327" t="s">
        <v>447</v>
      </c>
      <c r="B47" s="327"/>
      <c r="C47" s="327"/>
      <c r="D47" s="327"/>
      <c r="E47" s="327"/>
      <c r="F47" s="327"/>
      <c r="G47" s="327"/>
      <c r="H47" s="327"/>
    </row>
    <row r="48" spans="1:8" ht="15">
      <c r="A48" s="327" t="s">
        <v>448</v>
      </c>
      <c r="B48" s="327"/>
      <c r="C48" s="327"/>
      <c r="D48" s="327"/>
      <c r="E48" s="327"/>
      <c r="F48" s="327"/>
      <c r="G48" s="327"/>
      <c r="H48" s="327"/>
    </row>
    <row r="49" spans="1:8" ht="15">
      <c r="A49" s="327" t="s">
        <v>449</v>
      </c>
      <c r="B49" s="327"/>
      <c r="C49" s="327"/>
      <c r="D49" s="327"/>
      <c r="E49" s="327"/>
      <c r="F49" s="327"/>
      <c r="G49" s="327"/>
      <c r="H49" s="327"/>
    </row>
    <row r="50" spans="1:8" ht="15">
      <c r="A50" s="327" t="s">
        <v>450</v>
      </c>
      <c r="B50" s="327"/>
      <c r="C50" s="327"/>
      <c r="D50" s="327"/>
      <c r="E50" s="327"/>
      <c r="F50" s="327"/>
      <c r="G50" s="327"/>
      <c r="H50" s="327"/>
    </row>
    <row r="51" spans="1:8" ht="15">
      <c r="A51" s="327"/>
      <c r="B51" s="327"/>
      <c r="C51" s="327"/>
      <c r="D51" s="327"/>
      <c r="E51" s="327"/>
      <c r="F51" s="327"/>
      <c r="G51" s="327"/>
      <c r="H51" s="327"/>
    </row>
    <row r="52" spans="1:8" ht="15">
      <c r="A52" s="328" t="s">
        <v>451</v>
      </c>
      <c r="B52" s="328"/>
      <c r="C52" s="328"/>
      <c r="D52" s="328"/>
      <c r="E52" s="328"/>
      <c r="F52" s="328"/>
      <c r="G52" s="328"/>
      <c r="H52" s="327"/>
    </row>
    <row r="53" spans="1:8" ht="15">
      <c r="A53" s="328" t="s">
        <v>452</v>
      </c>
      <c r="B53" s="328"/>
      <c r="C53" s="328"/>
      <c r="D53" s="328"/>
      <c r="E53" s="328"/>
      <c r="F53" s="328"/>
      <c r="G53" s="328"/>
      <c r="H53" s="327"/>
    </row>
    <row r="54" spans="1:8" ht="15">
      <c r="A54" s="327"/>
      <c r="B54" s="327"/>
      <c r="C54" s="327"/>
      <c r="D54" s="327"/>
      <c r="E54" s="327"/>
      <c r="F54" s="327"/>
      <c r="G54" s="327"/>
      <c r="H54" s="327"/>
    </row>
    <row r="55" spans="1:8" ht="15">
      <c r="A55" s="327" t="s">
        <v>453</v>
      </c>
      <c r="B55" s="327"/>
      <c r="C55" s="327"/>
      <c r="D55" s="327"/>
      <c r="E55" s="327"/>
      <c r="F55" s="327"/>
      <c r="G55" s="327"/>
      <c r="H55" s="327"/>
    </row>
    <row r="56" spans="1:8" ht="15">
      <c r="A56" s="327" t="s">
        <v>454</v>
      </c>
      <c r="B56" s="327"/>
      <c r="C56" s="327"/>
      <c r="D56" s="327"/>
      <c r="E56" s="327"/>
      <c r="F56" s="327"/>
      <c r="G56" s="327"/>
      <c r="H56" s="327"/>
    </row>
    <row r="57" spans="1:8" ht="15">
      <c r="A57" s="327" t="s">
        <v>455</v>
      </c>
      <c r="B57" s="327"/>
      <c r="C57" s="327"/>
      <c r="D57" s="327"/>
      <c r="E57" s="327"/>
      <c r="F57" s="327"/>
      <c r="G57" s="327"/>
      <c r="H57" s="327"/>
    </row>
    <row r="58" spans="1:8" ht="15">
      <c r="A58" s="327" t="s">
        <v>456</v>
      </c>
      <c r="B58" s="327"/>
      <c r="C58" s="327"/>
      <c r="D58" s="327"/>
      <c r="E58" s="327"/>
      <c r="F58" s="327"/>
      <c r="G58" s="327"/>
      <c r="H58" s="327"/>
    </row>
    <row r="59" spans="1:8" ht="15">
      <c r="A59" s="327"/>
      <c r="B59" s="327"/>
      <c r="C59" s="327"/>
      <c r="D59" s="327"/>
      <c r="E59" s="327"/>
      <c r="F59" s="327"/>
      <c r="G59" s="327"/>
      <c r="H59" s="327"/>
    </row>
    <row r="60" spans="1:8" ht="15">
      <c r="A60" s="327" t="s">
        <v>457</v>
      </c>
      <c r="B60" s="327"/>
      <c r="C60" s="327"/>
      <c r="D60" s="327"/>
      <c r="E60" s="327"/>
      <c r="F60" s="327"/>
      <c r="G60" s="327"/>
      <c r="H60" s="327"/>
    </row>
    <row r="61" spans="1:8" ht="15">
      <c r="A61" s="327" t="s">
        <v>458</v>
      </c>
      <c r="B61" s="327"/>
      <c r="C61" s="327"/>
      <c r="D61" s="327"/>
      <c r="E61" s="327"/>
      <c r="F61" s="327"/>
      <c r="G61" s="327"/>
      <c r="H61" s="327"/>
    </row>
    <row r="62" spans="1:8" ht="15">
      <c r="A62" s="327" t="s">
        <v>459</v>
      </c>
      <c r="B62" s="327"/>
      <c r="C62" s="327"/>
      <c r="D62" s="327"/>
      <c r="E62" s="327"/>
      <c r="F62" s="327"/>
      <c r="G62" s="327"/>
      <c r="H62" s="327"/>
    </row>
    <row r="63" spans="1:8" ht="15">
      <c r="A63" s="327" t="s">
        <v>460</v>
      </c>
      <c r="B63" s="327"/>
      <c r="C63" s="327"/>
      <c r="D63" s="327"/>
      <c r="E63" s="327"/>
      <c r="F63" s="327"/>
      <c r="G63" s="327"/>
      <c r="H63" s="327"/>
    </row>
    <row r="64" spans="1:8" ht="15">
      <c r="A64" s="327" t="s">
        <v>461</v>
      </c>
      <c r="B64" s="327"/>
      <c r="C64" s="327"/>
      <c r="D64" s="327"/>
      <c r="E64" s="327"/>
      <c r="F64" s="327"/>
      <c r="G64" s="327"/>
      <c r="H64" s="327"/>
    </row>
    <row r="65" spans="1:8" ht="15">
      <c r="A65" s="327" t="s">
        <v>462</v>
      </c>
      <c r="B65" s="327"/>
      <c r="C65" s="327"/>
      <c r="D65" s="327"/>
      <c r="E65" s="327"/>
      <c r="F65" s="327"/>
      <c r="G65" s="327"/>
      <c r="H65" s="327"/>
    </row>
    <row r="66" spans="1:8" ht="15">
      <c r="A66" s="327"/>
      <c r="B66" s="327"/>
      <c r="C66" s="327"/>
      <c r="D66" s="327"/>
      <c r="E66" s="327"/>
      <c r="F66" s="327"/>
      <c r="G66" s="327"/>
      <c r="H66" s="327"/>
    </row>
    <row r="67" spans="1:8" ht="15">
      <c r="A67" s="327" t="s">
        <v>463</v>
      </c>
      <c r="B67" s="327"/>
      <c r="C67" s="327"/>
      <c r="D67" s="327"/>
      <c r="E67" s="327"/>
      <c r="F67" s="327"/>
      <c r="G67" s="327"/>
      <c r="H67" s="327"/>
    </row>
    <row r="68" spans="1:8" ht="15">
      <c r="A68" s="327" t="s">
        <v>464</v>
      </c>
      <c r="B68" s="327"/>
      <c r="C68" s="327"/>
      <c r="D68" s="327"/>
      <c r="E68" s="327"/>
      <c r="F68" s="327"/>
      <c r="G68" s="327"/>
      <c r="H68" s="327"/>
    </row>
    <row r="69" spans="1:8" ht="15">
      <c r="A69" s="327" t="s">
        <v>465</v>
      </c>
      <c r="B69" s="327"/>
      <c r="C69" s="327"/>
      <c r="D69" s="327"/>
      <c r="E69" s="327"/>
      <c r="F69" s="327"/>
      <c r="G69" s="327"/>
      <c r="H69" s="327"/>
    </row>
    <row r="70" spans="1:8" ht="15">
      <c r="A70" s="327" t="s">
        <v>466</v>
      </c>
      <c r="B70" s="327"/>
      <c r="C70" s="327"/>
      <c r="D70" s="327"/>
      <c r="E70" s="327"/>
      <c r="F70" s="327"/>
      <c r="G70" s="327"/>
      <c r="H70" s="327"/>
    </row>
    <row r="71" spans="1:8" ht="15">
      <c r="A71" s="327" t="s">
        <v>467</v>
      </c>
      <c r="B71" s="327"/>
      <c r="C71" s="327"/>
      <c r="D71" s="327"/>
      <c r="E71" s="327"/>
      <c r="F71" s="327"/>
      <c r="G71" s="327"/>
      <c r="H71" s="327"/>
    </row>
    <row r="72" spans="1:8" ht="15">
      <c r="A72" s="327" t="s">
        <v>468</v>
      </c>
      <c r="B72" s="327"/>
      <c r="C72" s="327"/>
      <c r="D72" s="327"/>
      <c r="E72" s="327"/>
      <c r="F72" s="327"/>
      <c r="G72" s="327"/>
      <c r="H72" s="327"/>
    </row>
    <row r="73" spans="1:8" ht="15">
      <c r="A73" s="327" t="s">
        <v>469</v>
      </c>
      <c r="B73" s="327"/>
      <c r="C73" s="327"/>
      <c r="D73" s="327"/>
      <c r="E73" s="327"/>
      <c r="F73" s="327"/>
      <c r="G73" s="327"/>
      <c r="H73" s="327"/>
    </row>
    <row r="74" spans="1:8" ht="15">
      <c r="A74" s="327"/>
      <c r="B74" s="327"/>
      <c r="C74" s="327"/>
      <c r="D74" s="327"/>
      <c r="E74" s="327"/>
      <c r="F74" s="327"/>
      <c r="G74" s="327"/>
      <c r="H74" s="327"/>
    </row>
    <row r="75" spans="1:8" ht="15">
      <c r="A75" s="327" t="s">
        <v>470</v>
      </c>
      <c r="B75" s="327"/>
      <c r="C75" s="327"/>
      <c r="D75" s="327"/>
      <c r="E75" s="327"/>
      <c r="F75" s="327"/>
      <c r="G75" s="327"/>
      <c r="H75" s="327"/>
    </row>
    <row r="76" spans="1:8" ht="15">
      <c r="A76" s="327" t="s">
        <v>471</v>
      </c>
      <c r="B76" s="327"/>
      <c r="C76" s="327"/>
      <c r="D76" s="327"/>
      <c r="E76" s="327"/>
      <c r="F76" s="327"/>
      <c r="G76" s="327"/>
      <c r="H76" s="327"/>
    </row>
    <row r="77" spans="1:8" ht="15">
      <c r="A77" s="327" t="s">
        <v>472</v>
      </c>
      <c r="B77" s="327"/>
      <c r="C77" s="327"/>
      <c r="D77" s="327"/>
      <c r="E77" s="327"/>
      <c r="F77" s="327"/>
      <c r="G77" s="327"/>
      <c r="H77" s="327"/>
    </row>
    <row r="78" spans="1:8" ht="15">
      <c r="A78" s="327"/>
      <c r="B78" s="327"/>
      <c r="C78" s="327"/>
      <c r="D78" s="327"/>
      <c r="E78" s="327"/>
      <c r="F78" s="327"/>
      <c r="G78" s="327"/>
      <c r="H78" s="327"/>
    </row>
    <row r="79" ht="15">
      <c r="A79" s="327" t="s">
        <v>417</v>
      </c>
    </row>
    <row r="80" ht="15">
      <c r="A80" s="328"/>
    </row>
    <row r="81" ht="15">
      <c r="A81" s="327"/>
    </row>
    <row r="82" ht="15">
      <c r="A82" s="327"/>
    </row>
    <row r="83" ht="15">
      <c r="A83" s="327"/>
    </row>
    <row r="84" ht="15">
      <c r="A84" s="327"/>
    </row>
    <row r="85" ht="15">
      <c r="A85" s="327"/>
    </row>
    <row r="86" ht="15">
      <c r="A86" s="327"/>
    </row>
    <row r="87" ht="15">
      <c r="A87" s="327"/>
    </row>
    <row r="88" ht="15">
      <c r="A88" s="327"/>
    </row>
    <row r="89" ht="15">
      <c r="A89" s="327"/>
    </row>
    <row r="90" ht="15">
      <c r="A90" s="327"/>
    </row>
    <row r="91" ht="15">
      <c r="A91" s="327"/>
    </row>
    <row r="92" ht="15">
      <c r="A92" s="327"/>
    </row>
    <row r="93" ht="15">
      <c r="A93" s="327"/>
    </row>
    <row r="94" ht="15">
      <c r="A94" s="327"/>
    </row>
    <row r="95" ht="15">
      <c r="A95" s="327"/>
    </row>
    <row r="96" ht="15">
      <c r="A96" s="327"/>
    </row>
    <row r="97" ht="15">
      <c r="A97" s="327"/>
    </row>
    <row r="98" ht="15">
      <c r="A98" s="327"/>
    </row>
    <row r="99" ht="15">
      <c r="A99" s="327"/>
    </row>
    <row r="100" ht="15">
      <c r="A100" s="327"/>
    </row>
    <row r="101" ht="15">
      <c r="A101" s="327"/>
    </row>
    <row r="103" ht="15">
      <c r="A103" s="327"/>
    </row>
    <row r="104" ht="15">
      <c r="A104" s="327"/>
    </row>
    <row r="105" ht="15">
      <c r="A105" s="327"/>
    </row>
    <row r="107" ht="15">
      <c r="A107" s="328"/>
    </row>
    <row r="108" ht="15">
      <c r="A108" s="328"/>
    </row>
    <row r="109" ht="15">
      <c r="A109" s="32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26" t="s">
        <v>473</v>
      </c>
      <c r="B3" s="326"/>
      <c r="C3" s="326"/>
      <c r="D3" s="326"/>
      <c r="E3" s="326"/>
      <c r="F3" s="326"/>
      <c r="G3" s="326"/>
      <c r="H3" s="326"/>
      <c r="I3" s="326"/>
      <c r="J3" s="326"/>
      <c r="K3" s="326"/>
      <c r="L3" s="326"/>
    </row>
    <row r="4" spans="1:12" ht="15">
      <c r="A4" s="326"/>
      <c r="B4" s="326"/>
      <c r="C4" s="326"/>
      <c r="D4" s="326"/>
      <c r="E4" s="326"/>
      <c r="F4" s="326"/>
      <c r="G4" s="326"/>
      <c r="H4" s="326"/>
      <c r="I4" s="326"/>
      <c r="J4" s="326"/>
      <c r="K4" s="326"/>
      <c r="L4" s="326"/>
    </row>
    <row r="5" spans="1:12" ht="15">
      <c r="A5" s="327" t="s">
        <v>362</v>
      </c>
      <c r="I5" s="326"/>
      <c r="J5" s="326"/>
      <c r="K5" s="326"/>
      <c r="L5" s="326"/>
    </row>
    <row r="6" spans="1:12" ht="15">
      <c r="A6" s="327" t="str">
        <f>CONCATENATE("estimated ",inputPrYr!C5-1," 'total expenditures' exceed your ",inputPrYr!C5-1,"")</f>
        <v>estimated 2012 'total expenditures' exceed your 2012</v>
      </c>
      <c r="I6" s="326"/>
      <c r="J6" s="326"/>
      <c r="K6" s="326"/>
      <c r="L6" s="326"/>
    </row>
    <row r="7" spans="1:12" ht="15">
      <c r="A7" s="330" t="s">
        <v>474</v>
      </c>
      <c r="I7" s="326"/>
      <c r="J7" s="326"/>
      <c r="K7" s="326"/>
      <c r="L7" s="326"/>
    </row>
    <row r="8" spans="1:12" ht="15">
      <c r="A8" s="327"/>
      <c r="I8" s="326"/>
      <c r="J8" s="326"/>
      <c r="K8" s="326"/>
      <c r="L8" s="326"/>
    </row>
    <row r="9" spans="1:12" ht="15">
      <c r="A9" s="327" t="s">
        <v>475</v>
      </c>
      <c r="I9" s="326"/>
      <c r="J9" s="326"/>
      <c r="K9" s="326"/>
      <c r="L9" s="326"/>
    </row>
    <row r="10" spans="1:12" ht="15">
      <c r="A10" s="327" t="s">
        <v>476</v>
      </c>
      <c r="I10" s="326"/>
      <c r="J10" s="326"/>
      <c r="K10" s="326"/>
      <c r="L10" s="326"/>
    </row>
    <row r="11" spans="1:12" ht="15">
      <c r="A11" s="327" t="s">
        <v>477</v>
      </c>
      <c r="I11" s="326"/>
      <c r="J11" s="326"/>
      <c r="K11" s="326"/>
      <c r="L11" s="326"/>
    </row>
    <row r="12" spans="1:12" ht="15">
      <c r="A12" s="327" t="s">
        <v>478</v>
      </c>
      <c r="I12" s="326"/>
      <c r="J12" s="326"/>
      <c r="K12" s="326"/>
      <c r="L12" s="326"/>
    </row>
    <row r="13" spans="1:12" ht="15">
      <c r="A13" s="327" t="s">
        <v>479</v>
      </c>
      <c r="I13" s="326"/>
      <c r="J13" s="326"/>
      <c r="K13" s="326"/>
      <c r="L13" s="326"/>
    </row>
    <row r="14" spans="1:12" ht="15">
      <c r="A14" s="326"/>
      <c r="B14" s="326"/>
      <c r="C14" s="326"/>
      <c r="D14" s="326"/>
      <c r="E14" s="326"/>
      <c r="F14" s="326"/>
      <c r="G14" s="326"/>
      <c r="H14" s="326"/>
      <c r="I14" s="326"/>
      <c r="J14" s="326"/>
      <c r="K14" s="326"/>
      <c r="L14" s="326"/>
    </row>
    <row r="15" ht="15">
      <c r="A15" s="328" t="s">
        <v>480</v>
      </c>
    </row>
    <row r="16" ht="15">
      <c r="A16" s="328" t="s">
        <v>481</v>
      </c>
    </row>
    <row r="17" ht="15">
      <c r="A17" s="328"/>
    </row>
    <row r="18" spans="1:7" ht="15">
      <c r="A18" s="327" t="s">
        <v>482</v>
      </c>
      <c r="B18" s="327"/>
      <c r="C18" s="327"/>
      <c r="D18" s="327"/>
      <c r="E18" s="327"/>
      <c r="F18" s="327"/>
      <c r="G18" s="327"/>
    </row>
    <row r="19" spans="1:7" ht="15">
      <c r="A19" s="327" t="str">
        <f>CONCATENATE("your ",inputPrYr!C5-1," numbers to see what steps might be necessary to")</f>
        <v>your 2012 numbers to see what steps might be necessary to</v>
      </c>
      <c r="B19" s="327"/>
      <c r="C19" s="327"/>
      <c r="D19" s="327"/>
      <c r="E19" s="327"/>
      <c r="F19" s="327"/>
      <c r="G19" s="327"/>
    </row>
    <row r="20" spans="1:7" ht="15">
      <c r="A20" s="327" t="s">
        <v>483</v>
      </c>
      <c r="B20" s="327"/>
      <c r="C20" s="327"/>
      <c r="D20" s="327"/>
      <c r="E20" s="327"/>
      <c r="F20" s="327"/>
      <c r="G20" s="327"/>
    </row>
    <row r="21" spans="1:7" ht="15">
      <c r="A21" s="327" t="s">
        <v>484</v>
      </c>
      <c r="B21" s="327"/>
      <c r="C21" s="327"/>
      <c r="D21" s="327"/>
      <c r="E21" s="327"/>
      <c r="F21" s="327"/>
      <c r="G21" s="327"/>
    </row>
    <row r="22" ht="15">
      <c r="A22" s="327"/>
    </row>
    <row r="23" ht="15">
      <c r="A23" s="328" t="s">
        <v>485</v>
      </c>
    </row>
    <row r="24" ht="15">
      <c r="A24" s="328"/>
    </row>
    <row r="25" ht="15">
      <c r="A25" s="327" t="s">
        <v>486</v>
      </c>
    </row>
    <row r="26" spans="1:6" ht="15">
      <c r="A26" s="327" t="s">
        <v>487</v>
      </c>
      <c r="B26" s="327"/>
      <c r="C26" s="327"/>
      <c r="D26" s="327"/>
      <c r="E26" s="327"/>
      <c r="F26" s="327"/>
    </row>
    <row r="27" spans="1:6" ht="15">
      <c r="A27" s="327" t="s">
        <v>488</v>
      </c>
      <c r="B27" s="327"/>
      <c r="C27" s="327"/>
      <c r="D27" s="327"/>
      <c r="E27" s="327"/>
      <c r="F27" s="327"/>
    </row>
    <row r="28" spans="1:6" ht="15">
      <c r="A28" s="327" t="s">
        <v>489</v>
      </c>
      <c r="B28" s="327"/>
      <c r="C28" s="327"/>
      <c r="D28" s="327"/>
      <c r="E28" s="327"/>
      <c r="F28" s="327"/>
    </row>
    <row r="29" spans="1:6" ht="15">
      <c r="A29" s="327"/>
      <c r="B29" s="327"/>
      <c r="C29" s="327"/>
      <c r="D29" s="327"/>
      <c r="E29" s="327"/>
      <c r="F29" s="327"/>
    </row>
    <row r="30" spans="1:7" ht="15">
      <c r="A30" s="328" t="s">
        <v>490</v>
      </c>
      <c r="B30" s="328"/>
      <c r="C30" s="328"/>
      <c r="D30" s="328"/>
      <c r="E30" s="328"/>
      <c r="F30" s="328"/>
      <c r="G30" s="328"/>
    </row>
    <row r="31" spans="1:7" ht="15">
      <c r="A31" s="328" t="s">
        <v>491</v>
      </c>
      <c r="B31" s="328"/>
      <c r="C31" s="328"/>
      <c r="D31" s="328"/>
      <c r="E31" s="328"/>
      <c r="F31" s="328"/>
      <c r="G31" s="328"/>
    </row>
    <row r="32" spans="1:6" ht="15">
      <c r="A32" s="327"/>
      <c r="B32" s="327"/>
      <c r="C32" s="327"/>
      <c r="D32" s="327"/>
      <c r="E32" s="327"/>
      <c r="F32" s="327"/>
    </row>
    <row r="33" spans="1:6" ht="15">
      <c r="A33" s="325" t="str">
        <f>CONCATENATE("Well, let's look to see if any of your ",inputPrYr!C5-1," expenditures can")</f>
        <v>Well, let's look to see if any of your 2012 expenditures can</v>
      </c>
      <c r="B33" s="327"/>
      <c r="C33" s="327"/>
      <c r="D33" s="327"/>
      <c r="E33" s="327"/>
      <c r="F33" s="327"/>
    </row>
    <row r="34" spans="1:6" ht="15">
      <c r="A34" s="325" t="s">
        <v>492</v>
      </c>
      <c r="B34" s="327"/>
      <c r="C34" s="327"/>
      <c r="D34" s="327"/>
      <c r="E34" s="327"/>
      <c r="F34" s="327"/>
    </row>
    <row r="35" spans="1:6" ht="15">
      <c r="A35" s="325" t="s">
        <v>376</v>
      </c>
      <c r="B35" s="327"/>
      <c r="C35" s="327"/>
      <c r="D35" s="327"/>
      <c r="E35" s="327"/>
      <c r="F35" s="327"/>
    </row>
    <row r="36" spans="1:6" ht="15">
      <c r="A36" s="325" t="s">
        <v>377</v>
      </c>
      <c r="B36" s="327"/>
      <c r="C36" s="327"/>
      <c r="D36" s="327"/>
      <c r="E36" s="327"/>
      <c r="F36" s="327"/>
    </row>
    <row r="37" spans="1:6" ht="15">
      <c r="A37" s="325"/>
      <c r="B37" s="327"/>
      <c r="C37" s="327"/>
      <c r="D37" s="327"/>
      <c r="E37" s="327"/>
      <c r="F37" s="327"/>
    </row>
    <row r="38" spans="1:6" ht="15">
      <c r="A38" s="325" t="str">
        <f>CONCATENATE("Additionally, do your ",inputPrYr!C5-1," receipts contain a reimbursement")</f>
        <v>Additionally, do your 2012 receipts contain a reimbursement</v>
      </c>
      <c r="B38" s="327"/>
      <c r="C38" s="327"/>
      <c r="D38" s="327"/>
      <c r="E38" s="327"/>
      <c r="F38" s="327"/>
    </row>
    <row r="39" spans="1:6" ht="15">
      <c r="A39" s="325" t="s">
        <v>378</v>
      </c>
      <c r="B39" s="327"/>
      <c r="C39" s="327"/>
      <c r="D39" s="327"/>
      <c r="E39" s="327"/>
      <c r="F39" s="327"/>
    </row>
    <row r="40" spans="1:6" ht="15">
      <c r="A40" s="325" t="s">
        <v>379</v>
      </c>
      <c r="B40" s="327"/>
      <c r="C40" s="327"/>
      <c r="D40" s="327"/>
      <c r="E40" s="327"/>
      <c r="F40" s="327"/>
    </row>
    <row r="41" spans="1:6" ht="15">
      <c r="A41" s="325"/>
      <c r="B41" s="327"/>
      <c r="C41" s="327"/>
      <c r="D41" s="327"/>
      <c r="E41" s="327"/>
      <c r="F41" s="327"/>
    </row>
    <row r="42" spans="1:6" ht="15">
      <c r="A42" s="325" t="s">
        <v>380</v>
      </c>
      <c r="B42" s="327"/>
      <c r="C42" s="327"/>
      <c r="D42" s="327"/>
      <c r="E42" s="327"/>
      <c r="F42" s="327"/>
    </row>
    <row r="43" spans="1:6" ht="15">
      <c r="A43" s="325" t="s">
        <v>381</v>
      </c>
      <c r="B43" s="327"/>
      <c r="C43" s="327"/>
      <c r="D43" s="327"/>
      <c r="E43" s="327"/>
      <c r="F43" s="327"/>
    </row>
    <row r="44" spans="1:6" ht="15">
      <c r="A44" s="325" t="s">
        <v>382</v>
      </c>
      <c r="B44" s="327"/>
      <c r="C44" s="327"/>
      <c r="D44" s="327"/>
      <c r="E44" s="327"/>
      <c r="F44" s="327"/>
    </row>
    <row r="45" spans="1:6" ht="15">
      <c r="A45" s="325" t="s">
        <v>493</v>
      </c>
      <c r="B45" s="327"/>
      <c r="C45" s="327"/>
      <c r="D45" s="327"/>
      <c r="E45" s="327"/>
      <c r="F45" s="327"/>
    </row>
    <row r="46" spans="1:6" ht="15">
      <c r="A46" s="325" t="s">
        <v>384</v>
      </c>
      <c r="B46" s="327"/>
      <c r="C46" s="327"/>
      <c r="D46" s="327"/>
      <c r="E46" s="327"/>
      <c r="F46" s="327"/>
    </row>
    <row r="47" spans="1:6" ht="15">
      <c r="A47" s="325" t="s">
        <v>494</v>
      </c>
      <c r="B47" s="327"/>
      <c r="C47" s="327"/>
      <c r="D47" s="327"/>
      <c r="E47" s="327"/>
      <c r="F47" s="327"/>
    </row>
    <row r="48" spans="1:6" ht="15">
      <c r="A48" s="325" t="s">
        <v>495</v>
      </c>
      <c r="B48" s="327"/>
      <c r="C48" s="327"/>
      <c r="D48" s="327"/>
      <c r="E48" s="327"/>
      <c r="F48" s="327"/>
    </row>
    <row r="49" spans="1:6" ht="15">
      <c r="A49" s="325" t="s">
        <v>387</v>
      </c>
      <c r="B49" s="327"/>
      <c r="C49" s="327"/>
      <c r="D49" s="327"/>
      <c r="E49" s="327"/>
      <c r="F49" s="327"/>
    </row>
    <row r="50" spans="1:6" ht="15">
      <c r="A50" s="325"/>
      <c r="B50" s="327"/>
      <c r="C50" s="327"/>
      <c r="D50" s="327"/>
      <c r="E50" s="327"/>
      <c r="F50" s="327"/>
    </row>
    <row r="51" spans="1:6" ht="15">
      <c r="A51" s="325" t="s">
        <v>388</v>
      </c>
      <c r="B51" s="327"/>
      <c r="C51" s="327"/>
      <c r="D51" s="327"/>
      <c r="E51" s="327"/>
      <c r="F51" s="327"/>
    </row>
    <row r="52" spans="1:6" ht="15">
      <c r="A52" s="325" t="s">
        <v>389</v>
      </c>
      <c r="B52" s="327"/>
      <c r="C52" s="327"/>
      <c r="D52" s="327"/>
      <c r="E52" s="327"/>
      <c r="F52" s="327"/>
    </row>
    <row r="53" spans="1:6" ht="15">
      <c r="A53" s="325" t="s">
        <v>390</v>
      </c>
      <c r="B53" s="327"/>
      <c r="C53" s="327"/>
      <c r="D53" s="327"/>
      <c r="E53" s="327"/>
      <c r="F53" s="327"/>
    </row>
    <row r="54" spans="1:6" ht="15">
      <c r="A54" s="325"/>
      <c r="B54" s="327"/>
      <c r="C54" s="327"/>
      <c r="D54" s="327"/>
      <c r="E54" s="327"/>
      <c r="F54" s="327"/>
    </row>
    <row r="55" spans="1:6" ht="15">
      <c r="A55" s="325" t="s">
        <v>496</v>
      </c>
      <c r="B55" s="327"/>
      <c r="C55" s="327"/>
      <c r="D55" s="327"/>
      <c r="E55" s="327"/>
      <c r="F55" s="327"/>
    </row>
    <row r="56" spans="1:6" ht="15">
      <c r="A56" s="325" t="s">
        <v>497</v>
      </c>
      <c r="B56" s="327"/>
      <c r="C56" s="327"/>
      <c r="D56" s="327"/>
      <c r="E56" s="327"/>
      <c r="F56" s="327"/>
    </row>
    <row r="57" spans="1:6" ht="15">
      <c r="A57" s="325" t="s">
        <v>498</v>
      </c>
      <c r="B57" s="327"/>
      <c r="C57" s="327"/>
      <c r="D57" s="327"/>
      <c r="E57" s="327"/>
      <c r="F57" s="327"/>
    </row>
    <row r="58" spans="1:6" ht="15">
      <c r="A58" s="325" t="s">
        <v>499</v>
      </c>
      <c r="B58" s="327"/>
      <c r="C58" s="327"/>
      <c r="D58" s="327"/>
      <c r="E58" s="327"/>
      <c r="F58" s="327"/>
    </row>
    <row r="59" spans="1:6" ht="15">
      <c r="A59" s="325" t="s">
        <v>500</v>
      </c>
      <c r="B59" s="327"/>
      <c r="C59" s="327"/>
      <c r="D59" s="327"/>
      <c r="E59" s="327"/>
      <c r="F59" s="327"/>
    </row>
    <row r="60" spans="1:6" ht="15">
      <c r="A60" s="325"/>
      <c r="B60" s="327"/>
      <c r="C60" s="327"/>
      <c r="D60" s="327"/>
      <c r="E60" s="327"/>
      <c r="F60" s="327"/>
    </row>
    <row r="61" spans="1:6" ht="15">
      <c r="A61" s="324" t="s">
        <v>501</v>
      </c>
      <c r="B61" s="327"/>
      <c r="C61" s="327"/>
      <c r="D61" s="327"/>
      <c r="E61" s="327"/>
      <c r="F61" s="327"/>
    </row>
    <row r="62" spans="1:6" ht="15">
      <c r="A62" s="324" t="s">
        <v>502</v>
      </c>
      <c r="B62" s="327"/>
      <c r="C62" s="327"/>
      <c r="D62" s="327"/>
      <c r="E62" s="327"/>
      <c r="F62" s="327"/>
    </row>
    <row r="63" spans="1:6" ht="15">
      <c r="A63" s="324" t="s">
        <v>503</v>
      </c>
      <c r="B63" s="327"/>
      <c r="C63" s="327"/>
      <c r="D63" s="327"/>
      <c r="E63" s="327"/>
      <c r="F63" s="327"/>
    </row>
    <row r="64" ht="15">
      <c r="A64" s="324" t="s">
        <v>504</v>
      </c>
    </row>
    <row r="65" ht="15">
      <c r="A65" s="324" t="s">
        <v>505</v>
      </c>
    </row>
    <row r="66" ht="15">
      <c r="A66" s="324" t="s">
        <v>506</v>
      </c>
    </row>
    <row r="68" ht="15">
      <c r="A68" s="327" t="s">
        <v>507</v>
      </c>
    </row>
    <row r="69" ht="15">
      <c r="A69" s="327" t="s">
        <v>508</v>
      </c>
    </row>
    <row r="70" ht="15">
      <c r="A70" s="327" t="s">
        <v>509</v>
      </c>
    </row>
    <row r="71" ht="15">
      <c r="A71" s="327" t="s">
        <v>510</v>
      </c>
    </row>
    <row r="72" ht="15">
      <c r="A72" s="327" t="s">
        <v>511</v>
      </c>
    </row>
    <row r="73" ht="15">
      <c r="A73" s="327" t="s">
        <v>512</v>
      </c>
    </row>
    <row r="75" ht="15">
      <c r="A75" s="327" t="s">
        <v>417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6" t="s">
        <v>513</v>
      </c>
      <c r="B3" s="326"/>
      <c r="C3" s="326"/>
      <c r="D3" s="326"/>
      <c r="E3" s="326"/>
      <c r="F3" s="326"/>
      <c r="G3" s="326"/>
    </row>
    <row r="4" spans="1:7" ht="15">
      <c r="A4" s="326"/>
      <c r="B4" s="326"/>
      <c r="C4" s="326"/>
      <c r="D4" s="326"/>
      <c r="E4" s="326"/>
      <c r="F4" s="326"/>
      <c r="G4" s="326"/>
    </row>
    <row r="5" ht="15">
      <c r="A5" s="327" t="s">
        <v>419</v>
      </c>
    </row>
    <row r="6" ht="15">
      <c r="A6" s="327" t="str">
        <f>CONCATENATE(inputPrYr!C5," estimated expenditures show that at the end of this year")</f>
        <v>2013 estimated expenditures show that at the end of this year</v>
      </c>
    </row>
    <row r="7" ht="15">
      <c r="A7" s="327" t="s">
        <v>514</v>
      </c>
    </row>
    <row r="8" ht="15">
      <c r="A8" s="327" t="s">
        <v>515</v>
      </c>
    </row>
    <row r="10" ht="15">
      <c r="A10" t="s">
        <v>421</v>
      </c>
    </row>
    <row r="11" ht="15">
      <c r="A11" t="s">
        <v>422</v>
      </c>
    </row>
    <row r="12" ht="15">
      <c r="A12" t="s">
        <v>423</v>
      </c>
    </row>
    <row r="13" spans="1:7" ht="15">
      <c r="A13" s="326"/>
      <c r="B13" s="326"/>
      <c r="C13" s="326"/>
      <c r="D13" s="326"/>
      <c r="E13" s="326"/>
      <c r="F13" s="326"/>
      <c r="G13" s="326"/>
    </row>
    <row r="14" ht="15">
      <c r="A14" s="328" t="s">
        <v>516</v>
      </c>
    </row>
    <row r="15" ht="15">
      <c r="A15" s="327"/>
    </row>
    <row r="16" ht="15">
      <c r="A16" s="327" t="s">
        <v>517</v>
      </c>
    </row>
    <row r="17" ht="15">
      <c r="A17" s="327" t="s">
        <v>518</v>
      </c>
    </row>
    <row r="18" ht="15">
      <c r="A18" s="327" t="s">
        <v>519</v>
      </c>
    </row>
    <row r="19" ht="15">
      <c r="A19" s="327"/>
    </row>
    <row r="20" ht="15">
      <c r="A20" s="327" t="s">
        <v>520</v>
      </c>
    </row>
    <row r="21" ht="15">
      <c r="A21" s="327" t="s">
        <v>521</v>
      </c>
    </row>
    <row r="22" ht="15">
      <c r="A22" s="327" t="s">
        <v>522</v>
      </c>
    </row>
    <row r="23" ht="15">
      <c r="A23" s="327" t="s">
        <v>523</v>
      </c>
    </row>
    <row r="24" ht="15">
      <c r="A24" s="327"/>
    </row>
    <row r="25" ht="15">
      <c r="A25" s="328" t="s">
        <v>485</v>
      </c>
    </row>
    <row r="26" ht="15">
      <c r="A26" s="328"/>
    </row>
    <row r="27" ht="15">
      <c r="A27" s="327" t="s">
        <v>486</v>
      </c>
    </row>
    <row r="28" spans="1:6" ht="15">
      <c r="A28" s="327" t="s">
        <v>487</v>
      </c>
      <c r="B28" s="327"/>
      <c r="C28" s="327"/>
      <c r="D28" s="327"/>
      <c r="E28" s="327"/>
      <c r="F28" s="327"/>
    </row>
    <row r="29" spans="1:6" ht="15">
      <c r="A29" s="327" t="s">
        <v>488</v>
      </c>
      <c r="B29" s="327"/>
      <c r="C29" s="327"/>
      <c r="D29" s="327"/>
      <c r="E29" s="327"/>
      <c r="F29" s="327"/>
    </row>
    <row r="30" spans="1:6" ht="15">
      <c r="A30" s="327" t="s">
        <v>489</v>
      </c>
      <c r="B30" s="327"/>
      <c r="C30" s="327"/>
      <c r="D30" s="327"/>
      <c r="E30" s="327"/>
      <c r="F30" s="327"/>
    </row>
    <row r="31" ht="15">
      <c r="A31" s="327"/>
    </row>
    <row r="32" spans="1:7" ht="15">
      <c r="A32" s="328" t="s">
        <v>490</v>
      </c>
      <c r="B32" s="328"/>
      <c r="C32" s="328"/>
      <c r="D32" s="328"/>
      <c r="E32" s="328"/>
      <c r="F32" s="328"/>
      <c r="G32" s="328"/>
    </row>
    <row r="33" spans="1:7" ht="15">
      <c r="A33" s="328" t="s">
        <v>491</v>
      </c>
      <c r="B33" s="328"/>
      <c r="C33" s="328"/>
      <c r="D33" s="328"/>
      <c r="E33" s="328"/>
      <c r="F33" s="328"/>
      <c r="G33" s="328"/>
    </row>
    <row r="34" spans="1:7" ht="15">
      <c r="A34" s="328"/>
      <c r="B34" s="328"/>
      <c r="C34" s="328"/>
      <c r="D34" s="328"/>
      <c r="E34" s="328"/>
      <c r="F34" s="328"/>
      <c r="G34" s="328"/>
    </row>
    <row r="35" spans="1:7" ht="15">
      <c r="A35" s="327" t="s">
        <v>524</v>
      </c>
      <c r="B35" s="327"/>
      <c r="C35" s="327"/>
      <c r="D35" s="327"/>
      <c r="E35" s="327"/>
      <c r="F35" s="327"/>
      <c r="G35" s="327"/>
    </row>
    <row r="36" spans="1:7" ht="15">
      <c r="A36" s="327" t="s">
        <v>525</v>
      </c>
      <c r="B36" s="327"/>
      <c r="C36" s="327"/>
      <c r="D36" s="327"/>
      <c r="E36" s="327"/>
      <c r="F36" s="327"/>
      <c r="G36" s="327"/>
    </row>
    <row r="37" spans="1:7" ht="15">
      <c r="A37" s="327" t="s">
        <v>526</v>
      </c>
      <c r="B37" s="327"/>
      <c r="C37" s="327"/>
      <c r="D37" s="327"/>
      <c r="E37" s="327"/>
      <c r="F37" s="327"/>
      <c r="G37" s="327"/>
    </row>
    <row r="38" spans="1:7" ht="15">
      <c r="A38" s="327" t="s">
        <v>527</v>
      </c>
      <c r="B38" s="327"/>
      <c r="C38" s="327"/>
      <c r="D38" s="327"/>
      <c r="E38" s="327"/>
      <c r="F38" s="327"/>
      <c r="G38" s="327"/>
    </row>
    <row r="39" spans="1:7" ht="15">
      <c r="A39" s="327" t="s">
        <v>528</v>
      </c>
      <c r="B39" s="327"/>
      <c r="C39" s="327"/>
      <c r="D39" s="327"/>
      <c r="E39" s="327"/>
      <c r="F39" s="327"/>
      <c r="G39" s="327"/>
    </row>
    <row r="40" spans="1:7" ht="15">
      <c r="A40" s="328"/>
      <c r="B40" s="328"/>
      <c r="C40" s="328"/>
      <c r="D40" s="328"/>
      <c r="E40" s="328"/>
      <c r="F40" s="328"/>
      <c r="G40" s="328"/>
    </row>
    <row r="41" spans="1:6" ht="15">
      <c r="A41" s="325" t="str">
        <f>CONCATENATE("So, let's look to see if any of your ",inputPrYr!C5-1," expenditures can")</f>
        <v>So, let's look to see if any of your 2012 expenditures can</v>
      </c>
      <c r="B41" s="327"/>
      <c r="C41" s="327"/>
      <c r="D41" s="327"/>
      <c r="E41" s="327"/>
      <c r="F41" s="327"/>
    </row>
    <row r="42" spans="1:6" ht="15">
      <c r="A42" s="325" t="s">
        <v>492</v>
      </c>
      <c r="B42" s="327"/>
      <c r="C42" s="327"/>
      <c r="D42" s="327"/>
      <c r="E42" s="327"/>
      <c r="F42" s="327"/>
    </row>
    <row r="43" spans="1:6" ht="15">
      <c r="A43" s="325" t="s">
        <v>376</v>
      </c>
      <c r="B43" s="327"/>
      <c r="C43" s="327"/>
      <c r="D43" s="327"/>
      <c r="E43" s="327"/>
      <c r="F43" s="327"/>
    </row>
    <row r="44" spans="1:6" ht="15">
      <c r="A44" s="325" t="s">
        <v>377</v>
      </c>
      <c r="B44" s="327"/>
      <c r="C44" s="327"/>
      <c r="D44" s="327"/>
      <c r="E44" s="327"/>
      <c r="F44" s="327"/>
    </row>
    <row r="45" ht="15">
      <c r="A45" s="327"/>
    </row>
    <row r="46" spans="1:6" ht="15">
      <c r="A46" s="325" t="str">
        <f>CONCATENATE("Additionally, do your ",inputPrYr!C5-1," receipts contain a reimbursement")</f>
        <v>Additionally, do your 2012 receipts contain a reimbursement</v>
      </c>
      <c r="B46" s="327"/>
      <c r="C46" s="327"/>
      <c r="D46" s="327"/>
      <c r="E46" s="327"/>
      <c r="F46" s="327"/>
    </row>
    <row r="47" spans="1:6" ht="15">
      <c r="A47" s="325" t="s">
        <v>378</v>
      </c>
      <c r="B47" s="327"/>
      <c r="C47" s="327"/>
      <c r="D47" s="327"/>
      <c r="E47" s="327"/>
      <c r="F47" s="327"/>
    </row>
    <row r="48" spans="1:6" ht="15">
      <c r="A48" s="325" t="s">
        <v>379</v>
      </c>
      <c r="B48" s="327"/>
      <c r="C48" s="327"/>
      <c r="D48" s="327"/>
      <c r="E48" s="327"/>
      <c r="F48" s="327"/>
    </row>
    <row r="49" spans="1:7" ht="15">
      <c r="A49" s="327"/>
      <c r="B49" s="327"/>
      <c r="C49" s="327"/>
      <c r="D49" s="327"/>
      <c r="E49" s="327"/>
      <c r="F49" s="327"/>
      <c r="G49" s="327"/>
    </row>
    <row r="50" spans="1:7" ht="15">
      <c r="A50" s="327" t="s">
        <v>446</v>
      </c>
      <c r="B50" s="327"/>
      <c r="C50" s="327"/>
      <c r="D50" s="327"/>
      <c r="E50" s="327"/>
      <c r="F50" s="327"/>
      <c r="G50" s="327"/>
    </row>
    <row r="51" spans="1:7" ht="15">
      <c r="A51" s="327" t="s">
        <v>447</v>
      </c>
      <c r="B51" s="327"/>
      <c r="C51" s="327"/>
      <c r="D51" s="327"/>
      <c r="E51" s="327"/>
      <c r="F51" s="327"/>
      <c r="G51" s="327"/>
    </row>
    <row r="52" spans="1:7" ht="15">
      <c r="A52" s="327" t="s">
        <v>448</v>
      </c>
      <c r="B52" s="327"/>
      <c r="C52" s="327"/>
      <c r="D52" s="327"/>
      <c r="E52" s="327"/>
      <c r="F52" s="327"/>
      <c r="G52" s="327"/>
    </row>
    <row r="53" spans="1:7" ht="15">
      <c r="A53" s="327" t="s">
        <v>449</v>
      </c>
      <c r="B53" s="327"/>
      <c r="C53" s="327"/>
      <c r="D53" s="327"/>
      <c r="E53" s="327"/>
      <c r="F53" s="327"/>
      <c r="G53" s="327"/>
    </row>
    <row r="54" spans="1:7" ht="15">
      <c r="A54" s="327" t="s">
        <v>450</v>
      </c>
      <c r="B54" s="327"/>
      <c r="C54" s="327"/>
      <c r="D54" s="327"/>
      <c r="E54" s="327"/>
      <c r="F54" s="327"/>
      <c r="G54" s="327"/>
    </row>
    <row r="55" spans="1:7" ht="15">
      <c r="A55" s="327"/>
      <c r="B55" s="327"/>
      <c r="C55" s="327"/>
      <c r="D55" s="327"/>
      <c r="E55" s="327"/>
      <c r="F55" s="327"/>
      <c r="G55" s="327"/>
    </row>
    <row r="56" spans="1:6" ht="15">
      <c r="A56" s="325" t="s">
        <v>388</v>
      </c>
      <c r="B56" s="327"/>
      <c r="C56" s="327"/>
      <c r="D56" s="327"/>
      <c r="E56" s="327"/>
      <c r="F56" s="327"/>
    </row>
    <row r="57" spans="1:6" ht="15">
      <c r="A57" s="325" t="s">
        <v>389</v>
      </c>
      <c r="B57" s="327"/>
      <c r="C57" s="327"/>
      <c r="D57" s="327"/>
      <c r="E57" s="327"/>
      <c r="F57" s="327"/>
    </row>
    <row r="58" spans="1:6" ht="15">
      <c r="A58" s="325" t="s">
        <v>390</v>
      </c>
      <c r="B58" s="327"/>
      <c r="C58" s="327"/>
      <c r="D58" s="327"/>
      <c r="E58" s="327"/>
      <c r="F58" s="327"/>
    </row>
    <row r="59" spans="1:6" ht="15">
      <c r="A59" s="325"/>
      <c r="B59" s="327"/>
      <c r="C59" s="327"/>
      <c r="D59" s="327"/>
      <c r="E59" s="327"/>
      <c r="F59" s="327"/>
    </row>
    <row r="60" spans="1:7" ht="15">
      <c r="A60" s="327" t="s">
        <v>529</v>
      </c>
      <c r="B60" s="327"/>
      <c r="C60" s="327"/>
      <c r="D60" s="327"/>
      <c r="E60" s="327"/>
      <c r="F60" s="327"/>
      <c r="G60" s="327"/>
    </row>
    <row r="61" spans="1:7" ht="15">
      <c r="A61" s="327" t="s">
        <v>530</v>
      </c>
      <c r="B61" s="327"/>
      <c r="C61" s="327"/>
      <c r="D61" s="327"/>
      <c r="E61" s="327"/>
      <c r="F61" s="327"/>
      <c r="G61" s="327"/>
    </row>
    <row r="62" spans="1:7" ht="15">
      <c r="A62" s="327" t="s">
        <v>531</v>
      </c>
      <c r="B62" s="327"/>
      <c r="C62" s="327"/>
      <c r="D62" s="327"/>
      <c r="E62" s="327"/>
      <c r="F62" s="327"/>
      <c r="G62" s="327"/>
    </row>
    <row r="63" spans="1:7" ht="15">
      <c r="A63" s="327" t="s">
        <v>532</v>
      </c>
      <c r="B63" s="327"/>
      <c r="C63" s="327"/>
      <c r="D63" s="327"/>
      <c r="E63" s="327"/>
      <c r="F63" s="327"/>
      <c r="G63" s="327"/>
    </row>
    <row r="64" spans="1:7" ht="15">
      <c r="A64" s="327" t="s">
        <v>533</v>
      </c>
      <c r="B64" s="327"/>
      <c r="C64" s="327"/>
      <c r="D64" s="327"/>
      <c r="E64" s="327"/>
      <c r="F64" s="327"/>
      <c r="G64" s="327"/>
    </row>
    <row r="66" spans="1:6" ht="15">
      <c r="A66" s="325" t="s">
        <v>496</v>
      </c>
      <c r="B66" s="327"/>
      <c r="C66" s="327"/>
      <c r="D66" s="327"/>
      <c r="E66" s="327"/>
      <c r="F66" s="327"/>
    </row>
    <row r="67" spans="1:6" ht="15">
      <c r="A67" s="325" t="s">
        <v>497</v>
      </c>
      <c r="B67" s="327"/>
      <c r="C67" s="327"/>
      <c r="D67" s="327"/>
      <c r="E67" s="327"/>
      <c r="F67" s="327"/>
    </row>
    <row r="68" spans="1:6" ht="15">
      <c r="A68" s="325" t="s">
        <v>498</v>
      </c>
      <c r="B68" s="327"/>
      <c r="C68" s="327"/>
      <c r="D68" s="327"/>
      <c r="E68" s="327"/>
      <c r="F68" s="327"/>
    </row>
    <row r="69" spans="1:6" ht="15">
      <c r="A69" s="325" t="s">
        <v>499</v>
      </c>
      <c r="B69" s="327"/>
      <c r="C69" s="327"/>
      <c r="D69" s="327"/>
      <c r="E69" s="327"/>
      <c r="F69" s="327"/>
    </row>
    <row r="70" spans="1:6" ht="15">
      <c r="A70" s="325" t="s">
        <v>500</v>
      </c>
      <c r="B70" s="327"/>
      <c r="C70" s="327"/>
      <c r="D70" s="327"/>
      <c r="E70" s="327"/>
      <c r="F70" s="327"/>
    </row>
    <row r="71" ht="15">
      <c r="A71" s="327"/>
    </row>
    <row r="72" ht="15">
      <c r="A72" s="327" t="s">
        <v>417</v>
      </c>
    </row>
    <row r="73" ht="15">
      <c r="A73" s="327"/>
    </row>
    <row r="74" ht="15">
      <c r="A74" s="327"/>
    </row>
    <row r="75" ht="15">
      <c r="A75" s="327"/>
    </row>
    <row r="78" ht="15">
      <c r="A78" s="328"/>
    </row>
    <row r="80" ht="15">
      <c r="A80" s="327"/>
    </row>
    <row r="81" ht="15">
      <c r="A81" s="327"/>
    </row>
    <row r="82" ht="15">
      <c r="A82" s="327"/>
    </row>
    <row r="83" ht="15">
      <c r="A83" s="327"/>
    </row>
    <row r="84" ht="15">
      <c r="A84" s="327"/>
    </row>
    <row r="85" ht="15">
      <c r="A85" s="327"/>
    </row>
    <row r="86" ht="15">
      <c r="A86" s="327"/>
    </row>
    <row r="87" ht="15">
      <c r="A87" s="327"/>
    </row>
    <row r="88" ht="15">
      <c r="A88" s="327"/>
    </row>
    <row r="89" ht="15">
      <c r="A89" s="327"/>
    </row>
    <row r="90" ht="15">
      <c r="A90" s="327"/>
    </row>
    <row r="92" ht="15">
      <c r="A92" s="327"/>
    </row>
    <row r="93" ht="15">
      <c r="A93" s="327"/>
    </row>
    <row r="94" ht="15">
      <c r="A94" s="327"/>
    </row>
    <row r="95" ht="15">
      <c r="A95" s="327"/>
    </row>
    <row r="96" ht="15">
      <c r="A96" s="327"/>
    </row>
    <row r="97" ht="15">
      <c r="A97" s="327"/>
    </row>
    <row r="98" ht="15">
      <c r="A98" s="327"/>
    </row>
    <row r="99" ht="15">
      <c r="A99" s="327"/>
    </row>
    <row r="100" ht="15">
      <c r="A100" s="327"/>
    </row>
    <row r="101" ht="15">
      <c r="A101" s="327"/>
    </row>
    <row r="102" ht="15">
      <c r="A102" s="327"/>
    </row>
    <row r="103" ht="15">
      <c r="A103" s="327"/>
    </row>
    <row r="104" ht="15">
      <c r="A104" s="327"/>
    </row>
    <row r="105" ht="15">
      <c r="A105" s="327"/>
    </row>
    <row r="106" ht="15">
      <c r="A106" s="32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6" t="s">
        <v>534</v>
      </c>
      <c r="B3" s="326"/>
      <c r="C3" s="326"/>
      <c r="D3" s="326"/>
      <c r="E3" s="326"/>
      <c r="F3" s="326"/>
      <c r="G3" s="326"/>
    </row>
    <row r="4" spans="1:7" ht="15">
      <c r="A4" s="326" t="s">
        <v>535</v>
      </c>
      <c r="B4" s="326"/>
      <c r="C4" s="326"/>
      <c r="D4" s="326"/>
      <c r="E4" s="326"/>
      <c r="F4" s="326"/>
      <c r="G4" s="326"/>
    </row>
    <row r="5" spans="1:7" ht="15">
      <c r="A5" s="326"/>
      <c r="B5" s="326"/>
      <c r="C5" s="326"/>
      <c r="D5" s="326"/>
      <c r="E5" s="326"/>
      <c r="F5" s="326"/>
      <c r="G5" s="326"/>
    </row>
    <row r="6" spans="1:7" ht="15">
      <c r="A6" s="326"/>
      <c r="B6" s="326"/>
      <c r="C6" s="326"/>
      <c r="D6" s="326"/>
      <c r="E6" s="326"/>
      <c r="F6" s="326"/>
      <c r="G6" s="326"/>
    </row>
    <row r="7" ht="15">
      <c r="A7" s="327" t="s">
        <v>362</v>
      </c>
    </row>
    <row r="8" ht="15">
      <c r="A8" s="327" t="str">
        <f>CONCATENATE("estimated ",inputPrYr!C5," 'total expenditures' exceed your ",inputPrYr!C5,"")</f>
        <v>estimated 2013 'total expenditures' exceed your 2013</v>
      </c>
    </row>
    <row r="9" ht="15">
      <c r="A9" s="330" t="s">
        <v>536</v>
      </c>
    </row>
    <row r="10" ht="15">
      <c r="A10" s="327"/>
    </row>
    <row r="11" ht="15">
      <c r="A11" s="327" t="s">
        <v>537</v>
      </c>
    </row>
    <row r="12" ht="15">
      <c r="A12" s="327" t="s">
        <v>538</v>
      </c>
    </row>
    <row r="13" ht="15">
      <c r="A13" s="327" t="s">
        <v>539</v>
      </c>
    </row>
    <row r="14" ht="15">
      <c r="A14" s="327"/>
    </row>
    <row r="15" ht="15">
      <c r="A15" s="328" t="s">
        <v>540</v>
      </c>
    </row>
    <row r="16" spans="1:7" ht="15">
      <c r="A16" s="326"/>
      <c r="B16" s="326"/>
      <c r="C16" s="326"/>
      <c r="D16" s="326"/>
      <c r="E16" s="326"/>
      <c r="F16" s="326"/>
      <c r="G16" s="326"/>
    </row>
    <row r="17" spans="1:8" ht="15">
      <c r="A17" s="331" t="s">
        <v>541</v>
      </c>
      <c r="B17" s="332"/>
      <c r="C17" s="332"/>
      <c r="D17" s="332"/>
      <c r="E17" s="332"/>
      <c r="F17" s="332"/>
      <c r="G17" s="332"/>
      <c r="H17" s="332"/>
    </row>
    <row r="18" spans="1:7" ht="15">
      <c r="A18" s="327" t="s">
        <v>542</v>
      </c>
      <c r="B18" s="333"/>
      <c r="C18" s="333"/>
      <c r="D18" s="333"/>
      <c r="E18" s="333"/>
      <c r="F18" s="333"/>
      <c r="G18" s="333"/>
    </row>
    <row r="19" ht="15">
      <c r="A19" s="327" t="s">
        <v>543</v>
      </c>
    </row>
    <row r="20" ht="15">
      <c r="A20" s="327" t="s">
        <v>544</v>
      </c>
    </row>
    <row r="22" ht="15">
      <c r="A22" s="328" t="s">
        <v>545</v>
      </c>
    </row>
    <row r="24" ht="15">
      <c r="A24" s="327" t="s">
        <v>546</v>
      </c>
    </row>
    <row r="25" ht="15">
      <c r="A25" s="327" t="s">
        <v>547</v>
      </c>
    </row>
    <row r="26" ht="15">
      <c r="A26" s="327" t="s">
        <v>548</v>
      </c>
    </row>
    <row r="28" ht="15">
      <c r="A28" s="328" t="s">
        <v>549</v>
      </c>
    </row>
    <row r="30" ht="15">
      <c r="A30" t="s">
        <v>550</v>
      </c>
    </row>
    <row r="31" ht="15">
      <c r="A31" t="s">
        <v>551</v>
      </c>
    </row>
    <row r="32" ht="15">
      <c r="A32" t="s">
        <v>552</v>
      </c>
    </row>
    <row r="33" ht="15">
      <c r="A33" s="327" t="s">
        <v>553</v>
      </c>
    </row>
    <row r="35" ht="15">
      <c r="A35" t="s">
        <v>554</v>
      </c>
    </row>
    <row r="36" ht="15">
      <c r="A36" t="s">
        <v>555</v>
      </c>
    </row>
    <row r="37" ht="15">
      <c r="A37" t="s">
        <v>556</v>
      </c>
    </row>
    <row r="38" ht="15">
      <c r="A38" t="s">
        <v>557</v>
      </c>
    </row>
    <row r="40" ht="15">
      <c r="A40" t="s">
        <v>558</v>
      </c>
    </row>
    <row r="41" ht="15">
      <c r="A41" t="s">
        <v>559</v>
      </c>
    </row>
    <row r="42" ht="15">
      <c r="A42" t="s">
        <v>560</v>
      </c>
    </row>
    <row r="43" ht="15">
      <c r="A43" t="s">
        <v>561</v>
      </c>
    </row>
    <row r="44" ht="15">
      <c r="A44" t="s">
        <v>562</v>
      </c>
    </row>
    <row r="45" ht="15">
      <c r="A45" t="s">
        <v>563</v>
      </c>
    </row>
    <row r="47" ht="15">
      <c r="A47" t="s">
        <v>564</v>
      </c>
    </row>
    <row r="48" ht="15">
      <c r="A48" t="s">
        <v>565</v>
      </c>
    </row>
    <row r="49" ht="15">
      <c r="A49" s="327" t="s">
        <v>566</v>
      </c>
    </row>
    <row r="50" ht="15">
      <c r="A50" s="327" t="s">
        <v>567</v>
      </c>
    </row>
    <row r="52" ht="15">
      <c r="A52" t="s">
        <v>417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02" customWidth="1"/>
    <col min="2" max="2" width="11.19921875" style="404" customWidth="1"/>
    <col min="3" max="3" width="7.3984375" style="404" customWidth="1"/>
    <col min="4" max="4" width="8.8984375" style="404" customWidth="1"/>
    <col min="5" max="5" width="1.59765625" style="404" customWidth="1"/>
    <col min="6" max="6" width="14.296875" style="404" customWidth="1"/>
    <col min="7" max="7" width="2.59765625" style="404" customWidth="1"/>
    <col min="8" max="8" width="9.796875" style="404" customWidth="1"/>
    <col min="9" max="9" width="2" style="404" customWidth="1"/>
    <col min="10" max="10" width="8.59765625" style="404" customWidth="1"/>
    <col min="11" max="11" width="11.69921875" style="404" customWidth="1"/>
    <col min="12" max="12" width="7.59765625" style="402" customWidth="1"/>
    <col min="13" max="14" width="8.8984375" style="402" customWidth="1"/>
    <col min="15" max="15" width="9.8984375" style="402" bestFit="1" customWidth="1"/>
    <col min="16" max="16384" width="8.8984375" style="402"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767" t="s">
        <v>603</v>
      </c>
      <c r="C6" s="771"/>
      <c r="D6" s="771"/>
      <c r="E6" s="771"/>
      <c r="F6" s="771"/>
      <c r="G6" s="771"/>
      <c r="H6" s="771"/>
      <c r="I6" s="771"/>
      <c r="J6" s="771"/>
      <c r="K6" s="771"/>
      <c r="L6" s="405"/>
    </row>
    <row r="7" spans="1:12" ht="40.5" customHeight="1">
      <c r="A7" s="403"/>
      <c r="B7" s="784" t="s">
        <v>604</v>
      </c>
      <c r="C7" s="785"/>
      <c r="D7" s="785"/>
      <c r="E7" s="785"/>
      <c r="F7" s="785"/>
      <c r="G7" s="785"/>
      <c r="H7" s="785"/>
      <c r="I7" s="785"/>
      <c r="J7" s="785"/>
      <c r="K7" s="785"/>
      <c r="L7" s="403"/>
    </row>
    <row r="8" spans="1:12" ht="14.25">
      <c r="A8" s="403"/>
      <c r="B8" s="777" t="s">
        <v>605</v>
      </c>
      <c r="C8" s="777"/>
      <c r="D8" s="777"/>
      <c r="E8" s="777"/>
      <c r="F8" s="777"/>
      <c r="G8" s="777"/>
      <c r="H8" s="777"/>
      <c r="I8" s="777"/>
      <c r="J8" s="777"/>
      <c r="K8" s="777"/>
      <c r="L8" s="403"/>
    </row>
    <row r="9" spans="1:12" ht="14.25">
      <c r="A9" s="403"/>
      <c r="L9" s="403"/>
    </row>
    <row r="10" spans="1:12" ht="14.25">
      <c r="A10" s="403"/>
      <c r="B10" s="777" t="s">
        <v>606</v>
      </c>
      <c r="C10" s="777"/>
      <c r="D10" s="777"/>
      <c r="E10" s="777"/>
      <c r="F10" s="777"/>
      <c r="G10" s="777"/>
      <c r="H10" s="777"/>
      <c r="I10" s="777"/>
      <c r="J10" s="777"/>
      <c r="K10" s="777"/>
      <c r="L10" s="403"/>
    </row>
    <row r="11" spans="1:12" ht="14.25">
      <c r="A11" s="403"/>
      <c r="B11" s="527"/>
      <c r="C11" s="527"/>
      <c r="D11" s="527"/>
      <c r="E11" s="527"/>
      <c r="F11" s="527"/>
      <c r="G11" s="527"/>
      <c r="H11" s="527"/>
      <c r="I11" s="527"/>
      <c r="J11" s="527"/>
      <c r="K11" s="527"/>
      <c r="L11" s="403"/>
    </row>
    <row r="12" spans="1:12" ht="32.25" customHeight="1">
      <c r="A12" s="403"/>
      <c r="B12" s="769" t="s">
        <v>607</v>
      </c>
      <c r="C12" s="769"/>
      <c r="D12" s="769"/>
      <c r="E12" s="769"/>
      <c r="F12" s="769"/>
      <c r="G12" s="769"/>
      <c r="H12" s="769"/>
      <c r="I12" s="769"/>
      <c r="J12" s="769"/>
      <c r="K12" s="769"/>
      <c r="L12" s="403"/>
    </row>
    <row r="13" spans="1:12" ht="14.25">
      <c r="A13" s="403"/>
      <c r="L13" s="403"/>
    </row>
    <row r="14" spans="1:12" ht="14.25">
      <c r="A14" s="403"/>
      <c r="B14" s="406" t="s">
        <v>608</v>
      </c>
      <c r="L14" s="403"/>
    </row>
    <row r="15" spans="1:12" ht="14.25">
      <c r="A15" s="403"/>
      <c r="L15" s="403"/>
    </row>
    <row r="16" spans="1:12" ht="14.25">
      <c r="A16" s="403"/>
      <c r="B16" s="404" t="s">
        <v>609</v>
      </c>
      <c r="L16" s="403"/>
    </row>
    <row r="17" spans="1:12" ht="14.25">
      <c r="A17" s="403"/>
      <c r="B17" s="404" t="s">
        <v>610</v>
      </c>
      <c r="L17" s="403"/>
    </row>
    <row r="18" spans="1:12" ht="14.25">
      <c r="A18" s="403"/>
      <c r="L18" s="403"/>
    </row>
    <row r="19" spans="1:12" ht="14.25">
      <c r="A19" s="403"/>
      <c r="B19" s="406" t="s">
        <v>776</v>
      </c>
      <c r="L19" s="403"/>
    </row>
    <row r="20" spans="1:12" ht="14.25">
      <c r="A20" s="403"/>
      <c r="B20" s="406"/>
      <c r="L20" s="403"/>
    </row>
    <row r="21" spans="1:12" ht="14.25">
      <c r="A21" s="403"/>
      <c r="B21" s="404" t="s">
        <v>777</v>
      </c>
      <c r="L21" s="403"/>
    </row>
    <row r="22" spans="1:12" ht="14.25">
      <c r="A22" s="403"/>
      <c r="L22" s="403"/>
    </row>
    <row r="23" spans="1:12" ht="14.25">
      <c r="A23" s="403"/>
      <c r="B23" s="404" t="s">
        <v>611</v>
      </c>
      <c r="E23" s="404" t="s">
        <v>612</v>
      </c>
      <c r="F23" s="775">
        <v>312000000</v>
      </c>
      <c r="G23" s="775"/>
      <c r="L23" s="403"/>
    </row>
    <row r="24" spans="1:12" ht="14.25">
      <c r="A24" s="403"/>
      <c r="L24" s="403"/>
    </row>
    <row r="25" spans="1:12" ht="14.25">
      <c r="A25" s="403"/>
      <c r="C25" s="786">
        <f>F23</f>
        <v>312000000</v>
      </c>
      <c r="D25" s="786"/>
      <c r="E25" s="404" t="s">
        <v>613</v>
      </c>
      <c r="F25" s="407">
        <v>1000</v>
      </c>
      <c r="G25" s="407" t="s">
        <v>612</v>
      </c>
      <c r="H25" s="528">
        <f>F23/F25</f>
        <v>312000</v>
      </c>
      <c r="L25" s="403"/>
    </row>
    <row r="26" spans="1:12" ht="15" thickBot="1">
      <c r="A26" s="403"/>
      <c r="L26" s="403"/>
    </row>
    <row r="27" spans="1:12" ht="14.25">
      <c r="A27" s="403"/>
      <c r="B27" s="408" t="s">
        <v>608</v>
      </c>
      <c r="C27" s="409"/>
      <c r="D27" s="409"/>
      <c r="E27" s="409"/>
      <c r="F27" s="409"/>
      <c r="G27" s="409"/>
      <c r="H27" s="409"/>
      <c r="I27" s="409"/>
      <c r="J27" s="409"/>
      <c r="K27" s="410"/>
      <c r="L27" s="403"/>
    </row>
    <row r="28" spans="1:12" ht="14.25">
      <c r="A28" s="403"/>
      <c r="B28" s="411">
        <f>F23</f>
        <v>312000000</v>
      </c>
      <c r="C28" s="412" t="s">
        <v>614</v>
      </c>
      <c r="D28" s="412"/>
      <c r="E28" s="412" t="s">
        <v>613</v>
      </c>
      <c r="F28" s="525">
        <v>1000</v>
      </c>
      <c r="G28" s="525" t="s">
        <v>612</v>
      </c>
      <c r="H28" s="413">
        <f>B28/F28</f>
        <v>312000</v>
      </c>
      <c r="I28" s="412" t="s">
        <v>615</v>
      </c>
      <c r="J28" s="412"/>
      <c r="K28" s="414"/>
      <c r="L28" s="403"/>
    </row>
    <row r="29" spans="1:12" ht="15" thickBot="1">
      <c r="A29" s="403"/>
      <c r="B29" s="415"/>
      <c r="C29" s="416"/>
      <c r="D29" s="416"/>
      <c r="E29" s="416"/>
      <c r="F29" s="416"/>
      <c r="G29" s="416"/>
      <c r="H29" s="416"/>
      <c r="I29" s="416"/>
      <c r="J29" s="416"/>
      <c r="K29" s="417"/>
      <c r="L29" s="403"/>
    </row>
    <row r="30" spans="1:12" ht="40.5" customHeight="1">
      <c r="A30" s="403"/>
      <c r="B30" s="766" t="s">
        <v>604</v>
      </c>
      <c r="C30" s="766"/>
      <c r="D30" s="766"/>
      <c r="E30" s="766"/>
      <c r="F30" s="766"/>
      <c r="G30" s="766"/>
      <c r="H30" s="766"/>
      <c r="I30" s="766"/>
      <c r="J30" s="766"/>
      <c r="K30" s="766"/>
      <c r="L30" s="403"/>
    </row>
    <row r="31" spans="1:12" ht="14.25">
      <c r="A31" s="403"/>
      <c r="B31" s="777" t="s">
        <v>616</v>
      </c>
      <c r="C31" s="777"/>
      <c r="D31" s="777"/>
      <c r="E31" s="777"/>
      <c r="F31" s="777"/>
      <c r="G31" s="777"/>
      <c r="H31" s="777"/>
      <c r="I31" s="777"/>
      <c r="J31" s="777"/>
      <c r="K31" s="777"/>
      <c r="L31" s="403"/>
    </row>
    <row r="32" spans="1:12" ht="14.25">
      <c r="A32" s="403"/>
      <c r="L32" s="403"/>
    </row>
    <row r="33" spans="1:12" ht="14.25">
      <c r="A33" s="403"/>
      <c r="B33" s="777" t="s">
        <v>617</v>
      </c>
      <c r="C33" s="777"/>
      <c r="D33" s="777"/>
      <c r="E33" s="777"/>
      <c r="F33" s="777"/>
      <c r="G33" s="777"/>
      <c r="H33" s="777"/>
      <c r="I33" s="777"/>
      <c r="J33" s="777"/>
      <c r="K33" s="777"/>
      <c r="L33" s="403"/>
    </row>
    <row r="34" spans="1:12" ht="14.25">
      <c r="A34" s="403"/>
      <c r="L34" s="403"/>
    </row>
    <row r="35" spans="1:12" ht="89.25" customHeight="1">
      <c r="A35" s="403"/>
      <c r="B35" s="769" t="s">
        <v>618</v>
      </c>
      <c r="C35" s="774"/>
      <c r="D35" s="774"/>
      <c r="E35" s="774"/>
      <c r="F35" s="774"/>
      <c r="G35" s="774"/>
      <c r="H35" s="774"/>
      <c r="I35" s="774"/>
      <c r="J35" s="774"/>
      <c r="K35" s="774"/>
      <c r="L35" s="403"/>
    </row>
    <row r="36" spans="1:12" ht="14.25">
      <c r="A36" s="403"/>
      <c r="L36" s="403"/>
    </row>
    <row r="37" spans="1:12" ht="14.25">
      <c r="A37" s="403"/>
      <c r="B37" s="406" t="s">
        <v>619</v>
      </c>
      <c r="L37" s="403"/>
    </row>
    <row r="38" spans="1:12" ht="14.25">
      <c r="A38" s="403"/>
      <c r="L38" s="403"/>
    </row>
    <row r="39" spans="1:12" ht="14.25">
      <c r="A39" s="403"/>
      <c r="B39" s="404" t="s">
        <v>620</v>
      </c>
      <c r="L39" s="403"/>
    </row>
    <row r="40" spans="1:12" ht="14.25">
      <c r="A40" s="403"/>
      <c r="L40" s="403"/>
    </row>
    <row r="41" spans="1:12" ht="14.25">
      <c r="A41" s="403"/>
      <c r="C41" s="778">
        <v>312000000</v>
      </c>
      <c r="D41" s="778"/>
      <c r="E41" s="404" t="s">
        <v>613</v>
      </c>
      <c r="F41" s="407">
        <v>1000</v>
      </c>
      <c r="G41" s="407" t="s">
        <v>612</v>
      </c>
      <c r="H41" s="418">
        <f>C41/F41</f>
        <v>312000</v>
      </c>
      <c r="L41" s="403"/>
    </row>
    <row r="42" spans="1:12" ht="14.25">
      <c r="A42" s="403"/>
      <c r="L42" s="403"/>
    </row>
    <row r="43" spans="1:12" ht="14.25">
      <c r="A43" s="403"/>
      <c r="B43" s="404" t="s">
        <v>621</v>
      </c>
      <c r="L43" s="403"/>
    </row>
    <row r="44" spans="1:12" ht="14.25">
      <c r="A44" s="403"/>
      <c r="L44" s="403"/>
    </row>
    <row r="45" spans="1:12" ht="14.25">
      <c r="A45" s="403"/>
      <c r="B45" s="404" t="s">
        <v>622</v>
      </c>
      <c r="L45" s="403"/>
    </row>
    <row r="46" spans="1:12" ht="15" thickBot="1">
      <c r="A46" s="403"/>
      <c r="L46" s="403"/>
    </row>
    <row r="47" spans="1:12" ht="14.25">
      <c r="A47" s="403"/>
      <c r="B47" s="419" t="s">
        <v>608</v>
      </c>
      <c r="C47" s="409"/>
      <c r="D47" s="409"/>
      <c r="E47" s="409"/>
      <c r="F47" s="409"/>
      <c r="G47" s="409"/>
      <c r="H47" s="409"/>
      <c r="I47" s="409"/>
      <c r="J47" s="409"/>
      <c r="K47" s="410"/>
      <c r="L47" s="403"/>
    </row>
    <row r="48" spans="1:12" ht="14.25">
      <c r="A48" s="403"/>
      <c r="B48" s="779">
        <v>312000000</v>
      </c>
      <c r="C48" s="775"/>
      <c r="D48" s="412" t="s">
        <v>623</v>
      </c>
      <c r="E48" s="412" t="s">
        <v>613</v>
      </c>
      <c r="F48" s="525">
        <v>1000</v>
      </c>
      <c r="G48" s="525" t="s">
        <v>612</v>
      </c>
      <c r="H48" s="413">
        <f>B48/F48</f>
        <v>312000</v>
      </c>
      <c r="I48" s="412" t="s">
        <v>624</v>
      </c>
      <c r="J48" s="412"/>
      <c r="K48" s="414"/>
      <c r="L48" s="403"/>
    </row>
    <row r="49" spans="1:12" ht="14.25">
      <c r="A49" s="403"/>
      <c r="B49" s="420"/>
      <c r="C49" s="412"/>
      <c r="D49" s="412"/>
      <c r="E49" s="412"/>
      <c r="F49" s="412"/>
      <c r="G49" s="412"/>
      <c r="H49" s="412"/>
      <c r="I49" s="412"/>
      <c r="J49" s="412"/>
      <c r="K49" s="414"/>
      <c r="L49" s="403"/>
    </row>
    <row r="50" spans="1:12" ht="14.25">
      <c r="A50" s="403"/>
      <c r="B50" s="421">
        <v>50000</v>
      </c>
      <c r="C50" s="412" t="s">
        <v>625</v>
      </c>
      <c r="D50" s="412"/>
      <c r="E50" s="412" t="s">
        <v>613</v>
      </c>
      <c r="F50" s="413">
        <f>H48</f>
        <v>312000</v>
      </c>
      <c r="G50" s="780" t="s">
        <v>626</v>
      </c>
      <c r="H50" s="781"/>
      <c r="I50" s="525" t="s">
        <v>612</v>
      </c>
      <c r="J50" s="422">
        <f>B50/F50</f>
        <v>0.16025641025641027</v>
      </c>
      <c r="K50" s="414"/>
      <c r="L50" s="403"/>
    </row>
    <row r="51" spans="1:15" ht="15" thickBot="1">
      <c r="A51" s="403"/>
      <c r="B51" s="415"/>
      <c r="C51" s="416"/>
      <c r="D51" s="416"/>
      <c r="E51" s="416"/>
      <c r="F51" s="416"/>
      <c r="G51" s="416"/>
      <c r="H51" s="416"/>
      <c r="I51" s="782" t="s">
        <v>627</v>
      </c>
      <c r="J51" s="782"/>
      <c r="K51" s="783"/>
      <c r="L51" s="403"/>
      <c r="O51" s="512"/>
    </row>
    <row r="52" spans="1:12" ht="40.5" customHeight="1">
      <c r="A52" s="403"/>
      <c r="B52" s="766" t="s">
        <v>604</v>
      </c>
      <c r="C52" s="766"/>
      <c r="D52" s="766"/>
      <c r="E52" s="766"/>
      <c r="F52" s="766"/>
      <c r="G52" s="766"/>
      <c r="H52" s="766"/>
      <c r="I52" s="766"/>
      <c r="J52" s="766"/>
      <c r="K52" s="766"/>
      <c r="L52" s="403"/>
    </row>
    <row r="53" spans="1:12" ht="14.25">
      <c r="A53" s="403"/>
      <c r="B53" s="777" t="s">
        <v>628</v>
      </c>
      <c r="C53" s="777"/>
      <c r="D53" s="777"/>
      <c r="E53" s="777"/>
      <c r="F53" s="777"/>
      <c r="G53" s="777"/>
      <c r="H53" s="777"/>
      <c r="I53" s="777"/>
      <c r="J53" s="777"/>
      <c r="K53" s="777"/>
      <c r="L53" s="403"/>
    </row>
    <row r="54" spans="1:12" ht="14.25">
      <c r="A54" s="403"/>
      <c r="B54" s="527"/>
      <c r="C54" s="527"/>
      <c r="D54" s="527"/>
      <c r="E54" s="527"/>
      <c r="F54" s="527"/>
      <c r="G54" s="527"/>
      <c r="H54" s="527"/>
      <c r="I54" s="527"/>
      <c r="J54" s="527"/>
      <c r="K54" s="527"/>
      <c r="L54" s="403"/>
    </row>
    <row r="55" spans="1:12" ht="14.25">
      <c r="A55" s="403"/>
      <c r="B55" s="767" t="s">
        <v>629</v>
      </c>
      <c r="C55" s="767"/>
      <c r="D55" s="767"/>
      <c r="E55" s="767"/>
      <c r="F55" s="767"/>
      <c r="G55" s="767"/>
      <c r="H55" s="767"/>
      <c r="I55" s="767"/>
      <c r="J55" s="767"/>
      <c r="K55" s="767"/>
      <c r="L55" s="403"/>
    </row>
    <row r="56" spans="1:12" ht="15" customHeight="1">
      <c r="A56" s="403"/>
      <c r="L56" s="403"/>
    </row>
    <row r="57" spans="1:24" ht="74.25" customHeight="1">
      <c r="A57" s="403"/>
      <c r="B57" s="769" t="s">
        <v>630</v>
      </c>
      <c r="C57" s="774"/>
      <c r="D57" s="774"/>
      <c r="E57" s="774"/>
      <c r="F57" s="774"/>
      <c r="G57" s="774"/>
      <c r="H57" s="774"/>
      <c r="I57" s="774"/>
      <c r="J57" s="774"/>
      <c r="K57" s="774"/>
      <c r="L57" s="403"/>
      <c r="M57" s="423"/>
      <c r="N57" s="424"/>
      <c r="O57" s="424"/>
      <c r="P57" s="424"/>
      <c r="Q57" s="424"/>
      <c r="R57" s="424"/>
      <c r="S57" s="424"/>
      <c r="T57" s="424"/>
      <c r="U57" s="424"/>
      <c r="V57" s="424"/>
      <c r="W57" s="424"/>
      <c r="X57" s="424"/>
    </row>
    <row r="58" spans="1:24" ht="15" customHeight="1">
      <c r="A58" s="403"/>
      <c r="B58" s="769"/>
      <c r="C58" s="774"/>
      <c r="D58" s="774"/>
      <c r="E58" s="774"/>
      <c r="F58" s="774"/>
      <c r="G58" s="774"/>
      <c r="H58" s="774"/>
      <c r="I58" s="774"/>
      <c r="J58" s="774"/>
      <c r="K58" s="774"/>
      <c r="L58" s="403"/>
      <c r="M58" s="423"/>
      <c r="N58" s="424"/>
      <c r="O58" s="424"/>
      <c r="P58" s="424"/>
      <c r="Q58" s="424"/>
      <c r="R58" s="424"/>
      <c r="S58" s="424"/>
      <c r="T58" s="424"/>
      <c r="U58" s="424"/>
      <c r="V58" s="424"/>
      <c r="W58" s="424"/>
      <c r="X58" s="424"/>
    </row>
    <row r="59" spans="1:24" ht="14.25">
      <c r="A59" s="403"/>
      <c r="B59" s="406" t="s">
        <v>619</v>
      </c>
      <c r="L59" s="403"/>
      <c r="M59" s="424"/>
      <c r="N59" s="424"/>
      <c r="O59" s="424"/>
      <c r="P59" s="424"/>
      <c r="Q59" s="424"/>
      <c r="R59" s="424"/>
      <c r="S59" s="424"/>
      <c r="T59" s="424"/>
      <c r="U59" s="424"/>
      <c r="V59" s="424"/>
      <c r="W59" s="424"/>
      <c r="X59" s="424"/>
    </row>
    <row r="60" spans="1:24" ht="14.25">
      <c r="A60" s="403"/>
      <c r="L60" s="403"/>
      <c r="M60" s="424"/>
      <c r="N60" s="424"/>
      <c r="O60" s="424"/>
      <c r="P60" s="424"/>
      <c r="Q60" s="424"/>
      <c r="R60" s="424"/>
      <c r="S60" s="424"/>
      <c r="T60" s="424"/>
      <c r="U60" s="424"/>
      <c r="V60" s="424"/>
      <c r="W60" s="424"/>
      <c r="X60" s="424"/>
    </row>
    <row r="61" spans="1:24" ht="14.25">
      <c r="A61" s="403"/>
      <c r="B61" s="404" t="s">
        <v>631</v>
      </c>
      <c r="L61" s="403"/>
      <c r="M61" s="424"/>
      <c r="N61" s="424"/>
      <c r="O61" s="424"/>
      <c r="P61" s="424"/>
      <c r="Q61" s="424"/>
      <c r="R61" s="424"/>
      <c r="S61" s="424"/>
      <c r="T61" s="424"/>
      <c r="U61" s="424"/>
      <c r="V61" s="424"/>
      <c r="W61" s="424"/>
      <c r="X61" s="424"/>
    </row>
    <row r="62" spans="1:24" ht="14.25">
      <c r="A62" s="403"/>
      <c r="B62" s="404" t="s">
        <v>778</v>
      </c>
      <c r="L62" s="403"/>
      <c r="M62" s="424"/>
      <c r="N62" s="424"/>
      <c r="O62" s="424"/>
      <c r="P62" s="424"/>
      <c r="Q62" s="424"/>
      <c r="R62" s="424"/>
      <c r="S62" s="424"/>
      <c r="T62" s="424"/>
      <c r="U62" s="424"/>
      <c r="V62" s="424"/>
      <c r="W62" s="424"/>
      <c r="X62" s="424"/>
    </row>
    <row r="63" spans="1:24" ht="14.25">
      <c r="A63" s="403"/>
      <c r="B63" s="404" t="s">
        <v>779</v>
      </c>
      <c r="L63" s="403"/>
      <c r="M63" s="424"/>
      <c r="N63" s="424"/>
      <c r="O63" s="424"/>
      <c r="P63" s="424"/>
      <c r="Q63" s="424"/>
      <c r="R63" s="424"/>
      <c r="S63" s="424"/>
      <c r="T63" s="424"/>
      <c r="U63" s="424"/>
      <c r="V63" s="424"/>
      <c r="W63" s="424"/>
      <c r="X63" s="424"/>
    </row>
    <row r="64" spans="1:24" ht="14.25">
      <c r="A64" s="403"/>
      <c r="L64" s="403"/>
      <c r="M64" s="424"/>
      <c r="N64" s="424"/>
      <c r="O64" s="424"/>
      <c r="P64" s="424"/>
      <c r="Q64" s="424"/>
      <c r="R64" s="424"/>
      <c r="S64" s="424"/>
      <c r="T64" s="424"/>
      <c r="U64" s="424"/>
      <c r="V64" s="424"/>
      <c r="W64" s="424"/>
      <c r="X64" s="424"/>
    </row>
    <row r="65" spans="1:24" ht="14.25">
      <c r="A65" s="403"/>
      <c r="B65" s="404" t="s">
        <v>632</v>
      </c>
      <c r="L65" s="403"/>
      <c r="M65" s="424"/>
      <c r="N65" s="424"/>
      <c r="O65" s="424"/>
      <c r="P65" s="424"/>
      <c r="Q65" s="424"/>
      <c r="R65" s="424"/>
      <c r="S65" s="424"/>
      <c r="T65" s="424"/>
      <c r="U65" s="424"/>
      <c r="V65" s="424"/>
      <c r="W65" s="424"/>
      <c r="X65" s="424"/>
    </row>
    <row r="66" spans="1:24" ht="14.25">
      <c r="A66" s="403"/>
      <c r="B66" s="404" t="s">
        <v>633</v>
      </c>
      <c r="L66" s="403"/>
      <c r="M66" s="424"/>
      <c r="N66" s="424"/>
      <c r="O66" s="424"/>
      <c r="P66" s="424"/>
      <c r="Q66" s="424"/>
      <c r="R66" s="424"/>
      <c r="S66" s="424"/>
      <c r="T66" s="424"/>
      <c r="U66" s="424"/>
      <c r="V66" s="424"/>
      <c r="W66" s="424"/>
      <c r="X66" s="424"/>
    </row>
    <row r="67" spans="1:24" ht="14.25">
      <c r="A67" s="403"/>
      <c r="L67" s="403"/>
      <c r="M67" s="424"/>
      <c r="N67" s="424"/>
      <c r="O67" s="424"/>
      <c r="P67" s="424"/>
      <c r="Q67" s="424"/>
      <c r="R67" s="424"/>
      <c r="S67" s="424"/>
      <c r="T67" s="424"/>
      <c r="U67" s="424"/>
      <c r="V67" s="424"/>
      <c r="W67" s="424"/>
      <c r="X67" s="424"/>
    </row>
    <row r="68" spans="1:24" ht="14.25">
      <c r="A68" s="403"/>
      <c r="B68" s="404" t="s">
        <v>634</v>
      </c>
      <c r="L68" s="403"/>
      <c r="M68" s="425"/>
      <c r="N68" s="426"/>
      <c r="O68" s="426"/>
      <c r="P68" s="426"/>
      <c r="Q68" s="426"/>
      <c r="R68" s="426"/>
      <c r="S68" s="426"/>
      <c r="T68" s="426"/>
      <c r="U68" s="426"/>
      <c r="V68" s="426"/>
      <c r="W68" s="426"/>
      <c r="X68" s="424"/>
    </row>
    <row r="69" spans="1:24" ht="14.25">
      <c r="A69" s="403"/>
      <c r="B69" s="404" t="s">
        <v>780</v>
      </c>
      <c r="L69" s="403"/>
      <c r="M69" s="424"/>
      <c r="N69" s="424"/>
      <c r="O69" s="424"/>
      <c r="P69" s="424"/>
      <c r="Q69" s="424"/>
      <c r="R69" s="424"/>
      <c r="S69" s="424"/>
      <c r="T69" s="424"/>
      <c r="U69" s="424"/>
      <c r="V69" s="424"/>
      <c r="W69" s="424"/>
      <c r="X69" s="424"/>
    </row>
    <row r="70" spans="1:24" ht="14.25">
      <c r="A70" s="403"/>
      <c r="B70" s="404" t="s">
        <v>781</v>
      </c>
      <c r="L70" s="403"/>
      <c r="M70" s="424"/>
      <c r="N70" s="424"/>
      <c r="O70" s="424"/>
      <c r="P70" s="424"/>
      <c r="Q70" s="424"/>
      <c r="R70" s="424"/>
      <c r="S70" s="424"/>
      <c r="T70" s="424"/>
      <c r="U70" s="424"/>
      <c r="V70" s="424"/>
      <c r="W70" s="424"/>
      <c r="X70" s="424"/>
    </row>
    <row r="71" spans="1:12" ht="15" thickBot="1">
      <c r="A71" s="403"/>
      <c r="B71" s="412"/>
      <c r="C71" s="412"/>
      <c r="D71" s="412"/>
      <c r="E71" s="412"/>
      <c r="F71" s="412"/>
      <c r="G71" s="412"/>
      <c r="H71" s="412"/>
      <c r="I71" s="412"/>
      <c r="J71" s="412"/>
      <c r="K71" s="412"/>
      <c r="L71" s="403"/>
    </row>
    <row r="72" spans="1:12" ht="14.25">
      <c r="A72" s="403"/>
      <c r="B72" s="408" t="s">
        <v>608</v>
      </c>
      <c r="C72" s="409"/>
      <c r="D72" s="409"/>
      <c r="E72" s="409"/>
      <c r="F72" s="409"/>
      <c r="G72" s="409"/>
      <c r="H72" s="409"/>
      <c r="I72" s="409"/>
      <c r="J72" s="409"/>
      <c r="K72" s="410"/>
      <c r="L72" s="427"/>
    </row>
    <row r="73" spans="1:12" ht="14.25">
      <c r="A73" s="403"/>
      <c r="B73" s="420"/>
      <c r="C73" s="412" t="s">
        <v>614</v>
      </c>
      <c r="D73" s="412"/>
      <c r="E73" s="412"/>
      <c r="F73" s="412"/>
      <c r="G73" s="412"/>
      <c r="H73" s="412"/>
      <c r="I73" s="412"/>
      <c r="J73" s="412"/>
      <c r="K73" s="414"/>
      <c r="L73" s="427"/>
    </row>
    <row r="74" spans="1:12" ht="14.25">
      <c r="A74" s="403"/>
      <c r="B74" s="420" t="s">
        <v>635</v>
      </c>
      <c r="C74" s="775">
        <v>312000000</v>
      </c>
      <c r="D74" s="775"/>
      <c r="E74" s="525" t="s">
        <v>613</v>
      </c>
      <c r="F74" s="525">
        <v>1000</v>
      </c>
      <c r="G74" s="525" t="s">
        <v>612</v>
      </c>
      <c r="H74" s="522">
        <f>C74/F74</f>
        <v>312000</v>
      </c>
      <c r="I74" s="412" t="s">
        <v>636</v>
      </c>
      <c r="J74" s="412"/>
      <c r="K74" s="414"/>
      <c r="L74" s="427"/>
    </row>
    <row r="75" spans="1:12" ht="14.25">
      <c r="A75" s="403"/>
      <c r="B75" s="420"/>
      <c r="C75" s="412"/>
      <c r="D75" s="412"/>
      <c r="E75" s="525"/>
      <c r="F75" s="412"/>
      <c r="G75" s="412"/>
      <c r="H75" s="412"/>
      <c r="I75" s="412"/>
      <c r="J75" s="412"/>
      <c r="K75" s="414"/>
      <c r="L75" s="427"/>
    </row>
    <row r="76" spans="1:12" ht="14.25">
      <c r="A76" s="403"/>
      <c r="B76" s="420"/>
      <c r="C76" s="412" t="s">
        <v>637</v>
      </c>
      <c r="D76" s="412"/>
      <c r="E76" s="525"/>
      <c r="F76" s="412" t="s">
        <v>636</v>
      </c>
      <c r="G76" s="412"/>
      <c r="H76" s="412"/>
      <c r="I76" s="412"/>
      <c r="J76" s="412"/>
      <c r="K76" s="414"/>
      <c r="L76" s="427"/>
    </row>
    <row r="77" spans="1:12" ht="14.25">
      <c r="A77" s="403"/>
      <c r="B77" s="420" t="s">
        <v>640</v>
      </c>
      <c r="C77" s="775">
        <v>50000</v>
      </c>
      <c r="D77" s="775"/>
      <c r="E77" s="525" t="s">
        <v>613</v>
      </c>
      <c r="F77" s="522">
        <f>H74</f>
        <v>312000</v>
      </c>
      <c r="G77" s="525" t="s">
        <v>612</v>
      </c>
      <c r="H77" s="422">
        <f>C77/F77</f>
        <v>0.16025641025641027</v>
      </c>
      <c r="I77" s="412" t="s">
        <v>638</v>
      </c>
      <c r="J77" s="412"/>
      <c r="K77" s="414"/>
      <c r="L77" s="427"/>
    </row>
    <row r="78" spans="1:12" ht="14.25">
      <c r="A78" s="403"/>
      <c r="B78" s="420"/>
      <c r="C78" s="412"/>
      <c r="D78" s="412"/>
      <c r="E78" s="525"/>
      <c r="F78" s="412"/>
      <c r="G78" s="412"/>
      <c r="H78" s="412"/>
      <c r="I78" s="412"/>
      <c r="J78" s="412"/>
      <c r="K78" s="414"/>
      <c r="L78" s="427"/>
    </row>
    <row r="79" spans="1:12" ht="14.25">
      <c r="A79" s="403"/>
      <c r="B79" s="428"/>
      <c r="C79" s="429" t="s">
        <v>639</v>
      </c>
      <c r="D79" s="429"/>
      <c r="E79" s="531"/>
      <c r="F79" s="429"/>
      <c r="G79" s="429"/>
      <c r="H79" s="429"/>
      <c r="I79" s="429"/>
      <c r="J79" s="429"/>
      <c r="K79" s="430"/>
      <c r="L79" s="427"/>
    </row>
    <row r="80" spans="1:12" ht="14.25">
      <c r="A80" s="403"/>
      <c r="B80" s="420" t="s">
        <v>691</v>
      </c>
      <c r="C80" s="775">
        <v>100000</v>
      </c>
      <c r="D80" s="775"/>
      <c r="E80" s="525" t="s">
        <v>92</v>
      </c>
      <c r="F80" s="525">
        <v>0.115</v>
      </c>
      <c r="G80" s="525" t="s">
        <v>612</v>
      </c>
      <c r="H80" s="522">
        <f>C80*F80</f>
        <v>11500</v>
      </c>
      <c r="I80" s="412" t="s">
        <v>641</v>
      </c>
      <c r="J80" s="412"/>
      <c r="K80" s="414"/>
      <c r="L80" s="427"/>
    </row>
    <row r="81" spans="1:12" ht="14.25">
      <c r="A81" s="403"/>
      <c r="B81" s="420"/>
      <c r="C81" s="412"/>
      <c r="D81" s="412"/>
      <c r="E81" s="525"/>
      <c r="F81" s="412"/>
      <c r="G81" s="412"/>
      <c r="H81" s="412"/>
      <c r="I81" s="412"/>
      <c r="J81" s="412"/>
      <c r="K81" s="414"/>
      <c r="L81" s="427"/>
    </row>
    <row r="82" spans="1:12" ht="14.25">
      <c r="A82" s="403"/>
      <c r="B82" s="428"/>
      <c r="C82" s="429" t="s">
        <v>642</v>
      </c>
      <c r="D82" s="429"/>
      <c r="E82" s="531"/>
      <c r="F82" s="429" t="s">
        <v>638</v>
      </c>
      <c r="G82" s="429"/>
      <c r="H82" s="429"/>
      <c r="I82" s="429"/>
      <c r="J82" s="429" t="s">
        <v>643</v>
      </c>
      <c r="K82" s="430"/>
      <c r="L82" s="427"/>
    </row>
    <row r="83" spans="1:12" ht="14.25">
      <c r="A83" s="403"/>
      <c r="B83" s="420" t="s">
        <v>692</v>
      </c>
      <c r="C83" s="776">
        <f>H80</f>
        <v>11500</v>
      </c>
      <c r="D83" s="776"/>
      <c r="E83" s="525" t="s">
        <v>92</v>
      </c>
      <c r="F83" s="422">
        <f>H77</f>
        <v>0.16025641025641027</v>
      </c>
      <c r="G83" s="525" t="s">
        <v>613</v>
      </c>
      <c r="H83" s="525">
        <v>1000</v>
      </c>
      <c r="I83" s="525" t="s">
        <v>612</v>
      </c>
      <c r="J83" s="523">
        <f>C83*F83/H83</f>
        <v>1.842948717948718</v>
      </c>
      <c r="K83" s="414"/>
      <c r="L83" s="427"/>
    </row>
    <row r="84" spans="1:12" ht="15" thickBot="1">
      <c r="A84" s="403"/>
      <c r="B84" s="415"/>
      <c r="C84" s="431"/>
      <c r="D84" s="431"/>
      <c r="E84" s="432"/>
      <c r="F84" s="433"/>
      <c r="G84" s="432"/>
      <c r="H84" s="432"/>
      <c r="I84" s="432"/>
      <c r="J84" s="434"/>
      <c r="K84" s="417"/>
      <c r="L84" s="427"/>
    </row>
    <row r="85" spans="1:12" ht="40.5" customHeight="1">
      <c r="A85" s="403"/>
      <c r="B85" s="766" t="s">
        <v>604</v>
      </c>
      <c r="C85" s="766"/>
      <c r="D85" s="766"/>
      <c r="E85" s="766"/>
      <c r="F85" s="766"/>
      <c r="G85" s="766"/>
      <c r="H85" s="766"/>
      <c r="I85" s="766"/>
      <c r="J85" s="766"/>
      <c r="K85" s="766"/>
      <c r="L85" s="403"/>
    </row>
    <row r="86" spans="1:12" ht="14.25">
      <c r="A86" s="403"/>
      <c r="B86" s="767" t="s">
        <v>644</v>
      </c>
      <c r="C86" s="767"/>
      <c r="D86" s="767"/>
      <c r="E86" s="767"/>
      <c r="F86" s="767"/>
      <c r="G86" s="767"/>
      <c r="H86" s="767"/>
      <c r="I86" s="767"/>
      <c r="J86" s="767"/>
      <c r="K86" s="767"/>
      <c r="L86" s="403"/>
    </row>
    <row r="87" spans="1:12" ht="14.25">
      <c r="A87" s="403"/>
      <c r="B87" s="435"/>
      <c r="C87" s="435"/>
      <c r="D87" s="435"/>
      <c r="E87" s="435"/>
      <c r="F87" s="435"/>
      <c r="G87" s="435"/>
      <c r="H87" s="435"/>
      <c r="I87" s="435"/>
      <c r="J87" s="435"/>
      <c r="K87" s="435"/>
      <c r="L87" s="403"/>
    </row>
    <row r="88" spans="1:12" ht="14.25">
      <c r="A88" s="403"/>
      <c r="B88" s="767" t="s">
        <v>645</v>
      </c>
      <c r="C88" s="767"/>
      <c r="D88" s="767"/>
      <c r="E88" s="767"/>
      <c r="F88" s="767"/>
      <c r="G88" s="767"/>
      <c r="H88" s="767"/>
      <c r="I88" s="767"/>
      <c r="J88" s="767"/>
      <c r="K88" s="767"/>
      <c r="L88" s="403"/>
    </row>
    <row r="89" spans="1:12" ht="14.25">
      <c r="A89" s="403"/>
      <c r="B89" s="524"/>
      <c r="C89" s="524"/>
      <c r="D89" s="524"/>
      <c r="E89" s="524"/>
      <c r="F89" s="524"/>
      <c r="G89" s="524"/>
      <c r="H89" s="524"/>
      <c r="I89" s="524"/>
      <c r="J89" s="524"/>
      <c r="K89" s="524"/>
      <c r="L89" s="403"/>
    </row>
    <row r="90" spans="1:12" ht="45" customHeight="1">
      <c r="A90" s="403"/>
      <c r="B90" s="769" t="s">
        <v>646</v>
      </c>
      <c r="C90" s="769"/>
      <c r="D90" s="769"/>
      <c r="E90" s="769"/>
      <c r="F90" s="769"/>
      <c r="G90" s="769"/>
      <c r="H90" s="769"/>
      <c r="I90" s="769"/>
      <c r="J90" s="769"/>
      <c r="K90" s="769"/>
      <c r="L90" s="403"/>
    </row>
    <row r="91" spans="1:12" ht="15" customHeight="1" thickBot="1">
      <c r="A91" s="403"/>
      <c r="L91" s="403"/>
    </row>
    <row r="92" spans="1:12" ht="15" customHeight="1">
      <c r="A92" s="403"/>
      <c r="B92" s="436" t="s">
        <v>608</v>
      </c>
      <c r="C92" s="437"/>
      <c r="D92" s="437"/>
      <c r="E92" s="437"/>
      <c r="F92" s="437"/>
      <c r="G92" s="437"/>
      <c r="H92" s="437"/>
      <c r="I92" s="437"/>
      <c r="J92" s="437"/>
      <c r="K92" s="438"/>
      <c r="L92" s="403"/>
    </row>
    <row r="93" spans="1:12" ht="15" customHeight="1">
      <c r="A93" s="403"/>
      <c r="B93" s="439"/>
      <c r="C93" s="529" t="s">
        <v>614</v>
      </c>
      <c r="D93" s="529"/>
      <c r="E93" s="529"/>
      <c r="F93" s="529"/>
      <c r="G93" s="529"/>
      <c r="H93" s="529"/>
      <c r="I93" s="529"/>
      <c r="J93" s="529"/>
      <c r="K93" s="440"/>
      <c r="L93" s="403"/>
    </row>
    <row r="94" spans="1:12" ht="15" customHeight="1">
      <c r="A94" s="403"/>
      <c r="B94" s="439" t="s">
        <v>635</v>
      </c>
      <c r="C94" s="775">
        <v>312000000</v>
      </c>
      <c r="D94" s="775"/>
      <c r="E94" s="525" t="s">
        <v>613</v>
      </c>
      <c r="F94" s="525">
        <v>1000</v>
      </c>
      <c r="G94" s="525" t="s">
        <v>612</v>
      </c>
      <c r="H94" s="522">
        <f>C94/F94</f>
        <v>312000</v>
      </c>
      <c r="I94" s="529" t="s">
        <v>636</v>
      </c>
      <c r="J94" s="529"/>
      <c r="K94" s="440"/>
      <c r="L94" s="403"/>
    </row>
    <row r="95" spans="1:12" ht="15" customHeight="1">
      <c r="A95" s="403"/>
      <c r="B95" s="439"/>
      <c r="C95" s="529"/>
      <c r="D95" s="529"/>
      <c r="E95" s="525"/>
      <c r="F95" s="529"/>
      <c r="G95" s="529"/>
      <c r="H95" s="529"/>
      <c r="I95" s="529"/>
      <c r="J95" s="529"/>
      <c r="K95" s="440"/>
      <c r="L95" s="403"/>
    </row>
    <row r="96" spans="1:12" ht="15" customHeight="1">
      <c r="A96" s="403"/>
      <c r="B96" s="439"/>
      <c r="C96" s="529" t="s">
        <v>637</v>
      </c>
      <c r="D96" s="529"/>
      <c r="E96" s="525"/>
      <c r="F96" s="529" t="s">
        <v>636</v>
      </c>
      <c r="G96" s="529"/>
      <c r="H96" s="529"/>
      <c r="I96" s="529"/>
      <c r="J96" s="529"/>
      <c r="K96" s="440"/>
      <c r="L96" s="403"/>
    </row>
    <row r="97" spans="1:12" ht="15" customHeight="1">
      <c r="A97" s="403"/>
      <c r="B97" s="439" t="s">
        <v>640</v>
      </c>
      <c r="C97" s="775">
        <v>50000</v>
      </c>
      <c r="D97" s="775"/>
      <c r="E97" s="525" t="s">
        <v>613</v>
      </c>
      <c r="F97" s="522">
        <f>H94</f>
        <v>312000</v>
      </c>
      <c r="G97" s="525" t="s">
        <v>612</v>
      </c>
      <c r="H97" s="422">
        <f>C97/F97</f>
        <v>0.16025641025641027</v>
      </c>
      <c r="I97" s="529" t="s">
        <v>638</v>
      </c>
      <c r="J97" s="529"/>
      <c r="K97" s="440"/>
      <c r="L97" s="403"/>
    </row>
    <row r="98" spans="1:12" ht="15" customHeight="1">
      <c r="A98" s="403"/>
      <c r="B98" s="439"/>
      <c r="C98" s="529"/>
      <c r="D98" s="529"/>
      <c r="E98" s="525"/>
      <c r="F98" s="529"/>
      <c r="G98" s="529"/>
      <c r="H98" s="529"/>
      <c r="I98" s="529"/>
      <c r="J98" s="529"/>
      <c r="K98" s="440"/>
      <c r="L98" s="403"/>
    </row>
    <row r="99" spans="1:12" ht="15" customHeight="1">
      <c r="A99" s="403"/>
      <c r="B99" s="441"/>
      <c r="C99" s="442" t="s">
        <v>647</v>
      </c>
      <c r="D99" s="442"/>
      <c r="E99" s="531"/>
      <c r="F99" s="442"/>
      <c r="G99" s="442"/>
      <c r="H99" s="442"/>
      <c r="I99" s="442"/>
      <c r="J99" s="442"/>
      <c r="K99" s="443"/>
      <c r="L99" s="403"/>
    </row>
    <row r="100" spans="1:12" ht="15" customHeight="1">
      <c r="A100" s="403"/>
      <c r="B100" s="439" t="s">
        <v>691</v>
      </c>
      <c r="C100" s="775">
        <v>2500000</v>
      </c>
      <c r="D100" s="775"/>
      <c r="E100" s="525" t="s">
        <v>92</v>
      </c>
      <c r="F100" s="444">
        <v>0.3</v>
      </c>
      <c r="G100" s="525" t="s">
        <v>612</v>
      </c>
      <c r="H100" s="522">
        <f>C100*F100</f>
        <v>750000</v>
      </c>
      <c r="I100" s="529" t="s">
        <v>641</v>
      </c>
      <c r="J100" s="529"/>
      <c r="K100" s="440"/>
      <c r="L100" s="403"/>
    </row>
    <row r="101" spans="1:12" ht="15" customHeight="1">
      <c r="A101" s="403"/>
      <c r="B101" s="439"/>
      <c r="C101" s="529"/>
      <c r="D101" s="529"/>
      <c r="E101" s="525"/>
      <c r="F101" s="529"/>
      <c r="G101" s="529"/>
      <c r="H101" s="529"/>
      <c r="I101" s="529"/>
      <c r="J101" s="529"/>
      <c r="K101" s="440"/>
      <c r="L101" s="403"/>
    </row>
    <row r="102" spans="1:12" ht="15" customHeight="1">
      <c r="A102" s="403"/>
      <c r="B102" s="441"/>
      <c r="C102" s="442" t="s">
        <v>642</v>
      </c>
      <c r="D102" s="442"/>
      <c r="E102" s="531"/>
      <c r="F102" s="442" t="s">
        <v>638</v>
      </c>
      <c r="G102" s="442"/>
      <c r="H102" s="442"/>
      <c r="I102" s="442"/>
      <c r="J102" s="442" t="s">
        <v>643</v>
      </c>
      <c r="K102" s="443"/>
      <c r="L102" s="403"/>
    </row>
    <row r="103" spans="1:12" ht="15" customHeight="1">
      <c r="A103" s="403"/>
      <c r="B103" s="439" t="s">
        <v>692</v>
      </c>
      <c r="C103" s="776">
        <f>H100</f>
        <v>750000</v>
      </c>
      <c r="D103" s="776"/>
      <c r="E103" s="525" t="s">
        <v>92</v>
      </c>
      <c r="F103" s="422">
        <f>H97</f>
        <v>0.16025641025641027</v>
      </c>
      <c r="G103" s="525" t="s">
        <v>613</v>
      </c>
      <c r="H103" s="525">
        <v>1000</v>
      </c>
      <c r="I103" s="525" t="s">
        <v>612</v>
      </c>
      <c r="J103" s="523">
        <f>C103*F103/H103</f>
        <v>120.19230769230771</v>
      </c>
      <c r="K103" s="440"/>
      <c r="L103" s="403"/>
    </row>
    <row r="104" spans="1:12" ht="15" customHeight="1" thickBot="1">
      <c r="A104" s="403"/>
      <c r="B104" s="445"/>
      <c r="C104" s="431"/>
      <c r="D104" s="431"/>
      <c r="E104" s="432"/>
      <c r="F104" s="433"/>
      <c r="G104" s="432"/>
      <c r="H104" s="432"/>
      <c r="I104" s="432"/>
      <c r="J104" s="434"/>
      <c r="K104" s="530"/>
      <c r="L104" s="403"/>
    </row>
    <row r="105" spans="1:12" ht="40.5" customHeight="1">
      <c r="A105" s="403"/>
      <c r="B105" s="766" t="s">
        <v>604</v>
      </c>
      <c r="C105" s="788"/>
      <c r="D105" s="788"/>
      <c r="E105" s="788"/>
      <c r="F105" s="788"/>
      <c r="G105" s="788"/>
      <c r="H105" s="788"/>
      <c r="I105" s="788"/>
      <c r="J105" s="788"/>
      <c r="K105" s="788"/>
      <c r="L105" s="403"/>
    </row>
    <row r="106" spans="1:12" ht="15" customHeight="1">
      <c r="A106" s="403"/>
      <c r="B106" s="770" t="s">
        <v>648</v>
      </c>
      <c r="C106" s="771"/>
      <c r="D106" s="771"/>
      <c r="E106" s="771"/>
      <c r="F106" s="771"/>
      <c r="G106" s="771"/>
      <c r="H106" s="771"/>
      <c r="I106" s="771"/>
      <c r="J106" s="771"/>
      <c r="K106" s="771"/>
      <c r="L106" s="403"/>
    </row>
    <row r="107" spans="1:12" ht="15" customHeight="1">
      <c r="A107" s="403"/>
      <c r="B107" s="529"/>
      <c r="C107" s="446"/>
      <c r="D107" s="446"/>
      <c r="E107" s="525"/>
      <c r="F107" s="422"/>
      <c r="G107" s="525"/>
      <c r="H107" s="525"/>
      <c r="I107" s="525"/>
      <c r="J107" s="523"/>
      <c r="K107" s="529"/>
      <c r="L107" s="403"/>
    </row>
    <row r="108" spans="1:12" ht="15" customHeight="1">
      <c r="A108" s="403"/>
      <c r="B108" s="770" t="s">
        <v>649</v>
      </c>
      <c r="C108" s="772"/>
      <c r="D108" s="772"/>
      <c r="E108" s="772"/>
      <c r="F108" s="772"/>
      <c r="G108" s="772"/>
      <c r="H108" s="772"/>
      <c r="I108" s="772"/>
      <c r="J108" s="772"/>
      <c r="K108" s="772"/>
      <c r="L108" s="403"/>
    </row>
    <row r="109" spans="1:12" ht="15" customHeight="1">
      <c r="A109" s="403"/>
      <c r="B109" s="529"/>
      <c r="C109" s="446"/>
      <c r="D109" s="446"/>
      <c r="E109" s="525"/>
      <c r="F109" s="422"/>
      <c r="G109" s="525"/>
      <c r="H109" s="525"/>
      <c r="I109" s="525"/>
      <c r="J109" s="523"/>
      <c r="K109" s="529"/>
      <c r="L109" s="403"/>
    </row>
    <row r="110" spans="1:12" ht="59.25" customHeight="1">
      <c r="A110" s="403"/>
      <c r="B110" s="773" t="s">
        <v>650</v>
      </c>
      <c r="C110" s="774"/>
      <c r="D110" s="774"/>
      <c r="E110" s="774"/>
      <c r="F110" s="774"/>
      <c r="G110" s="774"/>
      <c r="H110" s="774"/>
      <c r="I110" s="774"/>
      <c r="J110" s="774"/>
      <c r="K110" s="774"/>
      <c r="L110" s="403"/>
    </row>
    <row r="111" spans="1:12" ht="15" thickBot="1">
      <c r="A111" s="403"/>
      <c r="B111" s="527"/>
      <c r="C111" s="527"/>
      <c r="D111" s="527"/>
      <c r="E111" s="527"/>
      <c r="F111" s="527"/>
      <c r="G111" s="527"/>
      <c r="H111" s="527"/>
      <c r="I111" s="527"/>
      <c r="J111" s="527"/>
      <c r="K111" s="527"/>
      <c r="L111" s="447"/>
    </row>
    <row r="112" spans="1:12" ht="14.25">
      <c r="A112" s="403"/>
      <c r="B112" s="408" t="s">
        <v>608</v>
      </c>
      <c r="C112" s="409"/>
      <c r="D112" s="409"/>
      <c r="E112" s="409"/>
      <c r="F112" s="409"/>
      <c r="G112" s="409"/>
      <c r="H112" s="409"/>
      <c r="I112" s="409"/>
      <c r="J112" s="409"/>
      <c r="K112" s="410"/>
      <c r="L112" s="403"/>
    </row>
    <row r="113" spans="1:12" ht="14.25">
      <c r="A113" s="403"/>
      <c r="B113" s="420"/>
      <c r="C113" s="412" t="s">
        <v>614</v>
      </c>
      <c r="D113" s="412"/>
      <c r="E113" s="412"/>
      <c r="F113" s="412"/>
      <c r="G113" s="412"/>
      <c r="H113" s="412"/>
      <c r="I113" s="412"/>
      <c r="J113" s="412"/>
      <c r="K113" s="414"/>
      <c r="L113" s="403"/>
    </row>
    <row r="114" spans="1:12" ht="14.25">
      <c r="A114" s="403"/>
      <c r="B114" s="420" t="s">
        <v>635</v>
      </c>
      <c r="C114" s="775">
        <v>312000000</v>
      </c>
      <c r="D114" s="775"/>
      <c r="E114" s="525" t="s">
        <v>613</v>
      </c>
      <c r="F114" s="525">
        <v>1000</v>
      </c>
      <c r="G114" s="525" t="s">
        <v>612</v>
      </c>
      <c r="H114" s="522">
        <f>C114/F114</f>
        <v>312000</v>
      </c>
      <c r="I114" s="412" t="s">
        <v>636</v>
      </c>
      <c r="J114" s="412"/>
      <c r="K114" s="414"/>
      <c r="L114" s="403"/>
    </row>
    <row r="115" spans="1:12" ht="14.25">
      <c r="A115" s="403"/>
      <c r="B115" s="420"/>
      <c r="C115" s="412"/>
      <c r="D115" s="412"/>
      <c r="E115" s="525"/>
      <c r="F115" s="412"/>
      <c r="G115" s="412"/>
      <c r="H115" s="412"/>
      <c r="I115" s="412"/>
      <c r="J115" s="412"/>
      <c r="K115" s="414"/>
      <c r="L115" s="403"/>
    </row>
    <row r="116" spans="1:12" ht="14.25">
      <c r="A116" s="403"/>
      <c r="B116" s="420"/>
      <c r="C116" s="412" t="s">
        <v>637</v>
      </c>
      <c r="D116" s="412"/>
      <c r="E116" s="525"/>
      <c r="F116" s="412" t="s">
        <v>636</v>
      </c>
      <c r="G116" s="412"/>
      <c r="H116" s="412"/>
      <c r="I116" s="412"/>
      <c r="J116" s="412"/>
      <c r="K116" s="414"/>
      <c r="L116" s="403"/>
    </row>
    <row r="117" spans="1:12" ht="14.25">
      <c r="A117" s="403"/>
      <c r="B117" s="420" t="s">
        <v>640</v>
      </c>
      <c r="C117" s="775">
        <v>50000</v>
      </c>
      <c r="D117" s="775"/>
      <c r="E117" s="525" t="s">
        <v>613</v>
      </c>
      <c r="F117" s="522">
        <f>H114</f>
        <v>312000</v>
      </c>
      <c r="G117" s="525" t="s">
        <v>612</v>
      </c>
      <c r="H117" s="422">
        <f>C117/F117</f>
        <v>0.16025641025641027</v>
      </c>
      <c r="I117" s="412" t="s">
        <v>638</v>
      </c>
      <c r="J117" s="412"/>
      <c r="K117" s="414"/>
      <c r="L117" s="403"/>
    </row>
    <row r="118" spans="1:12" ht="14.25">
      <c r="A118" s="403"/>
      <c r="B118" s="420"/>
      <c r="C118" s="412"/>
      <c r="D118" s="412"/>
      <c r="E118" s="525"/>
      <c r="F118" s="412"/>
      <c r="G118" s="412"/>
      <c r="H118" s="412"/>
      <c r="I118" s="412"/>
      <c r="J118" s="412"/>
      <c r="K118" s="414"/>
      <c r="L118" s="403"/>
    </row>
    <row r="119" spans="1:12" ht="14.25">
      <c r="A119" s="403"/>
      <c r="B119" s="428"/>
      <c r="C119" s="429" t="s">
        <v>647</v>
      </c>
      <c r="D119" s="429"/>
      <c r="E119" s="531"/>
      <c r="F119" s="429"/>
      <c r="G119" s="429"/>
      <c r="H119" s="429"/>
      <c r="I119" s="429"/>
      <c r="J119" s="429"/>
      <c r="K119" s="430"/>
      <c r="L119" s="403"/>
    </row>
    <row r="120" spans="1:12" ht="14.25">
      <c r="A120" s="403"/>
      <c r="B120" s="420" t="s">
        <v>691</v>
      </c>
      <c r="C120" s="775">
        <v>2500000</v>
      </c>
      <c r="D120" s="775"/>
      <c r="E120" s="525" t="s">
        <v>92</v>
      </c>
      <c r="F120" s="444">
        <v>0.25</v>
      </c>
      <c r="G120" s="525" t="s">
        <v>612</v>
      </c>
      <c r="H120" s="522">
        <f>C120*F120</f>
        <v>625000</v>
      </c>
      <c r="I120" s="412" t="s">
        <v>641</v>
      </c>
      <c r="J120" s="412"/>
      <c r="K120" s="414"/>
      <c r="L120" s="403"/>
    </row>
    <row r="121" spans="1:12" ht="14.25">
      <c r="A121" s="403"/>
      <c r="B121" s="420"/>
      <c r="C121" s="412"/>
      <c r="D121" s="412"/>
      <c r="E121" s="525"/>
      <c r="F121" s="412"/>
      <c r="G121" s="412"/>
      <c r="H121" s="412"/>
      <c r="I121" s="412"/>
      <c r="J121" s="412"/>
      <c r="K121" s="414"/>
      <c r="L121" s="403"/>
    </row>
    <row r="122" spans="1:12" ht="14.25">
      <c r="A122" s="403"/>
      <c r="B122" s="428"/>
      <c r="C122" s="429" t="s">
        <v>642</v>
      </c>
      <c r="D122" s="429"/>
      <c r="E122" s="531"/>
      <c r="F122" s="429" t="s">
        <v>638</v>
      </c>
      <c r="G122" s="429"/>
      <c r="H122" s="429"/>
      <c r="I122" s="429"/>
      <c r="J122" s="429" t="s">
        <v>643</v>
      </c>
      <c r="K122" s="430"/>
      <c r="L122" s="403"/>
    </row>
    <row r="123" spans="1:12" ht="14.25">
      <c r="A123" s="403"/>
      <c r="B123" s="420" t="s">
        <v>692</v>
      </c>
      <c r="C123" s="776">
        <f>H120</f>
        <v>625000</v>
      </c>
      <c r="D123" s="776"/>
      <c r="E123" s="525" t="s">
        <v>92</v>
      </c>
      <c r="F123" s="422">
        <f>H117</f>
        <v>0.16025641025641027</v>
      </c>
      <c r="G123" s="525" t="s">
        <v>613</v>
      </c>
      <c r="H123" s="525">
        <v>1000</v>
      </c>
      <c r="I123" s="525" t="s">
        <v>612</v>
      </c>
      <c r="J123" s="523">
        <f>C123*F123/H123</f>
        <v>100.16025641025642</v>
      </c>
      <c r="K123" s="414"/>
      <c r="L123" s="403"/>
    </row>
    <row r="124" spans="1:12" ht="15" thickBot="1">
      <c r="A124" s="403"/>
      <c r="B124" s="415"/>
      <c r="C124" s="431"/>
      <c r="D124" s="431"/>
      <c r="E124" s="432"/>
      <c r="F124" s="433"/>
      <c r="G124" s="432"/>
      <c r="H124" s="432"/>
      <c r="I124" s="432"/>
      <c r="J124" s="434"/>
      <c r="K124" s="417"/>
      <c r="L124" s="403"/>
    </row>
    <row r="125" spans="1:12" ht="40.5" customHeight="1">
      <c r="A125" s="403"/>
      <c r="B125" s="766" t="s">
        <v>604</v>
      </c>
      <c r="C125" s="766"/>
      <c r="D125" s="766"/>
      <c r="E125" s="766"/>
      <c r="F125" s="766"/>
      <c r="G125" s="766"/>
      <c r="H125" s="766"/>
      <c r="I125" s="766"/>
      <c r="J125" s="766"/>
      <c r="K125" s="766"/>
      <c r="L125" s="447"/>
    </row>
    <row r="126" spans="1:12" ht="14.25">
      <c r="A126" s="403"/>
      <c r="B126" s="767" t="s">
        <v>651</v>
      </c>
      <c r="C126" s="767"/>
      <c r="D126" s="767"/>
      <c r="E126" s="767"/>
      <c r="F126" s="767"/>
      <c r="G126" s="767"/>
      <c r="H126" s="767"/>
      <c r="I126" s="767"/>
      <c r="J126" s="767"/>
      <c r="K126" s="767"/>
      <c r="L126" s="447"/>
    </row>
    <row r="127" spans="1:12" ht="14.25">
      <c r="A127" s="403"/>
      <c r="B127" s="527"/>
      <c r="C127" s="527"/>
      <c r="D127" s="527"/>
      <c r="E127" s="527"/>
      <c r="F127" s="527"/>
      <c r="G127" s="527"/>
      <c r="H127" s="527"/>
      <c r="I127" s="527"/>
      <c r="J127" s="527"/>
      <c r="K127" s="527"/>
      <c r="L127" s="447"/>
    </row>
    <row r="128" spans="1:12" ht="14.25">
      <c r="A128" s="403"/>
      <c r="B128" s="767" t="s">
        <v>652</v>
      </c>
      <c r="C128" s="767"/>
      <c r="D128" s="767"/>
      <c r="E128" s="767"/>
      <c r="F128" s="767"/>
      <c r="G128" s="767"/>
      <c r="H128" s="767"/>
      <c r="I128" s="767"/>
      <c r="J128" s="767"/>
      <c r="K128" s="767"/>
      <c r="L128" s="447"/>
    </row>
    <row r="129" spans="1:12" ht="14.25">
      <c r="A129" s="403"/>
      <c r="B129" s="524"/>
      <c r="C129" s="524"/>
      <c r="D129" s="524"/>
      <c r="E129" s="524"/>
      <c r="F129" s="524"/>
      <c r="G129" s="524"/>
      <c r="H129" s="524"/>
      <c r="I129" s="524"/>
      <c r="J129" s="524"/>
      <c r="K129" s="524"/>
      <c r="L129" s="447"/>
    </row>
    <row r="130" spans="1:12" ht="74.25" customHeight="1">
      <c r="A130" s="403"/>
      <c r="B130" s="769" t="s">
        <v>693</v>
      </c>
      <c r="C130" s="769"/>
      <c r="D130" s="769"/>
      <c r="E130" s="769"/>
      <c r="F130" s="769"/>
      <c r="G130" s="769"/>
      <c r="H130" s="769"/>
      <c r="I130" s="769"/>
      <c r="J130" s="769"/>
      <c r="K130" s="769"/>
      <c r="L130" s="447"/>
    </row>
    <row r="131" spans="1:12" ht="15" thickBot="1">
      <c r="A131" s="403"/>
      <c r="L131" s="403"/>
    </row>
    <row r="132" spans="1:12" ht="14.25">
      <c r="A132" s="403"/>
      <c r="B132" s="408" t="s">
        <v>608</v>
      </c>
      <c r="C132" s="409"/>
      <c r="D132" s="409"/>
      <c r="E132" s="409"/>
      <c r="F132" s="409"/>
      <c r="G132" s="409"/>
      <c r="H132" s="409"/>
      <c r="I132" s="409"/>
      <c r="J132" s="409"/>
      <c r="K132" s="410"/>
      <c r="L132" s="403"/>
    </row>
    <row r="133" spans="1:12" ht="14.25">
      <c r="A133" s="403"/>
      <c r="B133" s="420"/>
      <c r="C133" s="768" t="s">
        <v>653</v>
      </c>
      <c r="D133" s="768"/>
      <c r="E133" s="412"/>
      <c r="F133" s="525" t="s">
        <v>654</v>
      </c>
      <c r="G133" s="412"/>
      <c r="H133" s="768" t="s">
        <v>641</v>
      </c>
      <c r="I133" s="768"/>
      <c r="J133" s="412"/>
      <c r="K133" s="414"/>
      <c r="L133" s="403"/>
    </row>
    <row r="134" spans="1:12" ht="14.25">
      <c r="A134" s="403"/>
      <c r="B134" s="420" t="s">
        <v>635</v>
      </c>
      <c r="C134" s="775">
        <v>100000</v>
      </c>
      <c r="D134" s="775"/>
      <c r="E134" s="525" t="s">
        <v>92</v>
      </c>
      <c r="F134" s="525">
        <v>0.115</v>
      </c>
      <c r="G134" s="525" t="s">
        <v>612</v>
      </c>
      <c r="H134" s="758">
        <f>C134*F134</f>
        <v>11500</v>
      </c>
      <c r="I134" s="758"/>
      <c r="J134" s="412"/>
      <c r="K134" s="414"/>
      <c r="L134" s="403"/>
    </row>
    <row r="135" spans="1:12" ht="14.25">
      <c r="A135" s="403"/>
      <c r="B135" s="420"/>
      <c r="C135" s="412"/>
      <c r="D135" s="412"/>
      <c r="E135" s="412"/>
      <c r="F135" s="412"/>
      <c r="G135" s="412"/>
      <c r="H135" s="412"/>
      <c r="I135" s="412"/>
      <c r="J135" s="412"/>
      <c r="K135" s="414"/>
      <c r="L135" s="403"/>
    </row>
    <row r="136" spans="1:12" ht="14.25">
      <c r="A136" s="403"/>
      <c r="B136" s="428"/>
      <c r="C136" s="787" t="s">
        <v>641</v>
      </c>
      <c r="D136" s="787"/>
      <c r="E136" s="429"/>
      <c r="F136" s="531" t="s">
        <v>655</v>
      </c>
      <c r="G136" s="531"/>
      <c r="H136" s="429"/>
      <c r="I136" s="429"/>
      <c r="J136" s="429" t="s">
        <v>656</v>
      </c>
      <c r="K136" s="430"/>
      <c r="L136" s="403"/>
    </row>
    <row r="137" spans="1:12" ht="14.25">
      <c r="A137" s="403"/>
      <c r="B137" s="420" t="s">
        <v>640</v>
      </c>
      <c r="C137" s="758">
        <f>H134</f>
        <v>11500</v>
      </c>
      <c r="D137" s="758"/>
      <c r="E137" s="525" t="s">
        <v>92</v>
      </c>
      <c r="F137" s="448">
        <v>52.869</v>
      </c>
      <c r="G137" s="525" t="s">
        <v>613</v>
      </c>
      <c r="H137" s="525">
        <v>1000</v>
      </c>
      <c r="I137" s="525" t="s">
        <v>612</v>
      </c>
      <c r="J137" s="449">
        <f>C137*F137/H137</f>
        <v>607.9935</v>
      </c>
      <c r="K137" s="414"/>
      <c r="L137" s="403"/>
    </row>
    <row r="138" spans="1:12" ht="15" thickBot="1">
      <c r="A138" s="403"/>
      <c r="B138" s="415"/>
      <c r="C138" s="513"/>
      <c r="D138" s="513"/>
      <c r="E138" s="432"/>
      <c r="F138" s="514"/>
      <c r="G138" s="432"/>
      <c r="H138" s="432"/>
      <c r="I138" s="432"/>
      <c r="J138" s="515"/>
      <c r="K138" s="417"/>
      <c r="L138" s="403"/>
    </row>
    <row r="139" spans="1:12" ht="40.5" customHeight="1">
      <c r="A139" s="403"/>
      <c r="B139" s="500" t="s">
        <v>604</v>
      </c>
      <c r="C139" s="501"/>
      <c r="D139" s="501"/>
      <c r="E139" s="502"/>
      <c r="F139" s="503"/>
      <c r="G139" s="502"/>
      <c r="H139" s="502"/>
      <c r="I139" s="502"/>
      <c r="J139" s="504"/>
      <c r="K139" s="505"/>
      <c r="L139" s="403"/>
    </row>
    <row r="140" spans="1:12" ht="14.25">
      <c r="A140" s="403"/>
      <c r="B140" s="506" t="s">
        <v>694</v>
      </c>
      <c r="C140" s="507"/>
      <c r="D140" s="507"/>
      <c r="E140" s="508"/>
      <c r="F140" s="509"/>
      <c r="G140" s="508"/>
      <c r="H140" s="508"/>
      <c r="I140" s="508"/>
      <c r="J140" s="510"/>
      <c r="K140" s="511"/>
      <c r="L140" s="403"/>
    </row>
    <row r="141" spans="1:12" ht="14.25">
      <c r="A141" s="403"/>
      <c r="B141" s="420"/>
      <c r="C141" s="522"/>
      <c r="D141" s="522"/>
      <c r="E141" s="525"/>
      <c r="F141" s="516"/>
      <c r="G141" s="525"/>
      <c r="H141" s="525"/>
      <c r="I141" s="525"/>
      <c r="J141" s="449"/>
      <c r="K141" s="414"/>
      <c r="L141" s="403"/>
    </row>
    <row r="142" spans="1:12" ht="14.25">
      <c r="A142" s="403"/>
      <c r="B142" s="506" t="s">
        <v>695</v>
      </c>
      <c r="C142" s="507"/>
      <c r="D142" s="507"/>
      <c r="E142" s="508"/>
      <c r="F142" s="509"/>
      <c r="G142" s="508"/>
      <c r="H142" s="508"/>
      <c r="I142" s="508"/>
      <c r="J142" s="510"/>
      <c r="K142" s="511"/>
      <c r="L142" s="403"/>
    </row>
    <row r="143" spans="1:12" ht="14.25">
      <c r="A143" s="403"/>
      <c r="B143" s="420"/>
      <c r="C143" s="522"/>
      <c r="D143" s="522"/>
      <c r="E143" s="525"/>
      <c r="F143" s="516"/>
      <c r="G143" s="525"/>
      <c r="H143" s="525"/>
      <c r="I143" s="525"/>
      <c r="J143" s="449"/>
      <c r="K143" s="414"/>
      <c r="L143" s="403"/>
    </row>
    <row r="144" spans="1:12" ht="76.5" customHeight="1">
      <c r="A144" s="403"/>
      <c r="B144" s="759" t="s">
        <v>696</v>
      </c>
      <c r="C144" s="760"/>
      <c r="D144" s="760"/>
      <c r="E144" s="760"/>
      <c r="F144" s="760"/>
      <c r="G144" s="760"/>
      <c r="H144" s="760"/>
      <c r="I144" s="760"/>
      <c r="J144" s="760"/>
      <c r="K144" s="761"/>
      <c r="L144" s="403"/>
    </row>
    <row r="145" spans="1:12" ht="15" thickBot="1">
      <c r="A145" s="403"/>
      <c r="B145" s="420"/>
      <c r="C145" s="522"/>
      <c r="D145" s="522"/>
      <c r="E145" s="525"/>
      <c r="F145" s="516"/>
      <c r="G145" s="525"/>
      <c r="H145" s="525"/>
      <c r="I145" s="525"/>
      <c r="J145" s="449"/>
      <c r="K145" s="414"/>
      <c r="L145" s="403"/>
    </row>
    <row r="146" spans="1:12" ht="14.25">
      <c r="A146" s="403"/>
      <c r="B146" s="408" t="s">
        <v>608</v>
      </c>
      <c r="C146" s="517"/>
      <c r="D146" s="517"/>
      <c r="E146" s="518"/>
      <c r="F146" s="519"/>
      <c r="G146" s="518"/>
      <c r="H146" s="518"/>
      <c r="I146" s="518"/>
      <c r="J146" s="520"/>
      <c r="K146" s="410"/>
      <c r="L146" s="403"/>
    </row>
    <row r="147" spans="1:12" ht="14.25">
      <c r="A147" s="403"/>
      <c r="B147" s="420"/>
      <c r="C147" s="758" t="s">
        <v>697</v>
      </c>
      <c r="D147" s="758"/>
      <c r="E147" s="525"/>
      <c r="F147" s="516" t="s">
        <v>698</v>
      </c>
      <c r="G147" s="525"/>
      <c r="H147" s="525"/>
      <c r="I147" s="525"/>
      <c r="J147" s="762" t="s">
        <v>699</v>
      </c>
      <c r="K147" s="763"/>
      <c r="L147" s="403"/>
    </row>
    <row r="148" spans="1:12" ht="14.25">
      <c r="A148" s="403"/>
      <c r="B148" s="420"/>
      <c r="C148" s="764">
        <v>52.869</v>
      </c>
      <c r="D148" s="764"/>
      <c r="E148" s="525" t="s">
        <v>92</v>
      </c>
      <c r="F148" s="526">
        <v>312000000</v>
      </c>
      <c r="G148" s="521" t="s">
        <v>613</v>
      </c>
      <c r="H148" s="525">
        <v>1000</v>
      </c>
      <c r="I148" s="525" t="s">
        <v>612</v>
      </c>
      <c r="J148" s="762">
        <f>C148*(F148/1000)</f>
        <v>16495128</v>
      </c>
      <c r="K148" s="765"/>
      <c r="L148" s="403"/>
    </row>
    <row r="149" spans="1:12" ht="15" thickBot="1">
      <c r="A149" s="403"/>
      <c r="B149" s="415"/>
      <c r="C149" s="513"/>
      <c r="D149" s="513"/>
      <c r="E149" s="432"/>
      <c r="F149" s="514"/>
      <c r="G149" s="432"/>
      <c r="H149" s="432"/>
      <c r="I149" s="432"/>
      <c r="J149" s="515"/>
      <c r="K149" s="417"/>
      <c r="L149" s="403"/>
    </row>
    <row r="150" spans="1:12" ht="15" thickBot="1">
      <c r="A150" s="403"/>
      <c r="B150" s="415"/>
      <c r="C150" s="416"/>
      <c r="D150" s="416"/>
      <c r="E150" s="416"/>
      <c r="F150" s="416"/>
      <c r="G150" s="416"/>
      <c r="H150" s="416"/>
      <c r="I150" s="416"/>
      <c r="J150" s="416"/>
      <c r="K150" s="417"/>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50"/>
      <c r="B154" s="450"/>
      <c r="C154" s="450"/>
      <c r="D154" s="450"/>
      <c r="E154" s="450"/>
      <c r="F154" s="450"/>
      <c r="G154" s="450"/>
      <c r="H154" s="450"/>
      <c r="I154" s="450"/>
      <c r="J154" s="450"/>
      <c r="K154" s="450"/>
      <c r="L154" s="450"/>
    </row>
    <row r="155" spans="1:12" ht="14.25">
      <c r="A155" s="450"/>
      <c r="B155" s="450"/>
      <c r="C155" s="450"/>
      <c r="D155" s="450"/>
      <c r="E155" s="450"/>
      <c r="F155" s="450"/>
      <c r="G155" s="450"/>
      <c r="H155" s="450"/>
      <c r="I155" s="450"/>
      <c r="J155" s="450"/>
      <c r="K155" s="450"/>
      <c r="L155" s="450"/>
    </row>
    <row r="156" spans="1:12" ht="14.25">
      <c r="A156" s="450"/>
      <c r="B156" s="450"/>
      <c r="C156" s="450"/>
      <c r="D156" s="450"/>
      <c r="E156" s="450"/>
      <c r="F156" s="450"/>
      <c r="G156" s="450"/>
      <c r="H156" s="450"/>
      <c r="I156" s="450"/>
      <c r="J156" s="450"/>
      <c r="K156" s="450"/>
      <c r="L156" s="450"/>
    </row>
    <row r="157" spans="1:12" ht="14.25">
      <c r="A157" s="450"/>
      <c r="B157" s="450"/>
      <c r="C157" s="450"/>
      <c r="D157" s="450"/>
      <c r="E157" s="450"/>
      <c r="F157" s="450"/>
      <c r="G157" s="450"/>
      <c r="H157" s="450"/>
      <c r="I157" s="450"/>
      <c r="J157" s="450"/>
      <c r="K157" s="450"/>
      <c r="L157" s="450"/>
    </row>
    <row r="158" spans="1:12" ht="14.25">
      <c r="A158" s="450"/>
      <c r="B158" s="450"/>
      <c r="C158" s="450"/>
      <c r="D158" s="450"/>
      <c r="E158" s="450"/>
      <c r="F158" s="450"/>
      <c r="G158" s="450"/>
      <c r="H158" s="450"/>
      <c r="I158" s="450"/>
      <c r="J158" s="450"/>
      <c r="K158" s="450"/>
      <c r="L158" s="450"/>
    </row>
    <row r="159" spans="1:12" ht="14.25">
      <c r="A159" s="450"/>
      <c r="B159" s="450"/>
      <c r="C159" s="450"/>
      <c r="D159" s="450"/>
      <c r="E159" s="450"/>
      <c r="F159" s="450"/>
      <c r="G159" s="450"/>
      <c r="H159" s="450"/>
      <c r="I159" s="450"/>
      <c r="J159" s="450"/>
      <c r="K159" s="450"/>
      <c r="L159" s="450"/>
    </row>
    <row r="160" spans="1:12" ht="14.25">
      <c r="A160" s="450"/>
      <c r="B160" s="450"/>
      <c r="C160" s="450"/>
      <c r="D160" s="450"/>
      <c r="E160" s="450"/>
      <c r="F160" s="450"/>
      <c r="G160" s="450"/>
      <c r="H160" s="450"/>
      <c r="I160" s="450"/>
      <c r="J160" s="450"/>
      <c r="K160" s="450"/>
      <c r="L160" s="450"/>
    </row>
    <row r="161" spans="1:12" ht="14.25">
      <c r="A161" s="450"/>
      <c r="B161" s="450"/>
      <c r="C161" s="450"/>
      <c r="D161" s="450"/>
      <c r="E161" s="450"/>
      <c r="F161" s="450"/>
      <c r="G161" s="450"/>
      <c r="H161" s="450"/>
      <c r="I161" s="450"/>
      <c r="J161" s="450"/>
      <c r="K161" s="450"/>
      <c r="L161" s="450"/>
    </row>
    <row r="162" spans="1:12" ht="14.25">
      <c r="A162" s="450"/>
      <c r="B162" s="450"/>
      <c r="C162" s="450"/>
      <c r="D162" s="450"/>
      <c r="E162" s="450"/>
      <c r="F162" s="450"/>
      <c r="G162" s="450"/>
      <c r="H162" s="450"/>
      <c r="I162" s="450"/>
      <c r="J162" s="450"/>
      <c r="K162" s="450"/>
      <c r="L162" s="450"/>
    </row>
    <row r="163" spans="1:12" ht="14.25">
      <c r="A163" s="450"/>
      <c r="B163" s="450"/>
      <c r="C163" s="450"/>
      <c r="D163" s="450"/>
      <c r="E163" s="450"/>
      <c r="F163" s="450"/>
      <c r="G163" s="450"/>
      <c r="H163" s="450"/>
      <c r="I163" s="450"/>
      <c r="J163" s="450"/>
      <c r="K163" s="450"/>
      <c r="L163" s="450"/>
    </row>
    <row r="164" spans="1:12" ht="14.25">
      <c r="A164" s="450"/>
      <c r="B164" s="450"/>
      <c r="C164" s="450"/>
      <c r="D164" s="450"/>
      <c r="E164" s="450"/>
      <c r="F164" s="450"/>
      <c r="G164" s="450"/>
      <c r="H164" s="450"/>
      <c r="I164" s="450"/>
      <c r="J164" s="450"/>
      <c r="K164" s="450"/>
      <c r="L164" s="450"/>
    </row>
    <row r="165" spans="1:12" ht="14.25">
      <c r="A165" s="450"/>
      <c r="B165" s="450"/>
      <c r="C165" s="450"/>
      <c r="D165" s="450"/>
      <c r="E165" s="450"/>
      <c r="F165" s="450"/>
      <c r="G165" s="450"/>
      <c r="H165" s="450"/>
      <c r="I165" s="450"/>
      <c r="J165" s="450"/>
      <c r="K165" s="450"/>
      <c r="L165" s="450"/>
    </row>
    <row r="166" spans="1:12" ht="14.25">
      <c r="A166" s="450"/>
      <c r="B166" s="450"/>
      <c r="C166" s="450"/>
      <c r="D166" s="450"/>
      <c r="E166" s="450"/>
      <c r="F166" s="450"/>
      <c r="G166" s="450"/>
      <c r="H166" s="450"/>
      <c r="I166" s="450"/>
      <c r="J166" s="450"/>
      <c r="K166" s="450"/>
      <c r="L166" s="450"/>
    </row>
    <row r="167" spans="1:12" ht="14.25">
      <c r="A167" s="450"/>
      <c r="B167" s="450"/>
      <c r="C167" s="450"/>
      <c r="D167" s="450"/>
      <c r="E167" s="450"/>
      <c r="F167" s="450"/>
      <c r="G167" s="450"/>
      <c r="H167" s="450"/>
      <c r="I167" s="450"/>
      <c r="J167" s="450"/>
      <c r="K167" s="450"/>
      <c r="L167" s="450"/>
    </row>
    <row r="168" spans="1:12" ht="14.25">
      <c r="A168" s="450"/>
      <c r="B168" s="450"/>
      <c r="C168" s="450"/>
      <c r="D168" s="450"/>
      <c r="E168" s="450"/>
      <c r="F168" s="450"/>
      <c r="G168" s="450"/>
      <c r="H168" s="450"/>
      <c r="I168" s="450"/>
      <c r="J168" s="450"/>
      <c r="K168" s="450"/>
      <c r="L168" s="450"/>
    </row>
    <row r="169" spans="1:12" ht="14.25">
      <c r="A169" s="450"/>
      <c r="B169" s="450"/>
      <c r="C169" s="450"/>
      <c r="D169" s="450"/>
      <c r="E169" s="450"/>
      <c r="F169" s="450"/>
      <c r="G169" s="450"/>
      <c r="H169" s="450"/>
      <c r="I169" s="450"/>
      <c r="J169" s="450"/>
      <c r="K169" s="450"/>
      <c r="L169" s="450"/>
    </row>
    <row r="170" spans="1:12" ht="14.25">
      <c r="A170" s="450"/>
      <c r="B170" s="450"/>
      <c r="C170" s="450"/>
      <c r="D170" s="450"/>
      <c r="E170" s="450"/>
      <c r="F170" s="450"/>
      <c r="G170" s="450"/>
      <c r="H170" s="450"/>
      <c r="I170" s="450"/>
      <c r="J170" s="450"/>
      <c r="K170" s="450"/>
      <c r="L170" s="450"/>
    </row>
    <row r="171" spans="1:12" ht="14.25">
      <c r="A171" s="450"/>
      <c r="B171" s="450"/>
      <c r="C171" s="450"/>
      <c r="D171" s="450"/>
      <c r="E171" s="450"/>
      <c r="F171" s="450"/>
      <c r="G171" s="450"/>
      <c r="H171" s="450"/>
      <c r="I171" s="450"/>
      <c r="J171" s="450"/>
      <c r="K171" s="450"/>
      <c r="L171" s="450"/>
    </row>
    <row r="172" spans="1:12" ht="14.25">
      <c r="A172" s="450"/>
      <c r="B172" s="450"/>
      <c r="C172" s="450"/>
      <c r="D172" s="450"/>
      <c r="E172" s="450"/>
      <c r="F172" s="450"/>
      <c r="G172" s="450"/>
      <c r="H172" s="450"/>
      <c r="I172" s="450"/>
      <c r="J172" s="450"/>
      <c r="K172" s="450"/>
      <c r="L172" s="450"/>
    </row>
    <row r="173" spans="1:12" ht="14.25">
      <c r="A173" s="450"/>
      <c r="B173" s="450"/>
      <c r="C173" s="450"/>
      <c r="D173" s="450"/>
      <c r="E173" s="450"/>
      <c r="F173" s="450"/>
      <c r="G173" s="450"/>
      <c r="H173" s="450"/>
      <c r="I173" s="450"/>
      <c r="J173" s="450"/>
      <c r="K173" s="450"/>
      <c r="L173" s="450"/>
    </row>
    <row r="174" spans="1:12" ht="14.25">
      <c r="A174" s="450"/>
      <c r="B174" s="450"/>
      <c r="C174" s="450"/>
      <c r="D174" s="450"/>
      <c r="E174" s="450"/>
      <c r="F174" s="450"/>
      <c r="G174" s="450"/>
      <c r="H174" s="450"/>
      <c r="I174" s="450"/>
      <c r="J174" s="450"/>
      <c r="K174" s="450"/>
      <c r="L174" s="450"/>
    </row>
    <row r="175" spans="1:12" ht="14.25">
      <c r="A175" s="450"/>
      <c r="B175" s="450"/>
      <c r="C175" s="450"/>
      <c r="D175" s="450"/>
      <c r="E175" s="450"/>
      <c r="F175" s="450"/>
      <c r="G175" s="450"/>
      <c r="H175" s="450"/>
      <c r="I175" s="450"/>
      <c r="J175" s="450"/>
      <c r="K175" s="450"/>
      <c r="L175" s="450"/>
    </row>
    <row r="176" spans="1:12" ht="14.25">
      <c r="A176" s="450"/>
      <c r="B176" s="450"/>
      <c r="C176" s="450"/>
      <c r="D176" s="450"/>
      <c r="E176" s="450"/>
      <c r="F176" s="450"/>
      <c r="G176" s="450"/>
      <c r="H176" s="450"/>
      <c r="I176" s="450"/>
      <c r="J176" s="450"/>
      <c r="K176" s="450"/>
      <c r="L176" s="450"/>
    </row>
    <row r="177" spans="1:12" ht="14.25">
      <c r="A177" s="450"/>
      <c r="B177" s="450"/>
      <c r="C177" s="450"/>
      <c r="D177" s="450"/>
      <c r="E177" s="450"/>
      <c r="F177" s="450"/>
      <c r="G177" s="450"/>
      <c r="H177" s="450"/>
      <c r="I177" s="450"/>
      <c r="J177" s="450"/>
      <c r="K177" s="450"/>
      <c r="L177" s="450"/>
    </row>
    <row r="178" spans="1:12" ht="14.25">
      <c r="A178" s="450"/>
      <c r="B178" s="450"/>
      <c r="C178" s="450"/>
      <c r="D178" s="450"/>
      <c r="E178" s="450"/>
      <c r="F178" s="450"/>
      <c r="G178" s="450"/>
      <c r="H178" s="450"/>
      <c r="I178" s="450"/>
      <c r="J178" s="450"/>
      <c r="K178" s="450"/>
      <c r="L178" s="450"/>
    </row>
    <row r="179" spans="1:12" ht="14.25">
      <c r="A179" s="450"/>
      <c r="B179" s="450"/>
      <c r="C179" s="450"/>
      <c r="D179" s="450"/>
      <c r="E179" s="450"/>
      <c r="F179" s="450"/>
      <c r="G179" s="450"/>
      <c r="H179" s="450"/>
      <c r="I179" s="450"/>
      <c r="J179" s="450"/>
      <c r="K179" s="450"/>
      <c r="L179" s="450"/>
    </row>
    <row r="180" spans="1:12" ht="14.25">
      <c r="A180" s="450"/>
      <c r="B180" s="450"/>
      <c r="C180" s="450"/>
      <c r="D180" s="450"/>
      <c r="E180" s="450"/>
      <c r="F180" s="450"/>
      <c r="G180" s="450"/>
      <c r="H180" s="450"/>
      <c r="I180" s="450"/>
      <c r="J180" s="450"/>
      <c r="K180" s="450"/>
      <c r="L180" s="450"/>
    </row>
    <row r="181" spans="1:12" ht="14.25">
      <c r="A181" s="450"/>
      <c r="B181" s="450"/>
      <c r="C181" s="450"/>
      <c r="D181" s="450"/>
      <c r="E181" s="450"/>
      <c r="F181" s="450"/>
      <c r="G181" s="450"/>
      <c r="H181" s="450"/>
      <c r="I181" s="450"/>
      <c r="J181" s="450"/>
      <c r="K181" s="450"/>
      <c r="L181" s="450"/>
    </row>
    <row r="182" spans="1:12" ht="14.25">
      <c r="A182" s="450"/>
      <c r="B182" s="450"/>
      <c r="C182" s="450"/>
      <c r="D182" s="450"/>
      <c r="E182" s="450"/>
      <c r="F182" s="450"/>
      <c r="G182" s="450"/>
      <c r="H182" s="450"/>
      <c r="I182" s="450"/>
      <c r="J182" s="450"/>
      <c r="K182" s="450"/>
      <c r="L182" s="450"/>
    </row>
    <row r="183" spans="1:12" ht="14.25">
      <c r="A183" s="450"/>
      <c r="B183" s="450"/>
      <c r="C183" s="450"/>
      <c r="D183" s="450"/>
      <c r="E183" s="450"/>
      <c r="F183" s="450"/>
      <c r="G183" s="450"/>
      <c r="H183" s="450"/>
      <c r="I183" s="450"/>
      <c r="J183" s="450"/>
      <c r="K183" s="450"/>
      <c r="L183" s="450"/>
    </row>
    <row r="184" spans="1:12" ht="14.25">
      <c r="A184" s="450"/>
      <c r="B184" s="450"/>
      <c r="C184" s="450"/>
      <c r="D184" s="450"/>
      <c r="E184" s="450"/>
      <c r="F184" s="450"/>
      <c r="G184" s="450"/>
      <c r="H184" s="450"/>
      <c r="I184" s="450"/>
      <c r="J184" s="450"/>
      <c r="K184" s="450"/>
      <c r="L184" s="450"/>
    </row>
    <row r="185" spans="1:12" ht="14.25">
      <c r="A185" s="450"/>
      <c r="B185" s="450"/>
      <c r="C185" s="450"/>
      <c r="D185" s="450"/>
      <c r="E185" s="450"/>
      <c r="F185" s="450"/>
      <c r="G185" s="450"/>
      <c r="H185" s="450"/>
      <c r="I185" s="450"/>
      <c r="J185" s="450"/>
      <c r="K185" s="450"/>
      <c r="L185" s="450"/>
    </row>
    <row r="186" spans="1:12" ht="14.25">
      <c r="A186" s="450"/>
      <c r="B186" s="450"/>
      <c r="C186" s="450"/>
      <c r="D186" s="450"/>
      <c r="E186" s="450"/>
      <c r="F186" s="450"/>
      <c r="G186" s="450"/>
      <c r="H186" s="450"/>
      <c r="I186" s="450"/>
      <c r="J186" s="450"/>
      <c r="K186" s="450"/>
      <c r="L186" s="450"/>
    </row>
    <row r="187" spans="1:12" ht="14.25">
      <c r="A187" s="450"/>
      <c r="B187" s="450"/>
      <c r="C187" s="450"/>
      <c r="D187" s="450"/>
      <c r="E187" s="450"/>
      <c r="F187" s="450"/>
      <c r="G187" s="450"/>
      <c r="H187" s="450"/>
      <c r="I187" s="450"/>
      <c r="J187" s="450"/>
      <c r="K187" s="450"/>
      <c r="L187" s="450"/>
    </row>
    <row r="188" spans="1:12" ht="14.25">
      <c r="A188" s="450"/>
      <c r="B188" s="450"/>
      <c r="C188" s="450"/>
      <c r="D188" s="450"/>
      <c r="E188" s="450"/>
      <c r="F188" s="450"/>
      <c r="G188" s="450"/>
      <c r="H188" s="450"/>
      <c r="I188" s="450"/>
      <c r="J188" s="450"/>
      <c r="K188" s="450"/>
      <c r="L188" s="450"/>
    </row>
    <row r="189" spans="1:12" ht="14.25">
      <c r="A189" s="450"/>
      <c r="B189" s="450"/>
      <c r="C189" s="450"/>
      <c r="D189" s="450"/>
      <c r="E189" s="450"/>
      <c r="F189" s="450"/>
      <c r="G189" s="450"/>
      <c r="H189" s="450"/>
      <c r="I189" s="450"/>
      <c r="J189" s="450"/>
      <c r="K189" s="450"/>
      <c r="L189" s="450"/>
    </row>
    <row r="190" spans="1:12" ht="14.25">
      <c r="A190" s="450"/>
      <c r="B190" s="450"/>
      <c r="C190" s="450"/>
      <c r="D190" s="450"/>
      <c r="E190" s="450"/>
      <c r="F190" s="450"/>
      <c r="G190" s="450"/>
      <c r="H190" s="450"/>
      <c r="I190" s="450"/>
      <c r="J190" s="450"/>
      <c r="K190" s="450"/>
      <c r="L190" s="450"/>
    </row>
    <row r="191" spans="1:12" ht="14.25">
      <c r="A191" s="450"/>
      <c r="B191" s="450"/>
      <c r="C191" s="450"/>
      <c r="D191" s="450"/>
      <c r="E191" s="450"/>
      <c r="F191" s="450"/>
      <c r="G191" s="450"/>
      <c r="H191" s="450"/>
      <c r="I191" s="450"/>
      <c r="J191" s="450"/>
      <c r="K191" s="450"/>
      <c r="L191" s="450"/>
    </row>
    <row r="192" spans="1:12" ht="14.25">
      <c r="A192" s="450"/>
      <c r="B192" s="450"/>
      <c r="C192" s="450"/>
      <c r="D192" s="450"/>
      <c r="E192" s="450"/>
      <c r="F192" s="450"/>
      <c r="G192" s="450"/>
      <c r="H192" s="450"/>
      <c r="I192" s="450"/>
      <c r="J192" s="450"/>
      <c r="K192" s="450"/>
      <c r="L192" s="450"/>
    </row>
    <row r="193" spans="1:12" ht="14.25">
      <c r="A193" s="450"/>
      <c r="B193" s="450"/>
      <c r="C193" s="450"/>
      <c r="D193" s="450"/>
      <c r="E193" s="450"/>
      <c r="F193" s="450"/>
      <c r="G193" s="450"/>
      <c r="H193" s="450"/>
      <c r="I193" s="450"/>
      <c r="J193" s="450"/>
      <c r="K193" s="450"/>
      <c r="L193" s="450"/>
    </row>
    <row r="194" spans="1:12" ht="14.25">
      <c r="A194" s="450"/>
      <c r="B194" s="450"/>
      <c r="C194" s="450"/>
      <c r="D194" s="450"/>
      <c r="E194" s="450"/>
      <c r="F194" s="450"/>
      <c r="G194" s="450"/>
      <c r="H194" s="450"/>
      <c r="I194" s="450"/>
      <c r="J194" s="450"/>
      <c r="K194" s="450"/>
      <c r="L194" s="450"/>
    </row>
    <row r="195" spans="1:12" ht="14.25">
      <c r="A195" s="450"/>
      <c r="B195" s="450"/>
      <c r="C195" s="450"/>
      <c r="D195" s="450"/>
      <c r="E195" s="450"/>
      <c r="F195" s="450"/>
      <c r="G195" s="450"/>
      <c r="H195" s="450"/>
      <c r="I195" s="450"/>
      <c r="J195" s="450"/>
      <c r="K195" s="450"/>
      <c r="L195" s="450"/>
    </row>
    <row r="196" spans="1:12" ht="14.25">
      <c r="A196" s="450"/>
      <c r="B196" s="450"/>
      <c r="C196" s="450"/>
      <c r="D196" s="450"/>
      <c r="E196" s="450"/>
      <c r="F196" s="450"/>
      <c r="G196" s="450"/>
      <c r="H196" s="450"/>
      <c r="I196" s="450"/>
      <c r="J196" s="450"/>
      <c r="K196" s="450"/>
      <c r="L196" s="450"/>
    </row>
    <row r="197" spans="1:12" ht="14.25">
      <c r="A197" s="450"/>
      <c r="B197" s="450"/>
      <c r="C197" s="450"/>
      <c r="D197" s="450"/>
      <c r="E197" s="450"/>
      <c r="F197" s="450"/>
      <c r="G197" s="450"/>
      <c r="H197" s="450"/>
      <c r="I197" s="450"/>
      <c r="J197" s="450"/>
      <c r="K197" s="450"/>
      <c r="L197" s="450"/>
    </row>
    <row r="198" spans="1:12" ht="14.25">
      <c r="A198" s="450"/>
      <c r="B198" s="450"/>
      <c r="C198" s="450"/>
      <c r="D198" s="450"/>
      <c r="E198" s="450"/>
      <c r="F198" s="450"/>
      <c r="G198" s="450"/>
      <c r="H198" s="450"/>
      <c r="I198" s="450"/>
      <c r="J198" s="450"/>
      <c r="K198" s="450"/>
      <c r="L198" s="450"/>
    </row>
    <row r="199" spans="1:12" ht="14.25">
      <c r="A199" s="450"/>
      <c r="B199" s="450"/>
      <c r="C199" s="450"/>
      <c r="D199" s="450"/>
      <c r="E199" s="450"/>
      <c r="F199" s="450"/>
      <c r="G199" s="450"/>
      <c r="H199" s="450"/>
      <c r="I199" s="450"/>
      <c r="J199" s="450"/>
      <c r="K199" s="450"/>
      <c r="L199" s="450"/>
    </row>
    <row r="200" spans="1:12" ht="14.25">
      <c r="A200" s="450"/>
      <c r="B200" s="450"/>
      <c r="C200" s="450"/>
      <c r="D200" s="450"/>
      <c r="E200" s="450"/>
      <c r="F200" s="450"/>
      <c r="G200" s="450"/>
      <c r="H200" s="450"/>
      <c r="I200" s="450"/>
      <c r="J200" s="450"/>
      <c r="K200" s="450"/>
      <c r="L200" s="450"/>
    </row>
    <row r="201" spans="1:12" ht="14.25">
      <c r="A201" s="450"/>
      <c r="B201" s="450"/>
      <c r="C201" s="450"/>
      <c r="D201" s="450"/>
      <c r="E201" s="450"/>
      <c r="F201" s="450"/>
      <c r="G201" s="450"/>
      <c r="H201" s="450"/>
      <c r="I201" s="450"/>
      <c r="J201" s="450"/>
      <c r="K201" s="450"/>
      <c r="L201" s="450"/>
    </row>
    <row r="202" spans="1:12" ht="14.25">
      <c r="A202" s="450"/>
      <c r="B202" s="450"/>
      <c r="C202" s="450"/>
      <c r="D202" s="450"/>
      <c r="E202" s="450"/>
      <c r="F202" s="450"/>
      <c r="G202" s="450"/>
      <c r="H202" s="450"/>
      <c r="I202" s="450"/>
      <c r="J202" s="450"/>
      <c r="K202" s="450"/>
      <c r="L202" s="450"/>
    </row>
    <row r="203" spans="1:12" ht="14.25">
      <c r="A203" s="450"/>
      <c r="B203" s="450"/>
      <c r="C203" s="450"/>
      <c r="D203" s="450"/>
      <c r="E203" s="450"/>
      <c r="F203" s="450"/>
      <c r="G203" s="450"/>
      <c r="H203" s="450"/>
      <c r="I203" s="450"/>
      <c r="J203" s="450"/>
      <c r="K203" s="450"/>
      <c r="L203" s="450"/>
    </row>
    <row r="204" spans="1:12" ht="14.25">
      <c r="A204" s="450"/>
      <c r="B204" s="450"/>
      <c r="C204" s="450"/>
      <c r="D204" s="450"/>
      <c r="E204" s="450"/>
      <c r="F204" s="450"/>
      <c r="G204" s="450"/>
      <c r="H204" s="450"/>
      <c r="I204" s="450"/>
      <c r="J204" s="450"/>
      <c r="K204" s="450"/>
      <c r="L204" s="450"/>
    </row>
    <row r="205" spans="1:12" ht="14.25">
      <c r="A205" s="450"/>
      <c r="B205" s="450"/>
      <c r="C205" s="450"/>
      <c r="D205" s="450"/>
      <c r="E205" s="450"/>
      <c r="F205" s="450"/>
      <c r="G205" s="450"/>
      <c r="H205" s="450"/>
      <c r="I205" s="450"/>
      <c r="J205" s="450"/>
      <c r="K205" s="450"/>
      <c r="L205" s="450"/>
    </row>
    <row r="206" spans="1:12" ht="14.25">
      <c r="A206" s="450"/>
      <c r="B206" s="450"/>
      <c r="C206" s="450"/>
      <c r="D206" s="450"/>
      <c r="E206" s="450"/>
      <c r="F206" s="450"/>
      <c r="G206" s="450"/>
      <c r="H206" s="450"/>
      <c r="I206" s="450"/>
      <c r="J206" s="450"/>
      <c r="K206" s="450"/>
      <c r="L206" s="450"/>
    </row>
    <row r="207" spans="1:12" ht="14.25">
      <c r="A207" s="450"/>
      <c r="B207" s="450"/>
      <c r="C207" s="450"/>
      <c r="D207" s="450"/>
      <c r="E207" s="450"/>
      <c r="F207" s="450"/>
      <c r="G207" s="450"/>
      <c r="H207" s="450"/>
      <c r="I207" s="450"/>
      <c r="J207" s="450"/>
      <c r="K207" s="450"/>
      <c r="L207" s="450"/>
    </row>
    <row r="208" spans="1:12" ht="14.25">
      <c r="A208" s="450"/>
      <c r="B208" s="450"/>
      <c r="C208" s="450"/>
      <c r="D208" s="450"/>
      <c r="E208" s="450"/>
      <c r="F208" s="450"/>
      <c r="G208" s="450"/>
      <c r="H208" s="450"/>
      <c r="I208" s="450"/>
      <c r="J208" s="450"/>
      <c r="K208" s="450"/>
      <c r="L208" s="450"/>
    </row>
    <row r="209" spans="1:12" ht="14.25">
      <c r="A209" s="450"/>
      <c r="B209" s="450"/>
      <c r="C209" s="450"/>
      <c r="D209" s="450"/>
      <c r="E209" s="450"/>
      <c r="F209" s="450"/>
      <c r="G209" s="450"/>
      <c r="H209" s="450"/>
      <c r="I209" s="450"/>
      <c r="J209" s="450"/>
      <c r="K209" s="450"/>
      <c r="L209" s="450"/>
    </row>
    <row r="210" spans="1:12" ht="14.25">
      <c r="A210" s="450"/>
      <c r="B210" s="450"/>
      <c r="C210" s="450"/>
      <c r="D210" s="450"/>
      <c r="E210" s="450"/>
      <c r="F210" s="450"/>
      <c r="G210" s="450"/>
      <c r="H210" s="450"/>
      <c r="I210" s="450"/>
      <c r="J210" s="450"/>
      <c r="K210" s="450"/>
      <c r="L210" s="450"/>
    </row>
    <row r="211" spans="1:12" ht="14.25">
      <c r="A211" s="450"/>
      <c r="B211" s="450"/>
      <c r="C211" s="450"/>
      <c r="D211" s="450"/>
      <c r="E211" s="450"/>
      <c r="F211" s="450"/>
      <c r="G211" s="450"/>
      <c r="H211" s="450"/>
      <c r="I211" s="450"/>
      <c r="J211" s="450"/>
      <c r="K211" s="450"/>
      <c r="L211" s="450"/>
    </row>
    <row r="212" spans="1:12" ht="14.25">
      <c r="A212" s="450"/>
      <c r="B212" s="450"/>
      <c r="C212" s="450"/>
      <c r="D212" s="450"/>
      <c r="E212" s="450"/>
      <c r="F212" s="450"/>
      <c r="G212" s="450"/>
      <c r="H212" s="450"/>
      <c r="I212" s="450"/>
      <c r="J212" s="450"/>
      <c r="K212" s="450"/>
      <c r="L212" s="450"/>
    </row>
    <row r="213" spans="1:12" ht="14.25">
      <c r="A213" s="450"/>
      <c r="B213" s="450"/>
      <c r="C213" s="450"/>
      <c r="D213" s="450"/>
      <c r="E213" s="450"/>
      <c r="F213" s="450"/>
      <c r="G213" s="450"/>
      <c r="H213" s="450"/>
      <c r="I213" s="450"/>
      <c r="J213" s="450"/>
      <c r="K213" s="450"/>
      <c r="L213" s="450"/>
    </row>
    <row r="214" spans="1:12" ht="14.25">
      <c r="A214" s="450"/>
      <c r="B214" s="450"/>
      <c r="C214" s="450"/>
      <c r="D214" s="450"/>
      <c r="E214" s="450"/>
      <c r="F214" s="450"/>
      <c r="G214" s="450"/>
      <c r="H214" s="450"/>
      <c r="I214" s="450"/>
      <c r="J214" s="450"/>
      <c r="K214" s="450"/>
      <c r="L214" s="450"/>
    </row>
    <row r="215" spans="1:12" ht="14.25">
      <c r="A215" s="450"/>
      <c r="B215" s="450"/>
      <c r="C215" s="450"/>
      <c r="D215" s="450"/>
      <c r="E215" s="450"/>
      <c r="F215" s="450"/>
      <c r="G215" s="450"/>
      <c r="H215" s="450"/>
      <c r="I215" s="450"/>
      <c r="J215" s="450"/>
      <c r="K215" s="450"/>
      <c r="L215" s="450"/>
    </row>
    <row r="216" spans="1:12" ht="14.25">
      <c r="A216" s="450"/>
      <c r="B216" s="450"/>
      <c r="C216" s="450"/>
      <c r="D216" s="450"/>
      <c r="E216" s="450"/>
      <c r="F216" s="450"/>
      <c r="G216" s="450"/>
      <c r="H216" s="450"/>
      <c r="I216" s="450"/>
      <c r="J216" s="450"/>
      <c r="K216" s="450"/>
      <c r="L216" s="450"/>
    </row>
    <row r="217" spans="1:12" ht="14.25">
      <c r="A217" s="450"/>
      <c r="B217" s="450"/>
      <c r="C217" s="450"/>
      <c r="D217" s="450"/>
      <c r="E217" s="450"/>
      <c r="F217" s="450"/>
      <c r="G217" s="450"/>
      <c r="H217" s="450"/>
      <c r="I217" s="450"/>
      <c r="J217" s="450"/>
      <c r="K217" s="450"/>
      <c r="L217" s="450"/>
    </row>
    <row r="218" spans="1:12" ht="14.25">
      <c r="A218" s="450"/>
      <c r="B218" s="450"/>
      <c r="C218" s="450"/>
      <c r="D218" s="450"/>
      <c r="E218" s="450"/>
      <c r="F218" s="450"/>
      <c r="G218" s="450"/>
      <c r="H218" s="450"/>
      <c r="I218" s="450"/>
      <c r="J218" s="450"/>
      <c r="K218" s="450"/>
      <c r="L218" s="450"/>
    </row>
    <row r="219" spans="1:12" ht="14.25">
      <c r="A219" s="450"/>
      <c r="B219" s="450"/>
      <c r="C219" s="450"/>
      <c r="D219" s="450"/>
      <c r="E219" s="450"/>
      <c r="F219" s="450"/>
      <c r="G219" s="450"/>
      <c r="H219" s="450"/>
      <c r="I219" s="450"/>
      <c r="J219" s="450"/>
      <c r="K219" s="450"/>
      <c r="L219" s="450"/>
    </row>
    <row r="220" spans="1:12" ht="14.25">
      <c r="A220" s="450"/>
      <c r="B220" s="450"/>
      <c r="C220" s="450"/>
      <c r="D220" s="450"/>
      <c r="E220" s="450"/>
      <c r="F220" s="450"/>
      <c r="G220" s="450"/>
      <c r="H220" s="450"/>
      <c r="I220" s="450"/>
      <c r="J220" s="450"/>
      <c r="K220" s="450"/>
      <c r="L220" s="450"/>
    </row>
    <row r="221" spans="1:12" ht="14.25">
      <c r="A221" s="450"/>
      <c r="B221" s="450"/>
      <c r="C221" s="450"/>
      <c r="D221" s="450"/>
      <c r="E221" s="450"/>
      <c r="F221" s="450"/>
      <c r="G221" s="450"/>
      <c r="H221" s="450"/>
      <c r="I221" s="450"/>
      <c r="J221" s="450"/>
      <c r="K221" s="450"/>
      <c r="L221" s="450"/>
    </row>
    <row r="222" spans="1:12" ht="14.25">
      <c r="A222" s="450"/>
      <c r="B222" s="450"/>
      <c r="C222" s="450"/>
      <c r="D222" s="450"/>
      <c r="E222" s="450"/>
      <c r="F222" s="450"/>
      <c r="G222" s="450"/>
      <c r="H222" s="450"/>
      <c r="I222" s="450"/>
      <c r="J222" s="450"/>
      <c r="K222" s="450"/>
      <c r="L222" s="450"/>
    </row>
    <row r="223" spans="1:12" ht="14.25">
      <c r="A223" s="450"/>
      <c r="B223" s="450"/>
      <c r="C223" s="450"/>
      <c r="D223" s="450"/>
      <c r="E223" s="450"/>
      <c r="F223" s="450"/>
      <c r="G223" s="450"/>
      <c r="H223" s="450"/>
      <c r="I223" s="450"/>
      <c r="J223" s="450"/>
      <c r="K223" s="450"/>
      <c r="L223" s="450"/>
    </row>
    <row r="224" spans="1:12" ht="14.25">
      <c r="A224" s="450"/>
      <c r="B224" s="450"/>
      <c r="C224" s="450"/>
      <c r="D224" s="450"/>
      <c r="E224" s="450"/>
      <c r="F224" s="450"/>
      <c r="G224" s="450"/>
      <c r="H224" s="450"/>
      <c r="I224" s="450"/>
      <c r="J224" s="450"/>
      <c r="K224" s="450"/>
      <c r="L224" s="450"/>
    </row>
    <row r="225" spans="1:12" ht="14.25">
      <c r="A225" s="450"/>
      <c r="B225" s="450"/>
      <c r="C225" s="450"/>
      <c r="D225" s="450"/>
      <c r="E225" s="450"/>
      <c r="F225" s="450"/>
      <c r="G225" s="450"/>
      <c r="H225" s="450"/>
      <c r="I225" s="450"/>
      <c r="J225" s="450"/>
      <c r="K225" s="450"/>
      <c r="L225" s="450"/>
    </row>
    <row r="226" spans="1:12" ht="14.25">
      <c r="A226" s="450"/>
      <c r="B226" s="450"/>
      <c r="C226" s="450"/>
      <c r="D226" s="450"/>
      <c r="E226" s="450"/>
      <c r="F226" s="450"/>
      <c r="G226" s="450"/>
      <c r="H226" s="450"/>
      <c r="I226" s="450"/>
      <c r="J226" s="450"/>
      <c r="K226" s="450"/>
      <c r="L226" s="450"/>
    </row>
    <row r="227" spans="1:12" ht="14.25">
      <c r="A227" s="450"/>
      <c r="B227" s="450"/>
      <c r="C227" s="450"/>
      <c r="D227" s="450"/>
      <c r="E227" s="450"/>
      <c r="F227" s="450"/>
      <c r="G227" s="450"/>
      <c r="H227" s="450"/>
      <c r="I227" s="450"/>
      <c r="J227" s="450"/>
      <c r="K227" s="450"/>
      <c r="L227" s="450"/>
    </row>
    <row r="228" spans="1:12" ht="14.25">
      <c r="A228" s="450"/>
      <c r="B228" s="450"/>
      <c r="C228" s="450"/>
      <c r="D228" s="450"/>
      <c r="E228" s="450"/>
      <c r="F228" s="450"/>
      <c r="G228" s="450"/>
      <c r="H228" s="450"/>
      <c r="I228" s="450"/>
      <c r="J228" s="450"/>
      <c r="K228" s="450"/>
      <c r="L228" s="450"/>
    </row>
    <row r="229" spans="1:12" ht="14.25">
      <c r="A229" s="450"/>
      <c r="B229" s="450"/>
      <c r="C229" s="450"/>
      <c r="D229" s="450"/>
      <c r="E229" s="450"/>
      <c r="F229" s="450"/>
      <c r="G229" s="450"/>
      <c r="H229" s="450"/>
      <c r="I229" s="450"/>
      <c r="J229" s="450"/>
      <c r="K229" s="450"/>
      <c r="L229" s="450"/>
    </row>
    <row r="230" spans="1:12" ht="14.25">
      <c r="A230" s="450"/>
      <c r="B230" s="450"/>
      <c r="C230" s="450"/>
      <c r="D230" s="450"/>
      <c r="E230" s="450"/>
      <c r="F230" s="450"/>
      <c r="G230" s="450"/>
      <c r="H230" s="450"/>
      <c r="I230" s="450"/>
      <c r="J230" s="450"/>
      <c r="K230" s="450"/>
      <c r="L230" s="450"/>
    </row>
    <row r="231" spans="1:12" ht="14.25">
      <c r="A231" s="450"/>
      <c r="B231" s="450"/>
      <c r="C231" s="450"/>
      <c r="D231" s="450"/>
      <c r="E231" s="450"/>
      <c r="F231" s="450"/>
      <c r="G231" s="450"/>
      <c r="H231" s="450"/>
      <c r="I231" s="450"/>
      <c r="J231" s="450"/>
      <c r="K231" s="450"/>
      <c r="L231" s="450"/>
    </row>
    <row r="232" spans="1:12" ht="14.25">
      <c r="A232" s="450"/>
      <c r="B232" s="450"/>
      <c r="C232" s="450"/>
      <c r="D232" s="450"/>
      <c r="E232" s="450"/>
      <c r="F232" s="450"/>
      <c r="G232" s="450"/>
      <c r="H232" s="450"/>
      <c r="I232" s="450"/>
      <c r="J232" s="450"/>
      <c r="K232" s="450"/>
      <c r="L232" s="450"/>
    </row>
    <row r="233" spans="1:12" ht="14.25">
      <c r="A233" s="450"/>
      <c r="B233" s="450"/>
      <c r="C233" s="450"/>
      <c r="D233" s="450"/>
      <c r="E233" s="450"/>
      <c r="F233" s="450"/>
      <c r="G233" s="450"/>
      <c r="H233" s="450"/>
      <c r="I233" s="450"/>
      <c r="J233" s="450"/>
      <c r="K233" s="450"/>
      <c r="L233" s="450"/>
    </row>
    <row r="234" spans="1:12" ht="14.25">
      <c r="A234" s="450"/>
      <c r="B234" s="450"/>
      <c r="C234" s="450"/>
      <c r="D234" s="450"/>
      <c r="E234" s="450"/>
      <c r="F234" s="450"/>
      <c r="G234" s="450"/>
      <c r="H234" s="450"/>
      <c r="I234" s="450"/>
      <c r="J234" s="450"/>
      <c r="K234" s="450"/>
      <c r="L234" s="450"/>
    </row>
    <row r="235" spans="1:12" ht="14.25">
      <c r="A235" s="450"/>
      <c r="B235" s="450"/>
      <c r="C235" s="450"/>
      <c r="D235" s="450"/>
      <c r="E235" s="450"/>
      <c r="F235" s="450"/>
      <c r="G235" s="450"/>
      <c r="H235" s="450"/>
      <c r="I235" s="450"/>
      <c r="J235" s="450"/>
      <c r="K235" s="450"/>
      <c r="L235" s="450"/>
    </row>
    <row r="236" spans="1:12" ht="14.25">
      <c r="A236" s="450"/>
      <c r="B236" s="450"/>
      <c r="C236" s="450"/>
      <c r="D236" s="450"/>
      <c r="E236" s="450"/>
      <c r="F236" s="450"/>
      <c r="G236" s="450"/>
      <c r="H236" s="450"/>
      <c r="I236" s="450"/>
      <c r="J236" s="450"/>
      <c r="K236" s="450"/>
      <c r="L236" s="450"/>
    </row>
    <row r="237" spans="1:12" ht="14.25">
      <c r="A237" s="450"/>
      <c r="B237" s="450"/>
      <c r="C237" s="450"/>
      <c r="D237" s="450"/>
      <c r="E237" s="450"/>
      <c r="F237" s="450"/>
      <c r="G237" s="450"/>
      <c r="H237" s="450"/>
      <c r="I237" s="450"/>
      <c r="J237" s="450"/>
      <c r="K237" s="450"/>
      <c r="L237" s="450"/>
    </row>
    <row r="238" spans="1:12" ht="14.25">
      <c r="A238" s="450"/>
      <c r="B238" s="450"/>
      <c r="C238" s="450"/>
      <c r="D238" s="450"/>
      <c r="E238" s="450"/>
      <c r="F238" s="450"/>
      <c r="G238" s="450"/>
      <c r="H238" s="450"/>
      <c r="I238" s="450"/>
      <c r="J238" s="450"/>
      <c r="K238" s="450"/>
      <c r="L238" s="450"/>
    </row>
    <row r="239" spans="1:12" ht="14.25">
      <c r="A239" s="450"/>
      <c r="B239" s="450"/>
      <c r="C239" s="450"/>
      <c r="D239" s="450"/>
      <c r="E239" s="450"/>
      <c r="F239" s="450"/>
      <c r="G239" s="450"/>
      <c r="H239" s="450"/>
      <c r="I239" s="450"/>
      <c r="J239" s="450"/>
      <c r="K239" s="450"/>
      <c r="L239" s="450"/>
    </row>
    <row r="240" spans="1:12" ht="14.25">
      <c r="A240" s="450"/>
      <c r="B240" s="450"/>
      <c r="C240" s="450"/>
      <c r="D240" s="450"/>
      <c r="E240" s="450"/>
      <c r="F240" s="450"/>
      <c r="G240" s="450"/>
      <c r="H240" s="450"/>
      <c r="I240" s="450"/>
      <c r="J240" s="450"/>
      <c r="K240" s="450"/>
      <c r="L240" s="450"/>
    </row>
    <row r="241" spans="1:12" ht="14.25">
      <c r="A241" s="450"/>
      <c r="B241" s="450"/>
      <c r="C241" s="450"/>
      <c r="D241" s="450"/>
      <c r="E241" s="450"/>
      <c r="F241" s="450"/>
      <c r="G241" s="450"/>
      <c r="H241" s="450"/>
      <c r="I241" s="450"/>
      <c r="J241" s="450"/>
      <c r="K241" s="450"/>
      <c r="L241" s="450"/>
    </row>
    <row r="242" spans="1:12" ht="14.25">
      <c r="A242" s="450"/>
      <c r="B242" s="450"/>
      <c r="C242" s="450"/>
      <c r="D242" s="450"/>
      <c r="E242" s="450"/>
      <c r="F242" s="450"/>
      <c r="G242" s="450"/>
      <c r="H242" s="450"/>
      <c r="I242" s="450"/>
      <c r="J242" s="450"/>
      <c r="K242" s="450"/>
      <c r="L242" s="450"/>
    </row>
    <row r="243" spans="1:12" ht="14.25">
      <c r="A243" s="450"/>
      <c r="B243" s="450"/>
      <c r="C243" s="450"/>
      <c r="D243" s="450"/>
      <c r="E243" s="450"/>
      <c r="F243" s="450"/>
      <c r="G243" s="450"/>
      <c r="H243" s="450"/>
      <c r="I243" s="450"/>
      <c r="J243" s="450"/>
      <c r="K243" s="450"/>
      <c r="L243" s="450"/>
    </row>
    <row r="244" spans="1:12" ht="14.25">
      <c r="A244" s="450"/>
      <c r="B244" s="450"/>
      <c r="C244" s="450"/>
      <c r="D244" s="450"/>
      <c r="E244" s="450"/>
      <c r="F244" s="450"/>
      <c r="G244" s="450"/>
      <c r="H244" s="450"/>
      <c r="I244" s="450"/>
      <c r="J244" s="450"/>
      <c r="K244" s="450"/>
      <c r="L244" s="450"/>
    </row>
    <row r="245" spans="1:12" ht="14.25">
      <c r="A245" s="450"/>
      <c r="B245" s="450"/>
      <c r="C245" s="450"/>
      <c r="D245" s="450"/>
      <c r="E245" s="450"/>
      <c r="F245" s="450"/>
      <c r="G245" s="450"/>
      <c r="H245" s="450"/>
      <c r="I245" s="450"/>
      <c r="J245" s="450"/>
      <c r="K245" s="450"/>
      <c r="L245" s="450"/>
    </row>
    <row r="246" spans="1:12" ht="14.25">
      <c r="A246" s="450"/>
      <c r="B246" s="450"/>
      <c r="C246" s="450"/>
      <c r="D246" s="450"/>
      <c r="E246" s="450"/>
      <c r="F246" s="450"/>
      <c r="G246" s="450"/>
      <c r="H246" s="450"/>
      <c r="I246" s="450"/>
      <c r="J246" s="450"/>
      <c r="K246" s="450"/>
      <c r="L246" s="450"/>
    </row>
    <row r="247" spans="1:12" ht="14.25">
      <c r="A247" s="450"/>
      <c r="B247" s="450"/>
      <c r="C247" s="450"/>
      <c r="D247" s="450"/>
      <c r="E247" s="450"/>
      <c r="F247" s="450"/>
      <c r="G247" s="450"/>
      <c r="H247" s="450"/>
      <c r="I247" s="450"/>
      <c r="J247" s="450"/>
      <c r="K247" s="450"/>
      <c r="L247" s="450"/>
    </row>
    <row r="248" spans="1:12" ht="14.25">
      <c r="A248" s="450"/>
      <c r="B248" s="450"/>
      <c r="C248" s="450"/>
      <c r="D248" s="450"/>
      <c r="E248" s="450"/>
      <c r="F248" s="450"/>
      <c r="G248" s="450"/>
      <c r="H248" s="450"/>
      <c r="I248" s="450"/>
      <c r="J248" s="450"/>
      <c r="K248" s="450"/>
      <c r="L248" s="450"/>
    </row>
    <row r="249" spans="1:12" ht="14.25">
      <c r="A249" s="450"/>
      <c r="B249" s="450"/>
      <c r="C249" s="450"/>
      <c r="D249" s="450"/>
      <c r="E249" s="450"/>
      <c r="F249" s="450"/>
      <c r="G249" s="450"/>
      <c r="H249" s="450"/>
      <c r="I249" s="450"/>
      <c r="J249" s="450"/>
      <c r="K249" s="450"/>
      <c r="L249" s="450"/>
    </row>
    <row r="250" spans="1:12" ht="14.25">
      <c r="A250" s="450"/>
      <c r="B250" s="450"/>
      <c r="C250" s="450"/>
      <c r="D250" s="450"/>
      <c r="E250" s="450"/>
      <c r="F250" s="450"/>
      <c r="G250" s="450"/>
      <c r="H250" s="450"/>
      <c r="I250" s="450"/>
      <c r="J250" s="450"/>
      <c r="K250" s="450"/>
      <c r="L250" s="450"/>
    </row>
    <row r="251" spans="1:12" ht="14.25">
      <c r="A251" s="450"/>
      <c r="B251" s="450"/>
      <c r="C251" s="450"/>
      <c r="D251" s="450"/>
      <c r="E251" s="450"/>
      <c r="F251" s="450"/>
      <c r="G251" s="450"/>
      <c r="H251" s="450"/>
      <c r="I251" s="450"/>
      <c r="J251" s="450"/>
      <c r="K251" s="450"/>
      <c r="L251" s="450"/>
    </row>
    <row r="252" spans="1:12" ht="14.25">
      <c r="A252" s="450"/>
      <c r="B252" s="450"/>
      <c r="C252" s="450"/>
      <c r="D252" s="450"/>
      <c r="E252" s="450"/>
      <c r="F252" s="450"/>
      <c r="G252" s="450"/>
      <c r="H252" s="450"/>
      <c r="I252" s="450"/>
      <c r="J252" s="450"/>
      <c r="K252" s="450"/>
      <c r="L252" s="450"/>
    </row>
    <row r="253" spans="1:12" ht="14.25">
      <c r="A253" s="450"/>
      <c r="B253" s="450"/>
      <c r="C253" s="450"/>
      <c r="D253" s="450"/>
      <c r="E253" s="450"/>
      <c r="F253" s="450"/>
      <c r="G253" s="450"/>
      <c r="H253" s="450"/>
      <c r="I253" s="450"/>
      <c r="J253" s="450"/>
      <c r="K253" s="450"/>
      <c r="L253" s="450"/>
    </row>
    <row r="254" spans="1:12" ht="14.25">
      <c r="A254" s="450"/>
      <c r="B254" s="450"/>
      <c r="C254" s="450"/>
      <c r="D254" s="450"/>
      <c r="E254" s="450"/>
      <c r="F254" s="450"/>
      <c r="G254" s="450"/>
      <c r="H254" s="450"/>
      <c r="I254" s="450"/>
      <c r="J254" s="450"/>
      <c r="K254" s="450"/>
      <c r="L254" s="450"/>
    </row>
    <row r="255" spans="1:12" ht="14.25">
      <c r="A255" s="450"/>
      <c r="B255" s="450"/>
      <c r="C255" s="450"/>
      <c r="D255" s="450"/>
      <c r="E255" s="450"/>
      <c r="F255" s="450"/>
      <c r="G255" s="450"/>
      <c r="H255" s="450"/>
      <c r="I255" s="450"/>
      <c r="J255" s="450"/>
      <c r="K255" s="450"/>
      <c r="L255" s="450"/>
    </row>
    <row r="256" spans="1:12" ht="14.25">
      <c r="A256" s="450"/>
      <c r="B256" s="450"/>
      <c r="C256" s="450"/>
      <c r="D256" s="450"/>
      <c r="E256" s="450"/>
      <c r="F256" s="450"/>
      <c r="G256" s="450"/>
      <c r="H256" s="450"/>
      <c r="I256" s="450"/>
      <c r="J256" s="450"/>
      <c r="K256" s="450"/>
      <c r="L256" s="450"/>
    </row>
    <row r="257" spans="1:12" ht="14.25">
      <c r="A257" s="450"/>
      <c r="B257" s="450"/>
      <c r="C257" s="450"/>
      <c r="D257" s="450"/>
      <c r="E257" s="450"/>
      <c r="F257" s="450"/>
      <c r="G257" s="450"/>
      <c r="H257" s="450"/>
      <c r="I257" s="450"/>
      <c r="J257" s="450"/>
      <c r="K257" s="450"/>
      <c r="L257" s="450"/>
    </row>
    <row r="258" spans="1:12" ht="14.25">
      <c r="A258" s="450"/>
      <c r="B258" s="450"/>
      <c r="C258" s="450"/>
      <c r="D258" s="450"/>
      <c r="E258" s="450"/>
      <c r="F258" s="450"/>
      <c r="G258" s="450"/>
      <c r="H258" s="450"/>
      <c r="I258" s="450"/>
      <c r="J258" s="450"/>
      <c r="K258" s="450"/>
      <c r="L258" s="450"/>
    </row>
    <row r="259" spans="1:12" ht="14.25">
      <c r="A259" s="450"/>
      <c r="B259" s="450"/>
      <c r="C259" s="450"/>
      <c r="D259" s="450"/>
      <c r="E259" s="450"/>
      <c r="F259" s="450"/>
      <c r="G259" s="450"/>
      <c r="H259" s="450"/>
      <c r="I259" s="450"/>
      <c r="J259" s="450"/>
      <c r="K259" s="450"/>
      <c r="L259" s="450"/>
    </row>
    <row r="260" spans="1:12" ht="14.25">
      <c r="A260" s="450"/>
      <c r="B260" s="450"/>
      <c r="C260" s="450"/>
      <c r="D260" s="450"/>
      <c r="E260" s="450"/>
      <c r="F260" s="450"/>
      <c r="G260" s="450"/>
      <c r="H260" s="450"/>
      <c r="I260" s="450"/>
      <c r="J260" s="450"/>
      <c r="K260" s="450"/>
      <c r="L260" s="450"/>
    </row>
    <row r="261" spans="1:12" ht="14.25">
      <c r="A261" s="450"/>
      <c r="B261" s="450"/>
      <c r="C261" s="450"/>
      <c r="D261" s="450"/>
      <c r="E261" s="450"/>
      <c r="F261" s="450"/>
      <c r="G261" s="450"/>
      <c r="H261" s="450"/>
      <c r="I261" s="450"/>
      <c r="J261" s="450"/>
      <c r="K261" s="450"/>
      <c r="L261" s="450"/>
    </row>
    <row r="262" spans="1:12" ht="14.25">
      <c r="A262" s="450"/>
      <c r="B262" s="450"/>
      <c r="C262" s="450"/>
      <c r="D262" s="450"/>
      <c r="E262" s="450"/>
      <c r="F262" s="450"/>
      <c r="G262" s="450"/>
      <c r="H262" s="450"/>
      <c r="I262" s="450"/>
      <c r="J262" s="450"/>
      <c r="K262" s="450"/>
      <c r="L262" s="450"/>
    </row>
    <row r="263" spans="1:12" ht="14.25">
      <c r="A263" s="450"/>
      <c r="B263" s="450"/>
      <c r="C263" s="450"/>
      <c r="D263" s="450"/>
      <c r="E263" s="450"/>
      <c r="F263" s="450"/>
      <c r="G263" s="450"/>
      <c r="H263" s="450"/>
      <c r="I263" s="450"/>
      <c r="J263" s="450"/>
      <c r="K263" s="450"/>
      <c r="L263" s="450"/>
    </row>
    <row r="264" spans="1:12" ht="14.25">
      <c r="A264" s="450"/>
      <c r="B264" s="450"/>
      <c r="C264" s="450"/>
      <c r="D264" s="450"/>
      <c r="E264" s="450"/>
      <c r="F264" s="450"/>
      <c r="G264" s="450"/>
      <c r="H264" s="450"/>
      <c r="I264" s="450"/>
      <c r="J264" s="450"/>
      <c r="K264" s="450"/>
      <c r="L264" s="450"/>
    </row>
    <row r="265" spans="1:12" ht="14.25">
      <c r="A265" s="450"/>
      <c r="B265" s="450"/>
      <c r="C265" s="450"/>
      <c r="D265" s="450"/>
      <c r="E265" s="450"/>
      <c r="F265" s="450"/>
      <c r="G265" s="450"/>
      <c r="H265" s="450"/>
      <c r="I265" s="450"/>
      <c r="J265" s="450"/>
      <c r="K265" s="450"/>
      <c r="L265" s="450"/>
    </row>
    <row r="266" spans="1:12" ht="14.25">
      <c r="A266" s="450"/>
      <c r="B266" s="450"/>
      <c r="C266" s="450"/>
      <c r="D266" s="450"/>
      <c r="E266" s="450"/>
      <c r="F266" s="450"/>
      <c r="G266" s="450"/>
      <c r="H266" s="450"/>
      <c r="I266" s="450"/>
      <c r="J266" s="450"/>
      <c r="K266" s="450"/>
      <c r="L266" s="450"/>
    </row>
    <row r="267" spans="1:12" ht="14.25">
      <c r="A267" s="450"/>
      <c r="B267" s="450"/>
      <c r="C267" s="450"/>
      <c r="D267" s="450"/>
      <c r="E267" s="450"/>
      <c r="F267" s="450"/>
      <c r="G267" s="450"/>
      <c r="H267" s="450"/>
      <c r="I267" s="450"/>
      <c r="J267" s="450"/>
      <c r="K267" s="450"/>
      <c r="L267" s="450"/>
    </row>
    <row r="268" spans="1:12" ht="14.25">
      <c r="A268" s="450"/>
      <c r="B268" s="450"/>
      <c r="C268" s="450"/>
      <c r="D268" s="450"/>
      <c r="E268" s="450"/>
      <c r="F268" s="450"/>
      <c r="G268" s="450"/>
      <c r="H268" s="450"/>
      <c r="I268" s="450"/>
      <c r="J268" s="450"/>
      <c r="K268" s="450"/>
      <c r="L268" s="450"/>
    </row>
    <row r="269" spans="1:12" ht="14.25">
      <c r="A269" s="450"/>
      <c r="B269" s="450"/>
      <c r="C269" s="450"/>
      <c r="D269" s="450"/>
      <c r="E269" s="450"/>
      <c r="F269" s="450"/>
      <c r="G269" s="450"/>
      <c r="H269" s="450"/>
      <c r="I269" s="450"/>
      <c r="J269" s="450"/>
      <c r="K269" s="450"/>
      <c r="L269" s="450"/>
    </row>
    <row r="270" spans="1:12" ht="14.25">
      <c r="A270" s="450"/>
      <c r="B270" s="450"/>
      <c r="C270" s="450"/>
      <c r="D270" s="450"/>
      <c r="E270" s="450"/>
      <c r="F270" s="450"/>
      <c r="G270" s="450"/>
      <c r="H270" s="450"/>
      <c r="I270" s="450"/>
      <c r="J270" s="450"/>
      <c r="K270" s="450"/>
      <c r="L270" s="450"/>
    </row>
    <row r="271" spans="1:12" ht="14.25">
      <c r="A271" s="450"/>
      <c r="B271" s="450"/>
      <c r="C271" s="450"/>
      <c r="D271" s="450"/>
      <c r="E271" s="450"/>
      <c r="F271" s="450"/>
      <c r="G271" s="450"/>
      <c r="H271" s="450"/>
      <c r="I271" s="450"/>
      <c r="J271" s="450"/>
      <c r="K271" s="450"/>
      <c r="L271" s="450"/>
    </row>
    <row r="272" spans="1:12" ht="14.25">
      <c r="A272" s="450"/>
      <c r="B272" s="450"/>
      <c r="C272" s="450"/>
      <c r="D272" s="450"/>
      <c r="E272" s="450"/>
      <c r="F272" s="450"/>
      <c r="G272" s="450"/>
      <c r="H272" s="450"/>
      <c r="I272" s="450"/>
      <c r="J272" s="450"/>
      <c r="K272" s="450"/>
      <c r="L272" s="450"/>
    </row>
    <row r="273" spans="1:12" ht="14.25">
      <c r="A273" s="450"/>
      <c r="B273" s="450"/>
      <c r="C273" s="450"/>
      <c r="D273" s="450"/>
      <c r="E273" s="450"/>
      <c r="F273" s="450"/>
      <c r="G273" s="450"/>
      <c r="H273" s="450"/>
      <c r="I273" s="450"/>
      <c r="J273" s="450"/>
      <c r="K273" s="450"/>
      <c r="L273" s="450"/>
    </row>
    <row r="274" spans="1:12" ht="14.25">
      <c r="A274" s="450"/>
      <c r="B274" s="450"/>
      <c r="C274" s="450"/>
      <c r="D274" s="450"/>
      <c r="E274" s="450"/>
      <c r="F274" s="450"/>
      <c r="G274" s="450"/>
      <c r="H274" s="450"/>
      <c r="I274" s="450"/>
      <c r="J274" s="450"/>
      <c r="K274" s="450"/>
      <c r="L274" s="450"/>
    </row>
    <row r="275" spans="1:12" ht="14.25">
      <c r="A275" s="450"/>
      <c r="B275" s="450"/>
      <c r="C275" s="450"/>
      <c r="D275" s="450"/>
      <c r="E275" s="450"/>
      <c r="F275" s="450"/>
      <c r="G275" s="450"/>
      <c r="H275" s="450"/>
      <c r="I275" s="450"/>
      <c r="J275" s="450"/>
      <c r="K275" s="450"/>
      <c r="L275" s="450"/>
    </row>
    <row r="276" spans="1:12" ht="14.25">
      <c r="A276" s="450"/>
      <c r="B276" s="450"/>
      <c r="C276" s="450"/>
      <c r="D276" s="450"/>
      <c r="E276" s="450"/>
      <c r="F276" s="450"/>
      <c r="G276" s="450"/>
      <c r="H276" s="450"/>
      <c r="I276" s="450"/>
      <c r="J276" s="450"/>
      <c r="K276" s="450"/>
      <c r="L276" s="450"/>
    </row>
    <row r="277" spans="1:12" ht="14.25">
      <c r="A277" s="450"/>
      <c r="B277" s="450"/>
      <c r="C277" s="450"/>
      <c r="D277" s="450"/>
      <c r="E277" s="450"/>
      <c r="F277" s="450"/>
      <c r="G277" s="450"/>
      <c r="H277" s="450"/>
      <c r="I277" s="450"/>
      <c r="J277" s="450"/>
      <c r="K277" s="450"/>
      <c r="L277" s="450"/>
    </row>
    <row r="278" spans="1:12" ht="14.25">
      <c r="A278" s="450"/>
      <c r="B278" s="450"/>
      <c r="C278" s="450"/>
      <c r="D278" s="450"/>
      <c r="E278" s="450"/>
      <c r="F278" s="450"/>
      <c r="G278" s="450"/>
      <c r="H278" s="450"/>
      <c r="I278" s="450"/>
      <c r="J278" s="450"/>
      <c r="K278" s="450"/>
      <c r="L278" s="450"/>
    </row>
    <row r="279" spans="1:12" ht="14.25">
      <c r="A279" s="450"/>
      <c r="B279" s="450"/>
      <c r="C279" s="450"/>
      <c r="D279" s="450"/>
      <c r="E279" s="450"/>
      <c r="F279" s="450"/>
      <c r="G279" s="450"/>
      <c r="H279" s="450"/>
      <c r="I279" s="450"/>
      <c r="J279" s="450"/>
      <c r="K279" s="450"/>
      <c r="L279" s="450"/>
    </row>
    <row r="280" spans="1:12" ht="14.25">
      <c r="A280" s="450"/>
      <c r="B280" s="450"/>
      <c r="C280" s="450"/>
      <c r="D280" s="450"/>
      <c r="E280" s="450"/>
      <c r="F280" s="450"/>
      <c r="G280" s="450"/>
      <c r="H280" s="450"/>
      <c r="I280" s="450"/>
      <c r="J280" s="450"/>
      <c r="K280" s="450"/>
      <c r="L280" s="450"/>
    </row>
    <row r="281" spans="1:12" ht="14.25">
      <c r="A281" s="450"/>
      <c r="B281" s="450"/>
      <c r="C281" s="450"/>
      <c r="D281" s="450"/>
      <c r="E281" s="450"/>
      <c r="F281" s="450"/>
      <c r="G281" s="450"/>
      <c r="H281" s="450"/>
      <c r="I281" s="450"/>
      <c r="J281" s="450"/>
      <c r="K281" s="450"/>
      <c r="L281" s="450"/>
    </row>
    <row r="282" spans="1:12" ht="14.25">
      <c r="A282" s="450"/>
      <c r="B282" s="450"/>
      <c r="C282" s="450"/>
      <c r="D282" s="450"/>
      <c r="E282" s="450"/>
      <c r="F282" s="450"/>
      <c r="G282" s="450"/>
      <c r="H282" s="450"/>
      <c r="I282" s="450"/>
      <c r="J282" s="450"/>
      <c r="K282" s="450"/>
      <c r="L282" s="450"/>
    </row>
    <row r="283" spans="1:12" ht="14.25">
      <c r="A283" s="450"/>
      <c r="B283" s="450"/>
      <c r="C283" s="450"/>
      <c r="D283" s="450"/>
      <c r="E283" s="450"/>
      <c r="F283" s="450"/>
      <c r="G283" s="450"/>
      <c r="H283" s="450"/>
      <c r="I283" s="450"/>
      <c r="J283" s="450"/>
      <c r="K283" s="450"/>
      <c r="L283" s="450"/>
    </row>
    <row r="284" spans="1:12" ht="14.25">
      <c r="A284" s="450"/>
      <c r="B284" s="450"/>
      <c r="C284" s="450"/>
      <c r="D284" s="450"/>
      <c r="E284" s="450"/>
      <c r="F284" s="450"/>
      <c r="G284" s="450"/>
      <c r="H284" s="450"/>
      <c r="I284" s="450"/>
      <c r="J284" s="450"/>
      <c r="K284" s="450"/>
      <c r="L284" s="450"/>
    </row>
    <row r="285" spans="1:12" ht="14.25">
      <c r="A285" s="450"/>
      <c r="B285" s="450"/>
      <c r="C285" s="450"/>
      <c r="D285" s="450"/>
      <c r="E285" s="450"/>
      <c r="F285" s="450"/>
      <c r="G285" s="450"/>
      <c r="H285" s="450"/>
      <c r="I285" s="450"/>
      <c r="J285" s="450"/>
      <c r="K285" s="450"/>
      <c r="L285" s="450"/>
    </row>
    <row r="286" spans="1:12" ht="14.25">
      <c r="A286" s="450"/>
      <c r="B286" s="450"/>
      <c r="C286" s="450"/>
      <c r="D286" s="450"/>
      <c r="E286" s="450"/>
      <c r="F286" s="450"/>
      <c r="G286" s="450"/>
      <c r="H286" s="450"/>
      <c r="I286" s="450"/>
      <c r="J286" s="450"/>
      <c r="K286" s="450"/>
      <c r="L286" s="450"/>
    </row>
    <row r="287" spans="1:12" ht="14.25">
      <c r="A287" s="450"/>
      <c r="B287" s="450"/>
      <c r="C287" s="450"/>
      <c r="D287" s="450"/>
      <c r="E287" s="450"/>
      <c r="F287" s="450"/>
      <c r="G287" s="450"/>
      <c r="H287" s="450"/>
      <c r="I287" s="450"/>
      <c r="J287" s="450"/>
      <c r="K287" s="450"/>
      <c r="L287" s="450"/>
    </row>
    <row r="288" spans="1:12" ht="14.25">
      <c r="A288" s="450"/>
      <c r="B288" s="450"/>
      <c r="C288" s="450"/>
      <c r="D288" s="450"/>
      <c r="E288" s="450"/>
      <c r="F288" s="450"/>
      <c r="G288" s="450"/>
      <c r="H288" s="450"/>
      <c r="I288" s="450"/>
      <c r="J288" s="450"/>
      <c r="K288" s="450"/>
      <c r="L288" s="450"/>
    </row>
    <row r="289" spans="1:12" ht="14.25">
      <c r="A289" s="450"/>
      <c r="B289" s="450"/>
      <c r="C289" s="450"/>
      <c r="D289" s="450"/>
      <c r="E289" s="450"/>
      <c r="F289" s="450"/>
      <c r="G289" s="450"/>
      <c r="H289" s="450"/>
      <c r="I289" s="450"/>
      <c r="J289" s="450"/>
      <c r="K289" s="450"/>
      <c r="L289" s="450"/>
    </row>
    <row r="290" spans="1:12" ht="14.25">
      <c r="A290" s="450"/>
      <c r="B290" s="450"/>
      <c r="C290" s="450"/>
      <c r="D290" s="450"/>
      <c r="E290" s="450"/>
      <c r="F290" s="450"/>
      <c r="G290" s="450"/>
      <c r="H290" s="450"/>
      <c r="I290" s="450"/>
      <c r="J290" s="450"/>
      <c r="K290" s="450"/>
      <c r="L290" s="450"/>
    </row>
    <row r="291" spans="1:12" ht="14.25">
      <c r="A291" s="450"/>
      <c r="B291" s="450"/>
      <c r="C291" s="450"/>
      <c r="D291" s="450"/>
      <c r="E291" s="450"/>
      <c r="F291" s="450"/>
      <c r="G291" s="450"/>
      <c r="H291" s="450"/>
      <c r="I291" s="450"/>
      <c r="J291" s="450"/>
      <c r="K291" s="450"/>
      <c r="L291" s="450"/>
    </row>
    <row r="292" spans="1:12" ht="14.25">
      <c r="A292" s="450"/>
      <c r="B292" s="450"/>
      <c r="C292" s="450"/>
      <c r="D292" s="450"/>
      <c r="E292" s="450"/>
      <c r="F292" s="450"/>
      <c r="G292" s="450"/>
      <c r="H292" s="450"/>
      <c r="I292" s="450"/>
      <c r="J292" s="450"/>
      <c r="K292" s="450"/>
      <c r="L292" s="450"/>
    </row>
    <row r="293" spans="1:12" ht="14.25">
      <c r="A293" s="450"/>
      <c r="B293" s="450"/>
      <c r="C293" s="450"/>
      <c r="D293" s="450"/>
      <c r="E293" s="450"/>
      <c r="F293" s="450"/>
      <c r="G293" s="450"/>
      <c r="H293" s="450"/>
      <c r="I293" s="450"/>
      <c r="J293" s="450"/>
      <c r="K293" s="450"/>
      <c r="L293" s="450"/>
    </row>
    <row r="294" spans="1:12" ht="14.25">
      <c r="A294" s="450"/>
      <c r="B294" s="450"/>
      <c r="C294" s="450"/>
      <c r="D294" s="450"/>
      <c r="E294" s="450"/>
      <c r="F294" s="450"/>
      <c r="G294" s="450"/>
      <c r="H294" s="450"/>
      <c r="I294" s="450"/>
      <c r="J294" s="450"/>
      <c r="K294" s="450"/>
      <c r="L294" s="450"/>
    </row>
    <row r="295" spans="1:12" ht="14.25">
      <c r="A295" s="450"/>
      <c r="B295" s="450"/>
      <c r="C295" s="450"/>
      <c r="D295" s="450"/>
      <c r="E295" s="450"/>
      <c r="F295" s="450"/>
      <c r="G295" s="450"/>
      <c r="H295" s="450"/>
      <c r="I295" s="450"/>
      <c r="J295" s="450"/>
      <c r="K295" s="450"/>
      <c r="L295" s="450"/>
    </row>
    <row r="296" spans="1:12" ht="14.25">
      <c r="A296" s="450"/>
      <c r="B296" s="450"/>
      <c r="C296" s="450"/>
      <c r="D296" s="450"/>
      <c r="E296" s="450"/>
      <c r="F296" s="450"/>
      <c r="G296" s="450"/>
      <c r="H296" s="450"/>
      <c r="I296" s="450"/>
      <c r="J296" s="450"/>
      <c r="K296" s="450"/>
      <c r="L296" s="450"/>
    </row>
    <row r="297" spans="1:12" ht="14.25">
      <c r="A297" s="450"/>
      <c r="B297" s="450"/>
      <c r="C297" s="450"/>
      <c r="D297" s="450"/>
      <c r="E297" s="450"/>
      <c r="F297" s="450"/>
      <c r="G297" s="450"/>
      <c r="H297" s="450"/>
      <c r="I297" s="450"/>
      <c r="J297" s="450"/>
      <c r="K297" s="450"/>
      <c r="L297" s="450"/>
    </row>
    <row r="298" spans="1:12" ht="14.25">
      <c r="A298" s="450"/>
      <c r="B298" s="450"/>
      <c r="C298" s="450"/>
      <c r="D298" s="450"/>
      <c r="E298" s="450"/>
      <c r="F298" s="450"/>
      <c r="G298" s="450"/>
      <c r="H298" s="450"/>
      <c r="I298" s="450"/>
      <c r="J298" s="450"/>
      <c r="K298" s="450"/>
      <c r="L298" s="450"/>
    </row>
    <row r="299" spans="1:12" ht="14.25">
      <c r="A299" s="450"/>
      <c r="B299" s="450"/>
      <c r="C299" s="450"/>
      <c r="D299" s="450"/>
      <c r="E299" s="450"/>
      <c r="F299" s="450"/>
      <c r="G299" s="450"/>
      <c r="H299" s="450"/>
      <c r="I299" s="450"/>
      <c r="J299" s="450"/>
      <c r="K299" s="450"/>
      <c r="L299" s="450"/>
    </row>
    <row r="300" spans="1:12" ht="14.25">
      <c r="A300" s="450"/>
      <c r="B300" s="450"/>
      <c r="C300" s="450"/>
      <c r="D300" s="450"/>
      <c r="E300" s="450"/>
      <c r="F300" s="450"/>
      <c r="G300" s="450"/>
      <c r="H300" s="450"/>
      <c r="I300" s="450"/>
      <c r="J300" s="450"/>
      <c r="K300" s="450"/>
      <c r="L300" s="450"/>
    </row>
    <row r="301" spans="1:12" ht="14.25">
      <c r="A301" s="450"/>
      <c r="B301" s="450"/>
      <c r="C301" s="450"/>
      <c r="D301" s="450"/>
      <c r="E301" s="450"/>
      <c r="F301" s="450"/>
      <c r="G301" s="450"/>
      <c r="H301" s="450"/>
      <c r="I301" s="450"/>
      <c r="J301" s="450"/>
      <c r="K301" s="450"/>
      <c r="L301" s="450"/>
    </row>
    <row r="302" spans="1:12" ht="14.25">
      <c r="A302" s="450"/>
      <c r="B302" s="450"/>
      <c r="C302" s="450"/>
      <c r="D302" s="450"/>
      <c r="E302" s="450"/>
      <c r="F302" s="450"/>
      <c r="G302" s="450"/>
      <c r="H302" s="450"/>
      <c r="I302" s="450"/>
      <c r="J302" s="450"/>
      <c r="K302" s="450"/>
      <c r="L302" s="450"/>
    </row>
    <row r="303" spans="1:12" ht="14.25">
      <c r="A303" s="450"/>
      <c r="B303" s="450"/>
      <c r="C303" s="450"/>
      <c r="D303" s="450"/>
      <c r="E303" s="450"/>
      <c r="F303" s="450"/>
      <c r="G303" s="450"/>
      <c r="H303" s="450"/>
      <c r="I303" s="450"/>
      <c r="J303" s="450"/>
      <c r="K303" s="450"/>
      <c r="L303" s="450"/>
    </row>
    <row r="304" spans="1:12" ht="14.25">
      <c r="A304" s="450"/>
      <c r="B304" s="450"/>
      <c r="C304" s="450"/>
      <c r="D304" s="450"/>
      <c r="E304" s="450"/>
      <c r="F304" s="450"/>
      <c r="G304" s="450"/>
      <c r="H304" s="450"/>
      <c r="I304" s="450"/>
      <c r="J304" s="450"/>
      <c r="K304" s="450"/>
      <c r="L304" s="450"/>
    </row>
    <row r="305" spans="1:12" ht="14.25">
      <c r="A305" s="450"/>
      <c r="B305" s="450"/>
      <c r="C305" s="450"/>
      <c r="D305" s="450"/>
      <c r="E305" s="450"/>
      <c r="F305" s="450"/>
      <c r="G305" s="450"/>
      <c r="H305" s="450"/>
      <c r="I305" s="450"/>
      <c r="J305" s="450"/>
      <c r="K305" s="450"/>
      <c r="L305" s="450"/>
    </row>
    <row r="306" spans="1:12" ht="14.25">
      <c r="A306" s="450"/>
      <c r="B306" s="450"/>
      <c r="C306" s="450"/>
      <c r="D306" s="450"/>
      <c r="E306" s="450"/>
      <c r="F306" s="450"/>
      <c r="G306" s="450"/>
      <c r="H306" s="450"/>
      <c r="I306" s="450"/>
      <c r="J306" s="450"/>
      <c r="K306" s="450"/>
      <c r="L306" s="450"/>
    </row>
    <row r="307" spans="1:12" ht="14.25">
      <c r="A307" s="450"/>
      <c r="B307" s="450"/>
      <c r="C307" s="450"/>
      <c r="D307" s="450"/>
      <c r="E307" s="450"/>
      <c r="F307" s="450"/>
      <c r="G307" s="450"/>
      <c r="H307" s="450"/>
      <c r="I307" s="450"/>
      <c r="J307" s="450"/>
      <c r="K307" s="450"/>
      <c r="L307" s="450"/>
    </row>
    <row r="308" spans="1:12" ht="14.25">
      <c r="A308" s="450"/>
      <c r="B308" s="450"/>
      <c r="C308" s="450"/>
      <c r="D308" s="450"/>
      <c r="E308" s="450"/>
      <c r="F308" s="450"/>
      <c r="G308" s="450"/>
      <c r="H308" s="450"/>
      <c r="I308" s="450"/>
      <c r="J308" s="450"/>
      <c r="K308" s="450"/>
      <c r="L308" s="450"/>
    </row>
    <row r="309" spans="1:12" ht="14.25">
      <c r="A309" s="450"/>
      <c r="B309" s="450"/>
      <c r="C309" s="450"/>
      <c r="D309" s="450"/>
      <c r="E309" s="450"/>
      <c r="F309" s="450"/>
      <c r="G309" s="450"/>
      <c r="H309" s="450"/>
      <c r="I309" s="450"/>
      <c r="J309" s="450"/>
      <c r="K309" s="450"/>
      <c r="L309" s="450"/>
    </row>
    <row r="310" spans="1:12" ht="14.25">
      <c r="A310" s="450"/>
      <c r="B310" s="450"/>
      <c r="C310" s="450"/>
      <c r="D310" s="450"/>
      <c r="E310" s="450"/>
      <c r="F310" s="450"/>
      <c r="G310" s="450"/>
      <c r="H310" s="450"/>
      <c r="I310" s="450"/>
      <c r="J310" s="450"/>
      <c r="K310" s="450"/>
      <c r="L310" s="450"/>
    </row>
    <row r="311" spans="1:12" ht="14.25">
      <c r="A311" s="450"/>
      <c r="B311" s="450"/>
      <c r="C311" s="450"/>
      <c r="D311" s="450"/>
      <c r="E311" s="450"/>
      <c r="F311" s="450"/>
      <c r="G311" s="450"/>
      <c r="H311" s="450"/>
      <c r="I311" s="450"/>
      <c r="J311" s="450"/>
      <c r="K311" s="450"/>
      <c r="L311" s="450"/>
    </row>
    <row r="312" spans="1:12" ht="14.25">
      <c r="A312" s="450"/>
      <c r="B312" s="450"/>
      <c r="C312" s="450"/>
      <c r="D312" s="450"/>
      <c r="E312" s="450"/>
      <c r="F312" s="450"/>
      <c r="G312" s="450"/>
      <c r="H312" s="450"/>
      <c r="I312" s="450"/>
      <c r="J312" s="450"/>
      <c r="K312" s="450"/>
      <c r="L312" s="450"/>
    </row>
    <row r="313" spans="1:12" ht="14.25">
      <c r="A313" s="450"/>
      <c r="B313" s="450"/>
      <c r="C313" s="450"/>
      <c r="D313" s="450"/>
      <c r="E313" s="450"/>
      <c r="F313" s="450"/>
      <c r="G313" s="450"/>
      <c r="H313" s="450"/>
      <c r="I313" s="450"/>
      <c r="J313" s="450"/>
      <c r="K313" s="450"/>
      <c r="L313" s="450"/>
    </row>
    <row r="314" spans="1:12" ht="14.25">
      <c r="A314" s="450"/>
      <c r="B314" s="450"/>
      <c r="C314" s="450"/>
      <c r="D314" s="450"/>
      <c r="E314" s="450"/>
      <c r="F314" s="450"/>
      <c r="G314" s="450"/>
      <c r="H314" s="450"/>
      <c r="I314" s="450"/>
      <c r="J314" s="450"/>
      <c r="K314" s="450"/>
      <c r="L314" s="450"/>
    </row>
    <row r="315" spans="1:12" ht="14.25">
      <c r="A315" s="450"/>
      <c r="B315" s="450"/>
      <c r="C315" s="450"/>
      <c r="D315" s="450"/>
      <c r="E315" s="450"/>
      <c r="F315" s="450"/>
      <c r="G315" s="450"/>
      <c r="H315" s="450"/>
      <c r="I315" s="450"/>
      <c r="J315" s="450"/>
      <c r="K315" s="450"/>
      <c r="L315" s="450"/>
    </row>
    <row r="316" spans="1:12" ht="14.25">
      <c r="A316" s="450"/>
      <c r="B316" s="450"/>
      <c r="C316" s="450"/>
      <c r="D316" s="450"/>
      <c r="E316" s="450"/>
      <c r="F316" s="450"/>
      <c r="G316" s="450"/>
      <c r="H316" s="450"/>
      <c r="I316" s="450"/>
      <c r="J316" s="450"/>
      <c r="K316" s="450"/>
      <c r="L316" s="450"/>
    </row>
    <row r="317" spans="1:12" ht="14.25">
      <c r="A317" s="450"/>
      <c r="B317" s="450"/>
      <c r="C317" s="450"/>
      <c r="D317" s="450"/>
      <c r="E317" s="450"/>
      <c r="F317" s="450"/>
      <c r="G317" s="450"/>
      <c r="H317" s="450"/>
      <c r="I317" s="450"/>
      <c r="J317" s="450"/>
      <c r="K317" s="450"/>
      <c r="L317" s="450"/>
    </row>
    <row r="318" spans="1:12" ht="14.25">
      <c r="A318" s="450"/>
      <c r="B318" s="450"/>
      <c r="C318" s="450"/>
      <c r="D318" s="450"/>
      <c r="E318" s="450"/>
      <c r="F318" s="450"/>
      <c r="G318" s="450"/>
      <c r="H318" s="450"/>
      <c r="I318" s="450"/>
      <c r="J318" s="450"/>
      <c r="K318" s="450"/>
      <c r="L318" s="450"/>
    </row>
    <row r="319" spans="1:12" ht="14.25">
      <c r="A319" s="450"/>
      <c r="B319" s="450"/>
      <c r="C319" s="450"/>
      <c r="D319" s="450"/>
      <c r="E319" s="450"/>
      <c r="F319" s="450"/>
      <c r="G319" s="450"/>
      <c r="H319" s="450"/>
      <c r="I319" s="450"/>
      <c r="J319" s="450"/>
      <c r="K319" s="450"/>
      <c r="L319" s="450"/>
    </row>
    <row r="320" spans="1:12" ht="14.25">
      <c r="A320" s="450"/>
      <c r="B320" s="450"/>
      <c r="C320" s="450"/>
      <c r="D320" s="450"/>
      <c r="E320" s="450"/>
      <c r="F320" s="450"/>
      <c r="G320" s="450"/>
      <c r="H320" s="450"/>
      <c r="I320" s="450"/>
      <c r="J320" s="450"/>
      <c r="K320" s="450"/>
      <c r="L320" s="450"/>
    </row>
    <row r="321" spans="1:12" ht="14.25">
      <c r="A321" s="450"/>
      <c r="B321" s="450"/>
      <c r="C321" s="450"/>
      <c r="D321" s="450"/>
      <c r="E321" s="450"/>
      <c r="F321" s="450"/>
      <c r="G321" s="450"/>
      <c r="H321" s="450"/>
      <c r="I321" s="450"/>
      <c r="J321" s="450"/>
      <c r="K321" s="450"/>
      <c r="L321" s="450"/>
    </row>
    <row r="322" spans="1:12" ht="14.25">
      <c r="A322" s="450"/>
      <c r="B322" s="450"/>
      <c r="C322" s="450"/>
      <c r="D322" s="450"/>
      <c r="E322" s="450"/>
      <c r="F322" s="450"/>
      <c r="G322" s="450"/>
      <c r="H322" s="450"/>
      <c r="I322" s="450"/>
      <c r="J322" s="450"/>
      <c r="K322" s="450"/>
      <c r="L322" s="450"/>
    </row>
    <row r="323" spans="1:12" ht="14.25">
      <c r="A323" s="450"/>
      <c r="B323" s="450"/>
      <c r="C323" s="450"/>
      <c r="D323" s="450"/>
      <c r="E323" s="450"/>
      <c r="F323" s="450"/>
      <c r="G323" s="450"/>
      <c r="H323" s="450"/>
      <c r="I323" s="450"/>
      <c r="J323" s="450"/>
      <c r="K323" s="450"/>
      <c r="L323" s="450"/>
    </row>
    <row r="324" spans="1:12" ht="14.25">
      <c r="A324" s="450"/>
      <c r="B324" s="450"/>
      <c r="C324" s="450"/>
      <c r="D324" s="450"/>
      <c r="E324" s="450"/>
      <c r="F324" s="450"/>
      <c r="G324" s="450"/>
      <c r="H324" s="450"/>
      <c r="I324" s="450"/>
      <c r="J324" s="450"/>
      <c r="K324" s="450"/>
      <c r="L324" s="450"/>
    </row>
    <row r="325" spans="1:12" ht="14.25">
      <c r="A325" s="450"/>
      <c r="B325" s="450"/>
      <c r="C325" s="450"/>
      <c r="D325" s="450"/>
      <c r="E325" s="450"/>
      <c r="F325" s="450"/>
      <c r="G325" s="450"/>
      <c r="H325" s="450"/>
      <c r="I325" s="450"/>
      <c r="J325" s="450"/>
      <c r="K325" s="450"/>
      <c r="L325" s="450"/>
    </row>
    <row r="326" spans="1:12" ht="14.25">
      <c r="A326" s="450"/>
      <c r="B326" s="450"/>
      <c r="C326" s="450"/>
      <c r="D326" s="450"/>
      <c r="E326" s="450"/>
      <c r="F326" s="450"/>
      <c r="G326" s="450"/>
      <c r="H326" s="450"/>
      <c r="I326" s="450"/>
      <c r="J326" s="450"/>
      <c r="K326" s="450"/>
      <c r="L326" s="450"/>
    </row>
    <row r="327" spans="1:12" ht="14.25">
      <c r="A327" s="450"/>
      <c r="B327" s="450"/>
      <c r="C327" s="450"/>
      <c r="D327" s="450"/>
      <c r="E327" s="450"/>
      <c r="F327" s="450"/>
      <c r="G327" s="450"/>
      <c r="H327" s="450"/>
      <c r="I327" s="450"/>
      <c r="J327" s="450"/>
      <c r="K327" s="450"/>
      <c r="L327" s="450"/>
    </row>
    <row r="328" spans="1:12" ht="14.25">
      <c r="A328" s="450"/>
      <c r="B328" s="450"/>
      <c r="C328" s="450"/>
      <c r="D328" s="450"/>
      <c r="E328" s="450"/>
      <c r="F328" s="450"/>
      <c r="G328" s="450"/>
      <c r="H328" s="450"/>
      <c r="I328" s="450"/>
      <c r="J328" s="450"/>
      <c r="K328" s="450"/>
      <c r="L328" s="450"/>
    </row>
    <row r="329" spans="1:12" ht="14.25">
      <c r="A329" s="450"/>
      <c r="B329" s="450"/>
      <c r="C329" s="450"/>
      <c r="D329" s="450"/>
      <c r="E329" s="450"/>
      <c r="F329" s="450"/>
      <c r="G329" s="450"/>
      <c r="H329" s="450"/>
      <c r="I329" s="450"/>
      <c r="J329" s="450"/>
      <c r="K329" s="450"/>
      <c r="L329" s="450"/>
    </row>
    <row r="330" spans="1:12" ht="14.25">
      <c r="A330" s="450"/>
      <c r="B330" s="450"/>
      <c r="C330" s="450"/>
      <c r="D330" s="450"/>
      <c r="E330" s="450"/>
      <c r="F330" s="450"/>
      <c r="G330" s="450"/>
      <c r="H330" s="450"/>
      <c r="I330" s="450"/>
      <c r="J330" s="450"/>
      <c r="K330" s="450"/>
      <c r="L330" s="450"/>
    </row>
    <row r="331" spans="1:12" ht="14.25">
      <c r="A331" s="450"/>
      <c r="B331" s="450"/>
      <c r="C331" s="450"/>
      <c r="D331" s="450"/>
      <c r="E331" s="450"/>
      <c r="F331" s="450"/>
      <c r="G331" s="450"/>
      <c r="H331" s="450"/>
      <c r="I331" s="450"/>
      <c r="J331" s="450"/>
      <c r="K331" s="450"/>
      <c r="L331" s="450"/>
    </row>
    <row r="332" spans="1:12" ht="14.25">
      <c r="A332" s="450"/>
      <c r="B332" s="450"/>
      <c r="C332" s="450"/>
      <c r="D332" s="450"/>
      <c r="E332" s="450"/>
      <c r="F332" s="450"/>
      <c r="G332" s="450"/>
      <c r="H332" s="450"/>
      <c r="I332" s="450"/>
      <c r="J332" s="450"/>
      <c r="K332" s="450"/>
      <c r="L332" s="450"/>
    </row>
    <row r="333" spans="1:12" ht="14.25">
      <c r="A333" s="450"/>
      <c r="B333" s="450"/>
      <c r="C333" s="450"/>
      <c r="D333" s="450"/>
      <c r="E333" s="450"/>
      <c r="F333" s="450"/>
      <c r="G333" s="450"/>
      <c r="H333" s="450"/>
      <c r="I333" s="450"/>
      <c r="J333" s="450"/>
      <c r="K333" s="450"/>
      <c r="L333" s="450"/>
    </row>
    <row r="334" spans="1:12" ht="14.25">
      <c r="A334" s="450"/>
      <c r="B334" s="450"/>
      <c r="C334" s="450"/>
      <c r="D334" s="450"/>
      <c r="E334" s="450"/>
      <c r="F334" s="450"/>
      <c r="G334" s="450"/>
      <c r="H334" s="450"/>
      <c r="I334" s="450"/>
      <c r="J334" s="450"/>
      <c r="K334" s="450"/>
      <c r="L334" s="450"/>
    </row>
    <row r="335" spans="1:12" ht="14.25">
      <c r="A335" s="450"/>
      <c r="B335" s="450"/>
      <c r="C335" s="450"/>
      <c r="D335" s="450"/>
      <c r="E335" s="450"/>
      <c r="F335" s="450"/>
      <c r="G335" s="450"/>
      <c r="H335" s="450"/>
      <c r="I335" s="450"/>
      <c r="J335" s="450"/>
      <c r="K335" s="450"/>
      <c r="L335" s="450"/>
    </row>
    <row r="336" spans="1:12" ht="14.25">
      <c r="A336" s="450"/>
      <c r="B336" s="450"/>
      <c r="C336" s="450"/>
      <c r="D336" s="450"/>
      <c r="E336" s="450"/>
      <c r="F336" s="450"/>
      <c r="G336" s="450"/>
      <c r="H336" s="450"/>
      <c r="I336" s="450"/>
      <c r="J336" s="450"/>
      <c r="K336" s="450"/>
      <c r="L336" s="450"/>
    </row>
    <row r="337" spans="1:12" ht="14.25">
      <c r="A337" s="450"/>
      <c r="B337" s="450"/>
      <c r="C337" s="450"/>
      <c r="D337" s="450"/>
      <c r="E337" s="450"/>
      <c r="F337" s="450"/>
      <c r="G337" s="450"/>
      <c r="H337" s="450"/>
      <c r="I337" s="450"/>
      <c r="J337" s="450"/>
      <c r="K337" s="450"/>
      <c r="L337" s="450"/>
    </row>
    <row r="338" spans="1:12" ht="14.25">
      <c r="A338" s="450"/>
      <c r="B338" s="450"/>
      <c r="C338" s="450"/>
      <c r="D338" s="450"/>
      <c r="E338" s="450"/>
      <c r="F338" s="450"/>
      <c r="G338" s="450"/>
      <c r="H338" s="450"/>
      <c r="I338" s="450"/>
      <c r="J338" s="450"/>
      <c r="K338" s="450"/>
      <c r="L338" s="450"/>
    </row>
    <row r="339" spans="1:12" ht="14.25">
      <c r="A339" s="450"/>
      <c r="B339" s="450"/>
      <c r="C339" s="450"/>
      <c r="D339" s="450"/>
      <c r="E339" s="450"/>
      <c r="F339" s="450"/>
      <c r="G339" s="450"/>
      <c r="H339" s="450"/>
      <c r="I339" s="450"/>
      <c r="J339" s="450"/>
      <c r="K339" s="450"/>
      <c r="L339" s="450"/>
    </row>
    <row r="340" spans="1:12" ht="14.25">
      <c r="A340" s="450"/>
      <c r="B340" s="450"/>
      <c r="C340" s="450"/>
      <c r="D340" s="450"/>
      <c r="E340" s="450"/>
      <c r="F340" s="450"/>
      <c r="G340" s="450"/>
      <c r="H340" s="450"/>
      <c r="I340" s="450"/>
      <c r="J340" s="450"/>
      <c r="K340" s="450"/>
      <c r="L340" s="450"/>
    </row>
    <row r="341" spans="1:12" ht="14.25">
      <c r="A341" s="450"/>
      <c r="B341" s="450"/>
      <c r="C341" s="450"/>
      <c r="D341" s="450"/>
      <c r="E341" s="450"/>
      <c r="F341" s="450"/>
      <c r="G341" s="450"/>
      <c r="H341" s="450"/>
      <c r="I341" s="450"/>
      <c r="J341" s="450"/>
      <c r="K341" s="450"/>
      <c r="L341" s="450"/>
    </row>
    <row r="342" spans="1:12" ht="14.25">
      <c r="A342" s="450"/>
      <c r="B342" s="450"/>
      <c r="C342" s="450"/>
      <c r="D342" s="450"/>
      <c r="E342" s="450"/>
      <c r="F342" s="450"/>
      <c r="G342" s="450"/>
      <c r="H342" s="450"/>
      <c r="I342" s="450"/>
      <c r="J342" s="450"/>
      <c r="K342" s="450"/>
      <c r="L342" s="450"/>
    </row>
    <row r="343" spans="1:12" ht="14.25">
      <c r="A343" s="450"/>
      <c r="B343" s="450"/>
      <c r="C343" s="450"/>
      <c r="D343" s="450"/>
      <c r="E343" s="450"/>
      <c r="F343" s="450"/>
      <c r="G343" s="450"/>
      <c r="H343" s="450"/>
      <c r="I343" s="450"/>
      <c r="J343" s="450"/>
      <c r="K343" s="450"/>
      <c r="L343" s="450"/>
    </row>
    <row r="344" spans="1:12" ht="14.25">
      <c r="A344" s="450"/>
      <c r="B344" s="450"/>
      <c r="C344" s="450"/>
      <c r="D344" s="450"/>
      <c r="E344" s="450"/>
      <c r="F344" s="450"/>
      <c r="G344" s="450"/>
      <c r="H344" s="450"/>
      <c r="I344" s="450"/>
      <c r="J344" s="450"/>
      <c r="K344" s="450"/>
      <c r="L344" s="450"/>
    </row>
    <row r="345" spans="1:12" ht="14.25">
      <c r="A345" s="450"/>
      <c r="B345" s="450"/>
      <c r="C345" s="450"/>
      <c r="D345" s="450"/>
      <c r="E345" s="450"/>
      <c r="F345" s="450"/>
      <c r="G345" s="450"/>
      <c r="H345" s="450"/>
      <c r="I345" s="450"/>
      <c r="J345" s="450"/>
      <c r="K345" s="450"/>
      <c r="L345" s="450"/>
    </row>
    <row r="346" spans="1:12" ht="14.25">
      <c r="A346" s="450"/>
      <c r="B346" s="450"/>
      <c r="C346" s="450"/>
      <c r="D346" s="450"/>
      <c r="E346" s="450"/>
      <c r="F346" s="450"/>
      <c r="G346" s="450"/>
      <c r="H346" s="450"/>
      <c r="I346" s="450"/>
      <c r="J346" s="450"/>
      <c r="K346" s="450"/>
      <c r="L346" s="450"/>
    </row>
    <row r="347" spans="1:12" ht="14.25">
      <c r="A347" s="450"/>
      <c r="B347" s="450"/>
      <c r="C347" s="450"/>
      <c r="D347" s="450"/>
      <c r="E347" s="450"/>
      <c r="F347" s="450"/>
      <c r="G347" s="450"/>
      <c r="H347" s="450"/>
      <c r="I347" s="450"/>
      <c r="J347" s="450"/>
      <c r="K347" s="450"/>
      <c r="L347" s="450"/>
    </row>
    <row r="348" spans="1:12" ht="14.25">
      <c r="A348" s="450"/>
      <c r="B348" s="450"/>
      <c r="C348" s="450"/>
      <c r="D348" s="450"/>
      <c r="E348" s="450"/>
      <c r="F348" s="450"/>
      <c r="G348" s="450"/>
      <c r="H348" s="450"/>
      <c r="I348" s="450"/>
      <c r="J348" s="450"/>
      <c r="K348" s="450"/>
      <c r="L348" s="450"/>
    </row>
    <row r="349" spans="1:12" ht="14.25">
      <c r="A349" s="450"/>
      <c r="B349" s="450"/>
      <c r="C349" s="450"/>
      <c r="D349" s="450"/>
      <c r="E349" s="450"/>
      <c r="F349" s="450"/>
      <c r="G349" s="450"/>
      <c r="H349" s="450"/>
      <c r="I349" s="450"/>
      <c r="J349" s="450"/>
      <c r="K349" s="450"/>
      <c r="L349" s="450"/>
    </row>
    <row r="350" spans="1:12" ht="14.25">
      <c r="A350" s="450"/>
      <c r="B350" s="450"/>
      <c r="C350" s="450"/>
      <c r="D350" s="450"/>
      <c r="E350" s="450"/>
      <c r="F350" s="450"/>
      <c r="G350" s="450"/>
      <c r="H350" s="450"/>
      <c r="I350" s="450"/>
      <c r="J350" s="450"/>
      <c r="K350" s="450"/>
      <c r="L350" s="450"/>
    </row>
    <row r="351" spans="1:12" ht="14.25">
      <c r="A351" s="450"/>
      <c r="B351" s="450"/>
      <c r="C351" s="450"/>
      <c r="D351" s="450"/>
      <c r="E351" s="450"/>
      <c r="F351" s="450"/>
      <c r="G351" s="450"/>
      <c r="H351" s="450"/>
      <c r="I351" s="450"/>
      <c r="J351" s="450"/>
      <c r="K351" s="450"/>
      <c r="L351" s="450"/>
    </row>
    <row r="352" spans="1:12" ht="14.25">
      <c r="A352" s="450"/>
      <c r="B352" s="450"/>
      <c r="C352" s="450"/>
      <c r="D352" s="450"/>
      <c r="E352" s="450"/>
      <c r="F352" s="450"/>
      <c r="G352" s="450"/>
      <c r="H352" s="450"/>
      <c r="I352" s="450"/>
      <c r="J352" s="450"/>
      <c r="K352" s="450"/>
      <c r="L352" s="450"/>
    </row>
    <row r="353" spans="1:12" ht="14.25">
      <c r="A353" s="450"/>
      <c r="B353" s="450"/>
      <c r="C353" s="450"/>
      <c r="D353" s="450"/>
      <c r="E353" s="450"/>
      <c r="F353" s="450"/>
      <c r="G353" s="450"/>
      <c r="H353" s="450"/>
      <c r="I353" s="450"/>
      <c r="J353" s="450"/>
      <c r="K353" s="450"/>
      <c r="L353" s="450"/>
    </row>
    <row r="354" spans="1:12" ht="14.25">
      <c r="A354" s="450"/>
      <c r="B354" s="450"/>
      <c r="C354" s="450"/>
      <c r="D354" s="450"/>
      <c r="E354" s="450"/>
      <c r="F354" s="450"/>
      <c r="G354" s="450"/>
      <c r="H354" s="450"/>
      <c r="I354" s="450"/>
      <c r="J354" s="450"/>
      <c r="K354" s="450"/>
      <c r="L354" s="450"/>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8.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51" t="s">
        <v>657</v>
      </c>
    </row>
    <row r="3" ht="31.5">
      <c r="A3" s="452" t="s">
        <v>658</v>
      </c>
    </row>
    <row r="4" ht="15.75">
      <c r="A4" s="453" t="s">
        <v>659</v>
      </c>
    </row>
    <row r="7" ht="31.5">
      <c r="A7" s="452" t="s">
        <v>660</v>
      </c>
    </row>
    <row r="8" ht="15.75">
      <c r="A8" s="453" t="s">
        <v>661</v>
      </c>
    </row>
    <row r="11" ht="15.75">
      <c r="A11" s="1" t="s">
        <v>662</v>
      </c>
    </row>
    <row r="12" ht="15.75">
      <c r="A12" s="453" t="s">
        <v>663</v>
      </c>
    </row>
    <row r="15" ht="15.75">
      <c r="A15" s="1" t="s">
        <v>664</v>
      </c>
    </row>
    <row r="16" ht="15.75">
      <c r="A16" s="453" t="s">
        <v>665</v>
      </c>
    </row>
    <row r="19" ht="15.75">
      <c r="A19" s="1" t="s">
        <v>666</v>
      </c>
    </row>
    <row r="20" ht="15.75">
      <c r="A20" s="453" t="s">
        <v>667</v>
      </c>
    </row>
    <row r="23" ht="15.75">
      <c r="A23" s="1" t="s">
        <v>668</v>
      </c>
    </row>
    <row r="24" ht="15.75">
      <c r="A24" s="453" t="s">
        <v>669</v>
      </c>
    </row>
    <row r="27" ht="15.75">
      <c r="A27" s="1" t="s">
        <v>670</v>
      </c>
    </row>
    <row r="28" ht="15.75">
      <c r="A28" s="453" t="s">
        <v>671</v>
      </c>
    </row>
    <row r="31" ht="15.75">
      <c r="A31" s="1" t="s">
        <v>672</v>
      </c>
    </row>
    <row r="32" ht="15.75">
      <c r="A32" s="453" t="s">
        <v>673</v>
      </c>
    </row>
    <row r="35" ht="15.75">
      <c r="A35" s="1" t="s">
        <v>674</v>
      </c>
    </row>
    <row r="36" ht="15.75">
      <c r="A36" s="453" t="s">
        <v>675</v>
      </c>
    </row>
    <row r="39" ht="15.75">
      <c r="A39" s="1" t="s">
        <v>676</v>
      </c>
    </row>
    <row r="40" ht="15.75">
      <c r="A40" s="45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9.xml><?xml version="1.0" encoding="utf-8"?>
<worksheet xmlns="http://schemas.openxmlformats.org/spreadsheetml/2006/main" xmlns:r="http://schemas.openxmlformats.org/officeDocument/2006/relationships">
  <dimension ref="A1:E242"/>
  <sheetViews>
    <sheetView zoomScalePageLayoutView="0" workbookViewId="0" topLeftCell="A1">
      <selection activeCell="B10" sqref="B10"/>
    </sheetView>
  </sheetViews>
  <sheetFormatPr defaultColWidth="8.796875" defaultRowHeight="15"/>
  <cols>
    <col min="1" max="1" width="81.8984375" style="32" customWidth="1"/>
    <col min="2" max="16384" width="8.8984375" style="32" customWidth="1"/>
  </cols>
  <sheetData>
    <row r="1" ht="15.75">
      <c r="A1" s="459" t="s">
        <v>911</v>
      </c>
    </row>
    <row r="2" ht="15.75">
      <c r="A2" s="32" t="s">
        <v>912</v>
      </c>
    </row>
    <row r="4" spans="1:5" ht="15.75">
      <c r="A4" s="459" t="s">
        <v>909</v>
      </c>
      <c r="B4" s="664"/>
      <c r="C4" s="664"/>
      <c r="D4" s="664"/>
      <c r="E4" s="664"/>
    </row>
    <row r="5" spans="1:5" ht="15.75">
      <c r="A5" s="665" t="s">
        <v>910</v>
      </c>
      <c r="B5" s="664"/>
      <c r="C5" s="664"/>
      <c r="D5" s="664"/>
      <c r="E5" s="664"/>
    </row>
    <row r="7" ht="15.75">
      <c r="A7" s="459" t="s">
        <v>906</v>
      </c>
    </row>
    <row r="8" ht="15.75">
      <c r="A8" s="32" t="s">
        <v>907</v>
      </c>
    </row>
    <row r="10" ht="15.75">
      <c r="A10" s="459" t="s">
        <v>740</v>
      </c>
    </row>
    <row r="11" ht="15.75">
      <c r="A11" s="533" t="s">
        <v>741</v>
      </c>
    </row>
    <row r="12" ht="15.75">
      <c r="A12" s="32" t="s">
        <v>742</v>
      </c>
    </row>
    <row r="13" ht="15.75">
      <c r="A13" s="32" t="s">
        <v>743</v>
      </c>
    </row>
    <row r="14" ht="15.75">
      <c r="A14" s="32" t="s">
        <v>744</v>
      </c>
    </row>
    <row r="15" ht="15.75">
      <c r="A15" s="32" t="s">
        <v>745</v>
      </c>
    </row>
    <row r="16" ht="15.75">
      <c r="A16" s="32" t="s">
        <v>746</v>
      </c>
    </row>
    <row r="17" ht="15.75">
      <c r="A17" s="32" t="s">
        <v>747</v>
      </c>
    </row>
    <row r="18" ht="15.75">
      <c r="A18" s="32" t="s">
        <v>748</v>
      </c>
    </row>
    <row r="19" ht="15.75">
      <c r="A19" s="32" t="s">
        <v>749</v>
      </c>
    </row>
    <row r="20" ht="15.75">
      <c r="A20" s="32" t="s">
        <v>750</v>
      </c>
    </row>
    <row r="21" ht="15.75">
      <c r="A21" s="32" t="s">
        <v>751</v>
      </c>
    </row>
    <row r="22" ht="15.75">
      <c r="A22" s="32" t="s">
        <v>752</v>
      </c>
    </row>
    <row r="23" ht="15.75">
      <c r="A23" s="32" t="s">
        <v>753</v>
      </c>
    </row>
    <row r="24" ht="15.75">
      <c r="A24" s="32" t="s">
        <v>754</v>
      </c>
    </row>
    <row r="25" ht="15.75">
      <c r="A25" s="32" t="s">
        <v>755</v>
      </c>
    </row>
    <row r="26" ht="15.75">
      <c r="A26" s="32" t="s">
        <v>756</v>
      </c>
    </row>
    <row r="27" ht="47.25">
      <c r="A27" s="35" t="s">
        <v>757</v>
      </c>
    </row>
    <row r="28" ht="15.75">
      <c r="A28" s="34" t="s">
        <v>758</v>
      </c>
    </row>
    <row r="29" ht="31.5">
      <c r="A29" s="35" t="s">
        <v>759</v>
      </c>
    </row>
    <row r="30" ht="15.75">
      <c r="A30" s="32" t="s">
        <v>760</v>
      </c>
    </row>
    <row r="31" ht="15.75">
      <c r="A31" s="32" t="s">
        <v>761</v>
      </c>
    </row>
    <row r="32" ht="15.75">
      <c r="A32" s="32" t="s">
        <v>762</v>
      </c>
    </row>
    <row r="33" ht="15.75">
      <c r="A33" s="32" t="s">
        <v>763</v>
      </c>
    </row>
    <row r="34" ht="15.75">
      <c r="A34" s="32" t="s">
        <v>764</v>
      </c>
    </row>
    <row r="35" ht="15.75">
      <c r="A35" s="32" t="s">
        <v>765</v>
      </c>
    </row>
    <row r="36" ht="15.75">
      <c r="A36" s="32" t="s">
        <v>766</v>
      </c>
    </row>
    <row r="37" ht="15.75">
      <c r="A37" s="32" t="s">
        <v>767</v>
      </c>
    </row>
    <row r="38" ht="15.75">
      <c r="A38" s="32" t="s">
        <v>768</v>
      </c>
    </row>
    <row r="39" ht="15.75">
      <c r="A39" s="32" t="s">
        <v>769</v>
      </c>
    </row>
    <row r="40" ht="15.75">
      <c r="A40" s="32" t="s">
        <v>770</v>
      </c>
    </row>
    <row r="41" ht="15.75">
      <c r="A41" s="32" t="s">
        <v>771</v>
      </c>
    </row>
    <row r="42" ht="15.75">
      <c r="A42" s="32" t="s">
        <v>772</v>
      </c>
    </row>
    <row r="43" ht="15.75">
      <c r="A43" s="32" t="s">
        <v>773</v>
      </c>
    </row>
    <row r="44" ht="15.75">
      <c r="A44" s="32" t="s">
        <v>899</v>
      </c>
    </row>
    <row r="45" ht="15.75">
      <c r="A45" s="32" t="s">
        <v>900</v>
      </c>
    </row>
    <row r="46" ht="15.75">
      <c r="A46" s="32" t="s">
        <v>901</v>
      </c>
    </row>
    <row r="47" ht="15.75">
      <c r="A47" s="32" t="s">
        <v>902</v>
      </c>
    </row>
    <row r="49" ht="15.75">
      <c r="A49" s="459" t="s">
        <v>740</v>
      </c>
    </row>
    <row r="50" ht="15.75">
      <c r="A50" s="533" t="s">
        <v>741</v>
      </c>
    </row>
    <row r="51" ht="15.75">
      <c r="A51" s="32" t="s">
        <v>742</v>
      </c>
    </row>
    <row r="52" ht="15.75">
      <c r="A52" s="32" t="s">
        <v>743</v>
      </c>
    </row>
    <row r="53" ht="15.75">
      <c r="A53" s="32" t="s">
        <v>744</v>
      </c>
    </row>
    <row r="54" ht="15.75">
      <c r="A54" s="32" t="s">
        <v>745</v>
      </c>
    </row>
    <row r="55" ht="15.75">
      <c r="A55" s="32" t="s">
        <v>746</v>
      </c>
    </row>
    <row r="56" ht="15.75">
      <c r="A56" s="32" t="s">
        <v>747</v>
      </c>
    </row>
    <row r="57" ht="15.75">
      <c r="A57" s="32" t="s">
        <v>748</v>
      </c>
    </row>
    <row r="58" ht="15.75">
      <c r="A58" s="32" t="s">
        <v>749</v>
      </c>
    </row>
    <row r="59" ht="15.75">
      <c r="A59" s="32" t="s">
        <v>750</v>
      </c>
    </row>
    <row r="60" ht="15.75">
      <c r="A60" s="32" t="s">
        <v>751</v>
      </c>
    </row>
    <row r="61" ht="15.75">
      <c r="A61" s="32" t="s">
        <v>752</v>
      </c>
    </row>
    <row r="62" ht="15.75">
      <c r="A62" s="32" t="s">
        <v>753</v>
      </c>
    </row>
    <row r="63" ht="15.75">
      <c r="A63" s="32" t="s">
        <v>754</v>
      </c>
    </row>
    <row r="64" ht="15.75">
      <c r="A64" s="32" t="s">
        <v>755</v>
      </c>
    </row>
    <row r="65" ht="15.75">
      <c r="A65" s="32" t="s">
        <v>756</v>
      </c>
    </row>
    <row r="66" ht="47.25">
      <c r="A66" s="35" t="s">
        <v>757</v>
      </c>
    </row>
    <row r="67" ht="15.75">
      <c r="A67" s="34" t="s">
        <v>758</v>
      </c>
    </row>
    <row r="68" ht="31.5">
      <c r="A68" s="35" t="s">
        <v>759</v>
      </c>
    </row>
    <row r="69" ht="15.75">
      <c r="A69" s="32" t="s">
        <v>760</v>
      </c>
    </row>
    <row r="70" ht="15.75">
      <c r="A70" s="32" t="s">
        <v>761</v>
      </c>
    </row>
    <row r="71" ht="15.75">
      <c r="A71" s="32" t="s">
        <v>762</v>
      </c>
    </row>
    <row r="72" ht="15.75">
      <c r="A72" s="32" t="s">
        <v>763</v>
      </c>
    </row>
    <row r="73" ht="15.75">
      <c r="A73" s="32" t="s">
        <v>764</v>
      </c>
    </row>
    <row r="74" ht="15.75">
      <c r="A74" s="32" t="s">
        <v>765</v>
      </c>
    </row>
    <row r="75" ht="15.75">
      <c r="A75" s="32" t="s">
        <v>766</v>
      </c>
    </row>
    <row r="76" ht="15.75">
      <c r="A76" s="32" t="s">
        <v>767</v>
      </c>
    </row>
    <row r="77" ht="15.75">
      <c r="A77" s="32" t="s">
        <v>768</v>
      </c>
    </row>
    <row r="78" ht="15.75">
      <c r="A78" s="32" t="s">
        <v>769</v>
      </c>
    </row>
    <row r="79" ht="15.75">
      <c r="A79" s="32" t="s">
        <v>770</v>
      </c>
    </row>
    <row r="80" ht="15.75">
      <c r="A80" s="32" t="s">
        <v>771</v>
      </c>
    </row>
    <row r="81" ht="15.75">
      <c r="A81" s="32" t="s">
        <v>772</v>
      </c>
    </row>
    <row r="82" ht="15.75">
      <c r="A82" s="32" t="s">
        <v>773</v>
      </c>
    </row>
    <row r="83" ht="15.75">
      <c r="A83" s="32" t="s">
        <v>774</v>
      </c>
    </row>
    <row r="84" ht="15.75">
      <c r="A84" s="32" t="s">
        <v>775</v>
      </c>
    </row>
    <row r="87" ht="15.75">
      <c r="A87" s="459" t="s">
        <v>738</v>
      </c>
    </row>
    <row r="88" ht="15.75">
      <c r="A88" s="32" t="s">
        <v>739</v>
      </c>
    </row>
    <row r="90" ht="15.75">
      <c r="A90" s="459" t="s">
        <v>734</v>
      </c>
    </row>
    <row r="91" ht="15.75">
      <c r="A91" s="32" t="s">
        <v>735</v>
      </c>
    </row>
    <row r="92" ht="15.75">
      <c r="A92" s="32" t="s">
        <v>736</v>
      </c>
    </row>
    <row r="93" ht="15.75">
      <c r="A93" s="32" t="s">
        <v>737</v>
      </c>
    </row>
    <row r="95" ht="15.75">
      <c r="A95" s="459" t="s">
        <v>732</v>
      </c>
    </row>
    <row r="96" ht="15.75">
      <c r="A96" s="458" t="s">
        <v>733</v>
      </c>
    </row>
    <row r="98" ht="15.75">
      <c r="A98" s="459" t="s">
        <v>704</v>
      </c>
    </row>
    <row r="99" ht="15.75">
      <c r="A99" s="32" t="s">
        <v>705</v>
      </c>
    </row>
    <row r="101" ht="15.75">
      <c r="A101" s="459" t="s">
        <v>683</v>
      </c>
    </row>
    <row r="102" ht="15.75">
      <c r="A102" s="458" t="s">
        <v>680</v>
      </c>
    </row>
    <row r="103" ht="15.75">
      <c r="A103" s="458" t="s">
        <v>681</v>
      </c>
    </row>
    <row r="104" ht="31.5">
      <c r="A104" s="457" t="s">
        <v>682</v>
      </c>
    </row>
    <row r="105" ht="15.75">
      <c r="A105" s="458" t="s">
        <v>706</v>
      </c>
    </row>
    <row r="106" ht="15.75">
      <c r="A106" s="458" t="s">
        <v>707</v>
      </c>
    </row>
    <row r="107" ht="15.75">
      <c r="A107" s="458" t="s">
        <v>708</v>
      </c>
    </row>
    <row r="108" ht="15.75">
      <c r="A108" s="458" t="s">
        <v>709</v>
      </c>
    </row>
    <row r="109" ht="15.75">
      <c r="A109" s="458" t="s">
        <v>710</v>
      </c>
    </row>
    <row r="110" ht="15.75">
      <c r="A110" s="458" t="s">
        <v>711</v>
      </c>
    </row>
    <row r="111" ht="15.75">
      <c r="A111" s="458" t="s">
        <v>712</v>
      </c>
    </row>
    <row r="112" ht="15.75">
      <c r="A112" s="458" t="s">
        <v>713</v>
      </c>
    </row>
    <row r="113" ht="15.75">
      <c r="A113" s="458" t="s">
        <v>714</v>
      </c>
    </row>
    <row r="114" ht="15.75">
      <c r="A114" s="458" t="s">
        <v>715</v>
      </c>
    </row>
    <row r="115" ht="15.75">
      <c r="A115" s="458" t="s">
        <v>716</v>
      </c>
    </row>
    <row r="116" ht="15.75">
      <c r="A116" s="458" t="s">
        <v>717</v>
      </c>
    </row>
    <row r="117" ht="15.75">
      <c r="A117" s="458" t="s">
        <v>718</v>
      </c>
    </row>
    <row r="118" ht="15.75">
      <c r="A118" s="458" t="s">
        <v>719</v>
      </c>
    </row>
    <row r="119" ht="15.75">
      <c r="A119" s="458" t="s">
        <v>720</v>
      </c>
    </row>
    <row r="120" ht="15.75">
      <c r="A120" s="458" t="s">
        <v>721</v>
      </c>
    </row>
    <row r="121" ht="15.75">
      <c r="A121" s="458" t="s">
        <v>722</v>
      </c>
    </row>
    <row r="122" ht="15.75">
      <c r="A122" s="458" t="s">
        <v>723</v>
      </c>
    </row>
    <row r="123" ht="15.75">
      <c r="A123" s="458" t="s">
        <v>724</v>
      </c>
    </row>
    <row r="124" ht="15.75">
      <c r="A124" s="458" t="s">
        <v>725</v>
      </c>
    </row>
    <row r="125" ht="15.75">
      <c r="A125" s="458" t="s">
        <v>726</v>
      </c>
    </row>
    <row r="126" ht="15.75">
      <c r="A126" s="458" t="s">
        <v>727</v>
      </c>
    </row>
    <row r="127" ht="15.75">
      <c r="A127" s="458" t="s">
        <v>728</v>
      </c>
    </row>
    <row r="128" ht="15.75">
      <c r="A128" s="458" t="s">
        <v>729</v>
      </c>
    </row>
    <row r="129" ht="15.75">
      <c r="A129" s="458" t="s">
        <v>730</v>
      </c>
    </row>
    <row r="130" ht="15.75">
      <c r="A130" s="458" t="s">
        <v>731</v>
      </c>
    </row>
    <row r="132" ht="15.75">
      <c r="A132" s="335" t="s">
        <v>592</v>
      </c>
    </row>
    <row r="133" ht="15.75">
      <c r="A133" s="32" t="s">
        <v>593</v>
      </c>
    </row>
    <row r="134" ht="15.75">
      <c r="A134" s="32" t="s">
        <v>594</v>
      </c>
    </row>
    <row r="135" ht="15.75">
      <c r="A135" s="32" t="s">
        <v>595</v>
      </c>
    </row>
    <row r="137" ht="15.75">
      <c r="A137" s="335" t="s">
        <v>582</v>
      </c>
    </row>
    <row r="138" ht="15.75">
      <c r="A138" s="32" t="s">
        <v>591</v>
      </c>
    </row>
    <row r="140" ht="15.75">
      <c r="A140" s="335" t="s">
        <v>357</v>
      </c>
    </row>
    <row r="141" ht="15.75">
      <c r="A141" s="334" t="s">
        <v>358</v>
      </c>
    </row>
    <row r="142" ht="15.75">
      <c r="A142" s="334" t="s">
        <v>359</v>
      </c>
    </row>
    <row r="143" ht="15.75">
      <c r="A143" s="334" t="s">
        <v>360</v>
      </c>
    </row>
    <row r="144" ht="15.75">
      <c r="A144" s="32" t="s">
        <v>580</v>
      </c>
    </row>
    <row r="146" ht="15.75">
      <c r="A146" s="314" t="s">
        <v>326</v>
      </c>
    </row>
    <row r="147" ht="15.75">
      <c r="A147" s="316" t="s">
        <v>337</v>
      </c>
    </row>
    <row r="148" ht="15.75">
      <c r="A148" s="32" t="s">
        <v>338</v>
      </c>
    </row>
    <row r="149" ht="15.75">
      <c r="A149" s="32" t="s">
        <v>339</v>
      </c>
    </row>
    <row r="150" ht="21.75" customHeight="1">
      <c r="A150" s="35" t="s">
        <v>340</v>
      </c>
    </row>
    <row r="151" ht="15.75">
      <c r="A151" s="32" t="s">
        <v>341</v>
      </c>
    </row>
    <row r="152" ht="15.75">
      <c r="A152" s="32" t="s">
        <v>342</v>
      </c>
    </row>
    <row r="153" ht="15.75">
      <c r="A153" s="32" t="s">
        <v>343</v>
      </c>
    </row>
    <row r="154" ht="15.75">
      <c r="A154" s="32" t="s">
        <v>344</v>
      </c>
    </row>
    <row r="155" ht="15.75">
      <c r="A155" s="32" t="s">
        <v>345</v>
      </c>
    </row>
    <row r="156" ht="15.75">
      <c r="A156" s="32" t="s">
        <v>346</v>
      </c>
    </row>
    <row r="157" ht="15.75">
      <c r="A157" s="32" t="s">
        <v>347</v>
      </c>
    </row>
    <row r="159" ht="15.75">
      <c r="A159" s="314" t="s">
        <v>321</v>
      </c>
    </row>
    <row r="160" ht="15.75">
      <c r="A160" s="32" t="s">
        <v>322</v>
      </c>
    </row>
    <row r="162" ht="15.75">
      <c r="A162" s="314" t="s">
        <v>319</v>
      </c>
    </row>
    <row r="163" ht="15.75">
      <c r="A163" s="32" t="s">
        <v>320</v>
      </c>
    </row>
    <row r="165" ht="15.75">
      <c r="A165" s="314" t="s">
        <v>316</v>
      </c>
    </row>
    <row r="166" ht="15.75">
      <c r="A166" s="32" t="s">
        <v>317</v>
      </c>
    </row>
    <row r="167" ht="15.75">
      <c r="A167" s="32" t="s">
        <v>318</v>
      </c>
    </row>
    <row r="169" ht="15.75">
      <c r="A169" s="314" t="s">
        <v>61</v>
      </c>
    </row>
    <row r="170" ht="15.75">
      <c r="A170" s="32" t="s">
        <v>46</v>
      </c>
    </row>
    <row r="171" ht="15.75">
      <c r="A171" s="32" t="s">
        <v>47</v>
      </c>
    </row>
    <row r="172" ht="15.75">
      <c r="A172" s="32" t="s">
        <v>48</v>
      </c>
    </row>
    <row r="173" ht="15.75">
      <c r="A173" s="32" t="s">
        <v>55</v>
      </c>
    </row>
    <row r="174" ht="15.75">
      <c r="A174" s="32" t="s">
        <v>49</v>
      </c>
    </row>
    <row r="175" ht="15.75">
      <c r="A175" s="32" t="s">
        <v>50</v>
      </c>
    </row>
    <row r="176" ht="31.5">
      <c r="A176" s="35" t="s">
        <v>56</v>
      </c>
    </row>
    <row r="177" ht="31.5">
      <c r="A177" s="35" t="s">
        <v>51</v>
      </c>
    </row>
    <row r="178" ht="15.75">
      <c r="A178" s="35" t="s">
        <v>52</v>
      </c>
    </row>
    <row r="179" ht="15.75">
      <c r="A179" s="35" t="s">
        <v>53</v>
      </c>
    </row>
    <row r="180" ht="31.5">
      <c r="A180" s="35" t="s">
        <v>309</v>
      </c>
    </row>
    <row r="181" ht="15.75">
      <c r="A181" s="32" t="s">
        <v>310</v>
      </c>
    </row>
    <row r="182" ht="31.5">
      <c r="A182" s="35" t="s">
        <v>54</v>
      </c>
    </row>
    <row r="183" ht="15.75">
      <c r="A183" s="32" t="s">
        <v>58</v>
      </c>
    </row>
    <row r="184" ht="15.75">
      <c r="A184" s="32" t="s">
        <v>59</v>
      </c>
    </row>
    <row r="185" ht="15.75">
      <c r="A185" s="32" t="s">
        <v>60</v>
      </c>
    </row>
    <row r="186" ht="31.5">
      <c r="A186" s="35" t="s">
        <v>308</v>
      </c>
    </row>
    <row r="187" ht="15.75">
      <c r="A187" s="32" t="s">
        <v>307</v>
      </c>
    </row>
    <row r="188" ht="31.5">
      <c r="A188" s="35" t="s">
        <v>306</v>
      </c>
    </row>
    <row r="189" ht="15.75">
      <c r="A189" s="32" t="s">
        <v>311</v>
      </c>
    </row>
    <row r="191" ht="15.75">
      <c r="A191" s="314" t="s">
        <v>65</v>
      </c>
    </row>
    <row r="192" ht="15.75">
      <c r="A192" s="32" t="s">
        <v>66</v>
      </c>
    </row>
    <row r="193" ht="15.75">
      <c r="A193" s="32" t="s">
        <v>67</v>
      </c>
    </row>
    <row r="194" ht="15.75">
      <c r="A194" s="32" t="s">
        <v>68</v>
      </c>
    </row>
    <row r="195" ht="15.75">
      <c r="A195" s="32" t="s">
        <v>57</v>
      </c>
    </row>
    <row r="198" ht="15.75">
      <c r="A198" s="314" t="s">
        <v>42</v>
      </c>
    </row>
    <row r="199" ht="15.75">
      <c r="A199" s="32" t="s">
        <v>43</v>
      </c>
    </row>
    <row r="201" ht="15.75">
      <c r="A201" s="314" t="s">
        <v>35</v>
      </c>
    </row>
    <row r="202" ht="15.75">
      <c r="A202" s="32" t="s">
        <v>36</v>
      </c>
    </row>
    <row r="203" ht="15.75">
      <c r="A203" s="32" t="s">
        <v>37</v>
      </c>
    </row>
    <row r="204" ht="31.5">
      <c r="A204" s="35" t="s">
        <v>38</v>
      </c>
    </row>
    <row r="205" ht="15.75">
      <c r="A205" s="32" t="s">
        <v>39</v>
      </c>
    </row>
    <row r="206" ht="15.75">
      <c r="A206" s="32" t="s">
        <v>40</v>
      </c>
    </row>
    <row r="207" ht="15.75">
      <c r="A207" s="32" t="s">
        <v>41</v>
      </c>
    </row>
    <row r="209" ht="18" customHeight="1">
      <c r="A209" s="314" t="s">
        <v>279</v>
      </c>
    </row>
    <row r="210" ht="48.75" customHeight="1">
      <c r="A210" s="35" t="s">
        <v>312</v>
      </c>
    </row>
    <row r="211" ht="15.75">
      <c r="A211" s="32" t="s">
        <v>280</v>
      </c>
    </row>
    <row r="212" ht="15.75">
      <c r="A212" s="32" t="s">
        <v>281</v>
      </c>
    </row>
    <row r="213" ht="15.75">
      <c r="A213" s="32" t="s">
        <v>313</v>
      </c>
    </row>
    <row r="214" ht="15.75">
      <c r="A214" s="32" t="s">
        <v>282</v>
      </c>
    </row>
    <row r="215" ht="15.75">
      <c r="A215" s="32" t="s">
        <v>283</v>
      </c>
    </row>
    <row r="216" ht="15.75">
      <c r="A216" s="32" t="s">
        <v>6</v>
      </c>
    </row>
    <row r="217" ht="15.75">
      <c r="A217" s="32" t="s">
        <v>284</v>
      </c>
    </row>
    <row r="218" ht="15.75">
      <c r="A218" s="32" t="s">
        <v>285</v>
      </c>
    </row>
    <row r="219" ht="31.5">
      <c r="A219" s="35" t="s">
        <v>286</v>
      </c>
    </row>
    <row r="220" ht="31.5">
      <c r="A220" s="35" t="s">
        <v>15</v>
      </c>
    </row>
    <row r="221" ht="15.75">
      <c r="A221" s="32" t="s">
        <v>287</v>
      </c>
    </row>
    <row r="222" ht="15.75">
      <c r="A222" s="32" t="s">
        <v>288</v>
      </c>
    </row>
    <row r="223" ht="15.75">
      <c r="A223" s="32" t="s">
        <v>314</v>
      </c>
    </row>
    <row r="224" ht="15.75">
      <c r="A224" s="32" t="s">
        <v>289</v>
      </c>
    </row>
    <row r="225" ht="15.75">
      <c r="A225" s="32" t="s">
        <v>0</v>
      </c>
    </row>
    <row r="226" ht="31.5">
      <c r="A226" s="35" t="s">
        <v>1</v>
      </c>
    </row>
    <row r="227" ht="15.75">
      <c r="A227" s="32" t="s">
        <v>299</v>
      </c>
    </row>
    <row r="228" ht="15.75">
      <c r="A228" s="32" t="s">
        <v>300</v>
      </c>
    </row>
    <row r="229" ht="31.5">
      <c r="A229" s="35" t="s">
        <v>301</v>
      </c>
    </row>
    <row r="230" ht="15.75">
      <c r="A230" s="32" t="s">
        <v>22</v>
      </c>
    </row>
    <row r="231" ht="15.75">
      <c r="A231" s="32" t="s">
        <v>23</v>
      </c>
    </row>
    <row r="232" ht="15.75">
      <c r="A232" s="32" t="s">
        <v>24</v>
      </c>
    </row>
    <row r="233" ht="15.75">
      <c r="A233" s="32" t="s">
        <v>25</v>
      </c>
    </row>
    <row r="234" ht="15.75">
      <c r="A234" s="32" t="s">
        <v>26</v>
      </c>
    </row>
    <row r="235" ht="15.75">
      <c r="A235" s="32" t="s">
        <v>27</v>
      </c>
    </row>
    <row r="236" ht="15.75">
      <c r="A236" s="32" t="s">
        <v>28</v>
      </c>
    </row>
    <row r="237" ht="15.75">
      <c r="A237" s="32" t="s">
        <v>29</v>
      </c>
    </row>
    <row r="238" ht="15.75">
      <c r="A238" s="32" t="s">
        <v>30</v>
      </c>
    </row>
    <row r="239" ht="15.75">
      <c r="A239" s="32" t="s">
        <v>32</v>
      </c>
    </row>
    <row r="240" ht="15.75">
      <c r="A240" s="32" t="s">
        <v>33</v>
      </c>
    </row>
    <row r="241" ht="15.75">
      <c r="A241" s="32" t="s">
        <v>34</v>
      </c>
    </row>
    <row r="242" ht="15.75">
      <c r="A242" s="32" t="s">
        <v>31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J92"/>
  <sheetViews>
    <sheetView tabSelected="1" zoomScalePageLayoutView="0" workbookViewId="0" topLeftCell="A1">
      <selection activeCell="D8" sqref="D8"/>
    </sheetView>
  </sheetViews>
  <sheetFormatPr defaultColWidth="8.796875" defaultRowHeight="15"/>
  <cols>
    <col min="1" max="1" width="12" style="105"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5" customWidth="1"/>
  </cols>
  <sheetData>
    <row r="1" spans="2:9" ht="15.75">
      <c r="B1" s="47"/>
      <c r="C1" s="47"/>
      <c r="D1" s="46" t="s">
        <v>162</v>
      </c>
      <c r="E1" s="47"/>
      <c r="F1" s="47"/>
      <c r="G1" s="133"/>
      <c r="I1" s="32">
        <f>inputPrYr!C5</f>
        <v>2013</v>
      </c>
    </row>
    <row r="2" spans="2:7" ht="15.75">
      <c r="B2" s="696" t="str">
        <f>CONCATENATE("To the Clerk of ",(inputPrYr!D3),", State of Kansas")</f>
        <v>To the Clerk of ELLSWORTH COUNTY, State of Kansas</v>
      </c>
      <c r="C2" s="689"/>
      <c r="D2" s="689"/>
      <c r="E2" s="689"/>
      <c r="F2" s="689"/>
      <c r="G2" s="689"/>
    </row>
    <row r="3" spans="2:7" ht="15.75">
      <c r="B3" s="135" t="s">
        <v>596</v>
      </c>
      <c r="C3" s="56"/>
      <c r="D3" s="56"/>
      <c r="E3" s="56"/>
      <c r="F3" s="56"/>
      <c r="G3" s="56"/>
    </row>
    <row r="4" spans="2:7" ht="15.75">
      <c r="B4" s="694" t="str">
        <f>(inputPrYr!D2)</f>
        <v>CITY OF ELLSWORTH</v>
      </c>
      <c r="C4" s="695"/>
      <c r="D4" s="695"/>
      <c r="E4" s="695"/>
      <c r="F4" s="695"/>
      <c r="G4" s="695"/>
    </row>
    <row r="5" spans="2:7" ht="15.75">
      <c r="B5" s="135" t="s">
        <v>78</v>
      </c>
      <c r="C5" s="56"/>
      <c r="D5" s="56"/>
      <c r="E5" s="56"/>
      <c r="F5" s="56"/>
      <c r="G5" s="56"/>
    </row>
    <row r="6" spans="2:7" ht="15.75">
      <c r="B6" s="135" t="s">
        <v>79</v>
      </c>
      <c r="C6" s="56"/>
      <c r="D6" s="56"/>
      <c r="E6" s="56"/>
      <c r="F6" s="56"/>
      <c r="G6" s="56"/>
    </row>
    <row r="7" spans="2:7" ht="15.75">
      <c r="B7" s="135" t="str">
        <f>CONCATENATE("maximum expenditures for the various funds for the year ",I1,"; and")</f>
        <v>maximum expenditures for the various funds for the year 2013; and</v>
      </c>
      <c r="C7" s="56"/>
      <c r="D7" s="56"/>
      <c r="E7" s="56"/>
      <c r="F7" s="56"/>
      <c r="G7" s="56"/>
    </row>
    <row r="8" spans="2:7" ht="15.75">
      <c r="B8" s="135" t="str">
        <f>CONCATENATE("(3) the Amounts(s) of ",I1-1," Ad Valorem Tax are within statutory limitations.")</f>
        <v>(3) the Amounts(s) of 2012 Ad Valorem Tax are within statutory limitations.</v>
      </c>
      <c r="C8" s="56"/>
      <c r="D8" s="56"/>
      <c r="E8" s="56"/>
      <c r="F8" s="56"/>
      <c r="G8" s="56"/>
    </row>
    <row r="9" spans="2:7" ht="15.75">
      <c r="B9" s="47"/>
      <c r="C9" s="47"/>
      <c r="D9" s="47"/>
      <c r="E9" s="136" t="str">
        <f>CONCATENATE("",I1," Adopted Budget")</f>
        <v>2013 Adopted Budget</v>
      </c>
      <c r="F9" s="137"/>
      <c r="G9" s="138"/>
    </row>
    <row r="10" spans="2:7" ht="21" customHeight="1">
      <c r="B10" s="47"/>
      <c r="C10" s="47"/>
      <c r="D10" s="139"/>
      <c r="E10" s="140" t="s">
        <v>80</v>
      </c>
      <c r="F10" s="141" t="str">
        <f>CONCATENATE("Amount of ",I1-1,"")</f>
        <v>Amount of 2012</v>
      </c>
      <c r="G10" s="141" t="s">
        <v>81</v>
      </c>
    </row>
    <row r="11" spans="2:7" ht="15.75">
      <c r="B11" s="52"/>
      <c r="C11" s="47"/>
      <c r="D11" s="141" t="s">
        <v>82</v>
      </c>
      <c r="E11" s="399" t="s">
        <v>10</v>
      </c>
      <c r="F11" s="143" t="s">
        <v>256</v>
      </c>
      <c r="G11" s="142" t="s">
        <v>83</v>
      </c>
    </row>
    <row r="12" spans="2:7" ht="15.75">
      <c r="B12" s="144" t="s">
        <v>84</v>
      </c>
      <c r="C12" s="71"/>
      <c r="D12" s="145" t="s">
        <v>85</v>
      </c>
      <c r="E12" s="400" t="s">
        <v>602</v>
      </c>
      <c r="F12" s="146" t="s">
        <v>257</v>
      </c>
      <c r="G12" s="145" t="s">
        <v>86</v>
      </c>
    </row>
    <row r="13" spans="2:7" ht="15.75">
      <c r="B13" s="147" t="str">
        <f>CONCATENATE("Computation to Determine Limit for ",I1,"")</f>
        <v>Computation to Determine Limit for 2013</v>
      </c>
      <c r="C13" s="92"/>
      <c r="D13" s="148">
        <v>2</v>
      </c>
      <c r="E13" s="149"/>
      <c r="F13" s="149"/>
      <c r="G13" s="149"/>
    </row>
    <row r="14" spans="2:7" ht="15.75">
      <c r="B14" s="147" t="s">
        <v>860</v>
      </c>
      <c r="C14" s="71"/>
      <c r="D14" s="145">
        <v>3</v>
      </c>
      <c r="E14" s="142"/>
      <c r="F14" s="142"/>
      <c r="G14" s="142"/>
    </row>
    <row r="15" spans="2:7" ht="15.75">
      <c r="B15" s="147" t="s">
        <v>226</v>
      </c>
      <c r="C15" s="71"/>
      <c r="D15" s="145">
        <v>4</v>
      </c>
      <c r="E15" s="142"/>
      <c r="F15" s="142"/>
      <c r="G15" s="142"/>
    </row>
    <row r="16" spans="2:7" ht="15.75">
      <c r="B16" s="147" t="s">
        <v>87</v>
      </c>
      <c r="C16" s="92"/>
      <c r="D16" s="148">
        <v>5</v>
      </c>
      <c r="E16" s="150"/>
      <c r="F16" s="150"/>
      <c r="G16" s="150"/>
    </row>
    <row r="17" spans="2:7" ht="15.75">
      <c r="B17" s="147" t="s">
        <v>88</v>
      </c>
      <c r="C17" s="92"/>
      <c r="D17" s="148">
        <v>6</v>
      </c>
      <c r="E17" s="150"/>
      <c r="F17" s="150"/>
      <c r="G17" s="150"/>
    </row>
    <row r="18" spans="2:7" ht="15.75">
      <c r="B18" s="281" t="str">
        <f>IF(inputPrYr!D19="","","Computation to Determine State Library Grant")</f>
        <v>Computation to Determine State Library Grant</v>
      </c>
      <c r="C18" s="92"/>
      <c r="D18" s="158">
        <f>IF(inputPrYr!D19="","",'Library Grant'!F40)</f>
        <v>7</v>
      </c>
      <c r="E18" s="150"/>
      <c r="F18" s="150"/>
      <c r="G18" s="150"/>
    </row>
    <row r="19" spans="2:7" ht="15.75">
      <c r="B19" s="151" t="s">
        <v>89</v>
      </c>
      <c r="C19" s="152" t="s">
        <v>90</v>
      </c>
      <c r="D19" s="153"/>
      <c r="E19" s="154"/>
      <c r="F19" s="154"/>
      <c r="G19" s="154"/>
    </row>
    <row r="20" spans="2:7" ht="15.75">
      <c r="B20" s="64" t="s">
        <v>73</v>
      </c>
      <c r="C20" s="155" t="str">
        <f>IF(inputPrYr!C17&gt;0,(inputPrYr!C17),"  ")</f>
        <v>12-101a</v>
      </c>
      <c r="D20" s="148">
        <f>general!C56</f>
        <v>8</v>
      </c>
      <c r="E20" s="645">
        <f>IF(general!$E$104&lt;&gt;0,general!$E$104,"  ")</f>
        <v>2038224</v>
      </c>
      <c r="F20" s="646">
        <f>IF(general!$E$111&lt;&gt;0,general!$E$111,0)</f>
        <v>647187</v>
      </c>
      <c r="G20" s="647">
        <f>IF($G$49=0,"",ROUND(F20/$G$49*1000,3))</f>
      </c>
    </row>
    <row r="21" spans="2:7" ht="15.75">
      <c r="B21" s="64" t="s">
        <v>44</v>
      </c>
      <c r="C21" s="155" t="str">
        <f>IF(inputPrYr!C18&gt;0,(inputPrYr!C18),"  ")</f>
        <v>10-113</v>
      </c>
      <c r="D21" s="148">
        <f>IF('DebtSvs-library'!C82&gt;0,'DebtSvs-library'!C82,"  ")</f>
        <v>9</v>
      </c>
      <c r="E21" s="645">
        <f>IF('DebtSvs-library'!E34&lt;&gt;0,'DebtSvs-library'!E34,"  ")</f>
        <v>614086</v>
      </c>
      <c r="F21" s="646">
        <f>IF('DebtSvs-library'!E41&lt;&gt;0,'DebtSvs-library'!E41,0)</f>
        <v>168374</v>
      </c>
      <c r="G21" s="647">
        <f>IF($G$49=0,"",ROUND(F21/$G$49*1000,3))</f>
      </c>
    </row>
    <row r="22" spans="2:10" ht="15.75">
      <c r="B22" s="86" t="str">
        <f>IF(inputPrYr!$B19&gt;"  ",(inputPrYr!$B19),"  ")</f>
        <v>Library</v>
      </c>
      <c r="C22" s="155" t="str">
        <f>IF(inputPrYr!C19&gt;0,(inputPrYr!C19),"  ")</f>
        <v>12-1220</v>
      </c>
      <c r="D22" s="148">
        <f>IF('DebtSvs-library'!C82&gt;0,'DebtSvs-library'!C82,"  ")</f>
        <v>9</v>
      </c>
      <c r="E22" s="645">
        <f>IF('DebtSvs-library'!E74&lt;&gt;0,'DebtSvs-library'!E74,"  ")</f>
        <v>115427</v>
      </c>
      <c r="F22" s="646">
        <f>IF('DebtSvs-library'!E81&lt;&gt;0,'DebtSvs-library'!E81,0)</f>
        <v>100519</v>
      </c>
      <c r="G22" s="647">
        <f>IF($G$49=0,"",ROUND(F22/$G$49*1000,3))</f>
      </c>
      <c r="I22" s="488"/>
      <c r="J22" s="488"/>
    </row>
    <row r="23" spans="2:10" ht="15.75">
      <c r="B23" s="86" t="str">
        <f>IF(inputPrYr!$B21&gt;"  ",(inputPrYr!$B21),"  ")</f>
        <v>Fire/Police Equipment</v>
      </c>
      <c r="C23" s="155" t="str">
        <f>IF(inputPrYr!C21&gt;0,(inputPrYr!C21),"  ")</f>
        <v>12-110b</v>
      </c>
      <c r="D23" s="148">
        <f>IF('levy page9'!C81&gt;0,'levy page9'!C81,"  ")</f>
        <v>10</v>
      </c>
      <c r="E23" s="645">
        <f>IF('levy page9'!$E$33&gt;0,'levy page9'!$E$33,"  ")</f>
        <v>16906</v>
      </c>
      <c r="F23" s="646">
        <f>IF('levy page9'!E40&lt;&gt;0,'levy page9'!E40,0)</f>
        <v>12951</v>
      </c>
      <c r="G23" s="647">
        <f>IF($G$49=0,"",ROUND(F23/$G$49*1000,3))</f>
      </c>
      <c r="I23" s="488"/>
      <c r="J23" s="488"/>
    </row>
    <row r="24" spans="2:7" ht="15.75">
      <c r="B24" s="156" t="str">
        <f>IF(inputPrYr!$B34&gt;"  ",(inputPrYr!$B34),"  ")</f>
        <v>Special Highway</v>
      </c>
      <c r="C24" s="157"/>
      <c r="D24" s="158">
        <f>IF('Sp Hiway'!C67&gt;0,'Sp Hiway'!C67,"  ")</f>
        <v>11</v>
      </c>
      <c r="E24" s="645">
        <f>IF('Sp Hiway'!$E$30&gt;0,'Sp Hiway'!$E$30,"  ")</f>
        <v>99677</v>
      </c>
      <c r="F24" s="645"/>
      <c r="G24" s="648"/>
    </row>
    <row r="25" spans="2:7" ht="15.75">
      <c r="B25" s="156" t="str">
        <f>IF(inputPrYr!$B35&gt;"  ",(inputPrYr!$B35),"  ")</f>
        <v>Special Parks &amp; Recreation</v>
      </c>
      <c r="C25" s="157"/>
      <c r="D25" s="158">
        <f>IF('Sp Hiway'!C67&gt;0,'Sp Hiway'!C67,"  ")</f>
        <v>11</v>
      </c>
      <c r="E25" s="645">
        <f>IF('Sp Hiway'!$E$61&gt;0,'Sp Hiway'!$E$61,"  ")</f>
        <v>5057</v>
      </c>
      <c r="F25" s="645"/>
      <c r="G25" s="648"/>
    </row>
    <row r="26" spans="2:7" ht="15.75">
      <c r="B26" s="156" t="str">
        <f>IF(inputPrYr!$B36&gt;"  ",(inputPrYr!$B36),"  ")</f>
        <v>Solid Waste</v>
      </c>
      <c r="C26" s="159"/>
      <c r="D26" s="158">
        <f>IF('no levy page15'!C66&gt;0,'no levy page15'!C66,"  ")</f>
        <v>12</v>
      </c>
      <c r="E26" s="645">
        <f>IF('no levy page15'!$E$19&gt;0,'no levy page15'!$E$19,"  ")</f>
        <v>155169</v>
      </c>
      <c r="F26" s="645"/>
      <c r="G26" s="648"/>
    </row>
    <row r="27" spans="2:7" ht="15.75">
      <c r="B27" s="156" t="str">
        <f>IF(inputPrYr!$B37&gt;"  ",(inputPrYr!$B37),"  ")</f>
        <v>Capital Improvement</v>
      </c>
      <c r="C27" s="157"/>
      <c r="D27" s="158">
        <f>IF('no levy page15'!C66&gt;0,'no levy page15'!C66,"  ")</f>
        <v>12</v>
      </c>
      <c r="E27" s="645">
        <f>IF('no levy page15'!$E$60&gt;0,'no levy page15'!$E$60,"  ")</f>
        <v>640954</v>
      </c>
      <c r="F27" s="645"/>
      <c r="G27" s="648"/>
    </row>
    <row r="28" spans="2:7" ht="15.75">
      <c r="B28" s="156" t="str">
        <f>IF(inputPrYr!$B38&gt;"  ",(inputPrYr!$B38),"  ")</f>
        <v>Municipal Equipment</v>
      </c>
      <c r="C28" s="159"/>
      <c r="D28" s="158">
        <f>IF('no levy page16'!C71&gt;0,'no levy page16'!C71,"  ")</f>
        <v>13</v>
      </c>
      <c r="E28" s="645">
        <f>IF('no levy page16'!$E$34&gt;0,'no levy page16'!$E$34,"  ")</f>
        <v>269975</v>
      </c>
      <c r="F28" s="645"/>
      <c r="G28" s="648"/>
    </row>
    <row r="29" spans="2:7" ht="15.75">
      <c r="B29" s="156" t="str">
        <f>IF(inputPrYr!$B39&gt;"  ",(inputPrYr!$B39),"  ")</f>
        <v>Tourism &amp; Convention</v>
      </c>
      <c r="C29" s="160"/>
      <c r="D29" s="158">
        <f>IF('no levy page16'!C71&gt;0,'no levy page16'!C71,"  ")</f>
        <v>13</v>
      </c>
      <c r="E29" s="645">
        <f>IF('no levy page16'!$E$65&gt;0,'no levy page16'!$E$65,"  ")</f>
        <v>33168</v>
      </c>
      <c r="F29" s="645"/>
      <c r="G29" s="648"/>
    </row>
    <row r="30" spans="2:7" ht="15.75">
      <c r="B30" s="156" t="str">
        <f>IF(inputPrYr!$B40&gt;"  ",(inputPrYr!$B40),"  ")</f>
        <v>TDD Dees &amp; Kunkle</v>
      </c>
      <c r="C30" s="157"/>
      <c r="D30" s="158">
        <f>IF('no levy page17'!C65&gt;0,'no levy page17'!C65,"  ")</f>
        <v>14</v>
      </c>
      <c r="E30" s="645">
        <f>IF('no levy page17'!$E$28&gt;0,'no levy page17'!$E$28,"  ")</f>
        <v>120000</v>
      </c>
      <c r="F30" s="645"/>
      <c r="G30" s="648"/>
    </row>
    <row r="31" spans="2:7" ht="15.75">
      <c r="B31" s="156" t="str">
        <f>IF(inputPrYr!$B41&gt;"  ",(inputPrYr!$B41),"  ")</f>
        <v>Water/Sewer Emer Depriciation</v>
      </c>
      <c r="C31" s="157"/>
      <c r="D31" s="158">
        <f>IF('no levy page17'!C65&gt;0,'no levy page17'!C65,"  ")</f>
        <v>14</v>
      </c>
      <c r="E31" s="645">
        <f>IF('no levy page17'!$E$59&gt;0,'no levy page17'!$E$59,"  ")</f>
        <v>115525</v>
      </c>
      <c r="F31" s="645"/>
      <c r="G31" s="648"/>
    </row>
    <row r="32" spans="2:7" ht="15.75">
      <c r="B32" s="156" t="str">
        <f>IF(inputPrYr!$B42&gt;"  ",(inputPrYr!$B42),"  ")</f>
        <v>TDD Debt Service Reserve</v>
      </c>
      <c r="C32" s="157"/>
      <c r="D32" s="158">
        <f>IF('no levy page18'!C65&gt;0,'no levy page18'!C65,"  ")</f>
        <v>15</v>
      </c>
      <c r="E32" s="645">
        <f>IF('no levy page18'!$E$28&gt;0,'no levy page18'!$E$28,"  ")</f>
        <v>206102</v>
      </c>
      <c r="F32" s="645"/>
      <c r="G32" s="648"/>
    </row>
    <row r="33" spans="2:7" ht="15.75">
      <c r="B33" s="156" t="str">
        <f>IF(inputPrYr!$B43&gt;"  ",(inputPrYr!$B43),"  ")</f>
        <v>TDD Principal &amp; Interest</v>
      </c>
      <c r="C33" s="160"/>
      <c r="D33" s="158">
        <f>IF('no levy page19'!C65&gt;0,'no levy page19'!C65,"  ")</f>
        <v>16</v>
      </c>
      <c r="E33" s="645">
        <f>IF('no levy page24'!$E$59&gt;0,'no levy page24'!$E$59,"  ")</f>
        <v>231956</v>
      </c>
      <c r="F33" s="645"/>
      <c r="G33" s="648"/>
    </row>
    <row r="34" spans="2:7" ht="15.75">
      <c r="B34" s="156" t="str">
        <f>IF(inputPrYr!$B44&gt;"  ",(inputPrYr!$B44),"  ")</f>
        <v>2011 G.O. Redemption</v>
      </c>
      <c r="C34" s="157"/>
      <c r="D34" s="158">
        <f>IF('no levy page19'!C65&gt;0,'no levy page19'!C65,"  ")</f>
        <v>16</v>
      </c>
      <c r="E34" s="645">
        <v>0</v>
      </c>
      <c r="F34" s="645"/>
      <c r="G34" s="648"/>
    </row>
    <row r="35" spans="2:7" ht="15.75">
      <c r="B35" s="156" t="str">
        <f>IF(inputPrYr!$B45&gt;"  ",(inputPrYr!$B45),"  ")</f>
        <v>2011 G.O. Cost of Issuance</v>
      </c>
      <c r="C35" s="157"/>
      <c r="D35" s="158">
        <f>IF('no levy page20'!C65&gt;0,'no levy page20'!C65,"  ")</f>
        <v>17</v>
      </c>
      <c r="E35" s="645">
        <v>0</v>
      </c>
      <c r="F35" s="645"/>
      <c r="G35" s="648"/>
    </row>
    <row r="36" spans="2:7" ht="15.75">
      <c r="B36" s="156" t="str">
        <f>IF(inputPrYr!$B46&gt;"  ",(inputPrYr!$B46),"  ")</f>
        <v>2011 G.O. Compliance</v>
      </c>
      <c r="C36" s="159"/>
      <c r="D36" s="158">
        <f>IF('no levy page20'!C65&gt;0,'no levy page20'!C65,"  ")</f>
        <v>17</v>
      </c>
      <c r="E36" s="645">
        <f>IF('no levy page20'!$E$28&gt;0,'no levy page20'!$E$28,"  ")</f>
        <v>3670</v>
      </c>
      <c r="F36" s="645"/>
      <c r="G36" s="648"/>
    </row>
    <row r="37" spans="2:7" ht="15.75">
      <c r="B37" s="156" t="str">
        <f>IF(inputPrYr!$B47&gt;"  ",(inputPrYr!$B47),"  ")</f>
        <v>W/S Improvement</v>
      </c>
      <c r="C37" s="157"/>
      <c r="D37" s="158">
        <f>IF('no levy page21'!C65&gt;0,'no levy page21'!C65,"  ")</f>
        <v>18</v>
      </c>
      <c r="E37" s="645">
        <f>IF('no levy page20'!$E$59&gt;0,'no levy page20'!$E$59,"  ")</f>
        <v>272019</v>
      </c>
      <c r="F37" s="645"/>
      <c r="G37" s="648"/>
    </row>
    <row r="38" spans="2:7" ht="15.75">
      <c r="B38" s="156" t="str">
        <f>IF(inputPrYr!$B48&gt;"  ",(inputPrYr!$B48),"  ")</f>
        <v>2009 Temp Note Debt Service</v>
      </c>
      <c r="C38" s="159"/>
      <c r="D38" s="158">
        <f>IF('no levy page21'!C65&gt;0,'no levy page21'!C65,"  ")</f>
        <v>18</v>
      </c>
      <c r="E38" s="645">
        <v>0</v>
      </c>
      <c r="F38" s="645"/>
      <c r="G38" s="648"/>
    </row>
    <row r="39" spans="2:7" ht="15.75">
      <c r="B39" s="156" t="str">
        <f>IF(inputPrYr!$B49&gt;"  ",(inputPrYr!$B49),"  ")</f>
        <v>2009 Temp Note Cost of Issuance</v>
      </c>
      <c r="C39" s="160"/>
      <c r="D39" s="158">
        <f>IF('no levy page22'!C66&gt;0,'no levy page22'!C66,"  ")</f>
        <v>19</v>
      </c>
      <c r="E39" s="645">
        <v>0</v>
      </c>
      <c r="F39" s="645"/>
      <c r="G39" s="648"/>
    </row>
    <row r="40" spans="2:7" ht="15.75">
      <c r="B40" s="156" t="str">
        <f>IF(inputPrYr!$B50&gt;"  ",(inputPrYr!$B50),"  ")</f>
        <v>2009 Temp Note Improvement</v>
      </c>
      <c r="C40" s="157"/>
      <c r="D40" s="158">
        <f>IF('no levy page22'!C66&gt;0,'no levy page22'!C66,"  ")</f>
        <v>19</v>
      </c>
      <c r="E40" s="645">
        <v>0</v>
      </c>
      <c r="F40" s="645"/>
      <c r="G40" s="648"/>
    </row>
    <row r="41" spans="2:7" ht="15.75">
      <c r="B41" s="156" t="str">
        <f>IF(inputPrYr!$B51&gt;"  ",(inputPrYr!$B51),"  ")</f>
        <v>2011 S.O. Project TIF</v>
      </c>
      <c r="C41" s="157"/>
      <c r="D41" s="158">
        <f>IF('no levy page23'!C64&gt;0,'no levy page23'!C64,"  ")</f>
        <v>21</v>
      </c>
      <c r="E41" s="645">
        <f>IF('no levy page22'!$E$60&gt;0,'no levy page22'!$E$60,"  ")</f>
        <v>270887</v>
      </c>
      <c r="F41" s="645"/>
      <c r="G41" s="648"/>
    </row>
    <row r="42" spans="2:7" ht="15.75">
      <c r="B42" s="156" t="str">
        <f>IF(inputPrYr!$B52&gt;"  ",(inputPrYr!$B52),"  ")</f>
        <v>2011 S. O. Revenue TIF</v>
      </c>
      <c r="C42" s="159"/>
      <c r="D42" s="158">
        <f>IF('no levy page23'!C64&gt;0,'no levy page23'!C64,"  ")</f>
        <v>21</v>
      </c>
      <c r="E42" s="645">
        <f>IF('no levy page23'!$E$28&gt;0,'no levy page23'!$E$28,"  ")</f>
        <v>25403</v>
      </c>
      <c r="F42" s="645"/>
      <c r="G42" s="648"/>
    </row>
    <row r="43" spans="2:7" ht="15.75">
      <c r="B43" s="156" t="str">
        <f>IF(inputPrYr!$B53&gt;"  ",(inputPrYr!$B53),"  ")</f>
        <v>2011 S.O. Debt Service TIF</v>
      </c>
      <c r="C43" s="157"/>
      <c r="D43" s="158">
        <f>IF('no levy page23'!C64&gt;0,'no levy page23'!C64,"  ")</f>
        <v>21</v>
      </c>
      <c r="E43" s="645">
        <f>IF('no levy page23'!$E$58&gt;0,'no levy page23'!$E$58,"  ")</f>
        <v>477</v>
      </c>
      <c r="F43" s="645"/>
      <c r="G43" s="648"/>
    </row>
    <row r="44" spans="2:7" ht="15.75">
      <c r="B44" s="156" t="str">
        <f>IF(inputPrYr!$B54&gt;"  ",(inputPrYr!$B54),"  ")</f>
        <v>2011 S.O. Cost of Issuance</v>
      </c>
      <c r="C44" s="159"/>
      <c r="D44" s="158">
        <f>IF('no levy page23'!C64&gt;0,'no levy page23'!C64,"  ")</f>
        <v>21</v>
      </c>
      <c r="E44" s="645">
        <v>0</v>
      </c>
      <c r="F44" s="645"/>
      <c r="G44" s="648"/>
    </row>
    <row r="45" spans="2:7" ht="15.75">
      <c r="B45" s="156" t="str">
        <f>IF(inputPrYr!$B57&gt;"  ",(inputPrYr!$B57),"  ")</f>
        <v>Water/Sewer</v>
      </c>
      <c r="C45" s="157"/>
      <c r="D45" s="158">
        <f>IF(SinNoLevy22!C77&gt;0,SinNoLevy22!C77,"  ")</f>
        <v>22</v>
      </c>
      <c r="E45" s="645">
        <f>IF(SinNoLevy22!$E$71&gt;0,SinNoLevy22!$E$71,"  ")</f>
        <v>1243518</v>
      </c>
      <c r="F45" s="645"/>
      <c r="G45" s="648"/>
    </row>
    <row r="46" spans="2:7" ht="15.75">
      <c r="B46" s="156" t="str">
        <f>IF(inputPrYr!$B58&gt;"  ",(inputPrYr!$B58),"  ")</f>
        <v>Recreation &amp; Pool</v>
      </c>
      <c r="C46" s="157"/>
      <c r="D46" s="158">
        <f>IF(SinNoLevy23!C51&gt;0,SinNoLevy23!C51,"  ")</f>
        <v>23</v>
      </c>
      <c r="E46" s="645">
        <f>IF(SinNoLevy23!$E$45&gt;0,SinNoLevy23!$E$45,"  ")</f>
        <v>189567</v>
      </c>
      <c r="F46" s="645"/>
      <c r="G46" s="648"/>
    </row>
    <row r="47" spans="2:7" ht="15.75">
      <c r="B47" s="371" t="s">
        <v>690</v>
      </c>
      <c r="C47" s="92"/>
      <c r="D47" s="256" t="s">
        <v>92</v>
      </c>
      <c r="E47" s="649">
        <f>SUM(E20:E46)</f>
        <v>6667767</v>
      </c>
      <c r="F47" s="649">
        <f>SUM(F20:F46)</f>
        <v>929031</v>
      </c>
      <c r="G47" s="650">
        <f>IF(SUM(G20:G46)=0,"",SUM(G20:G46))</f>
      </c>
    </row>
    <row r="48" spans="2:7" ht="15.75">
      <c r="B48" s="161" t="s">
        <v>305</v>
      </c>
      <c r="C48" s="162"/>
      <c r="D48" s="163"/>
      <c r="E48" s="164"/>
      <c r="F48" s="165" t="str">
        <f>IF(F47&gt;computation!J40,"Yes","No")</f>
        <v>No</v>
      </c>
      <c r="G48" s="398" t="s">
        <v>230</v>
      </c>
    </row>
    <row r="49" spans="2:7" ht="15.75">
      <c r="B49" s="147" t="s">
        <v>304</v>
      </c>
      <c r="C49" s="92"/>
      <c r="D49" s="148">
        <f>summ!D60</f>
        <v>24</v>
      </c>
      <c r="E49" s="47"/>
      <c r="F49" s="47"/>
      <c r="G49" s="463"/>
    </row>
    <row r="50" spans="2:7" ht="15.75">
      <c r="B50" s="147" t="s">
        <v>13</v>
      </c>
      <c r="C50" s="92"/>
      <c r="D50" s="148">
        <f>IF(nhood!C39&gt;0,nhood!C39,"")</f>
        <v>25</v>
      </c>
      <c r="E50" s="47"/>
      <c r="F50" s="47"/>
      <c r="G50" s="699" t="str">
        <f>CONCATENATE("Nov 1, ",I1-1," Total Assessed Valuation")</f>
        <v>Nov 1, 2012 Total Assessed Valuation</v>
      </c>
    </row>
    <row r="51" spans="2:7" ht="15.75">
      <c r="B51" s="668"/>
      <c r="C51" s="76"/>
      <c r="D51" s="634"/>
      <c r="E51" s="47"/>
      <c r="F51" s="47"/>
      <c r="G51" s="700"/>
    </row>
    <row r="52" spans="2:7" ht="15.75">
      <c r="B52" s="668"/>
      <c r="C52" s="76"/>
      <c r="D52" s="76" t="s">
        <v>1143</v>
      </c>
      <c r="E52" s="76"/>
      <c r="F52" s="76"/>
      <c r="G52" s="701"/>
    </row>
    <row r="53" spans="2:7" ht="15.75">
      <c r="B53" s="669"/>
      <c r="C53" s="76"/>
      <c r="D53" s="47"/>
      <c r="E53" s="285"/>
      <c r="F53" s="76"/>
      <c r="G53" s="76"/>
    </row>
    <row r="54" spans="2:7" ht="15.75">
      <c r="B54" s="669"/>
      <c r="C54" s="76"/>
      <c r="D54" s="77" t="s">
        <v>1143</v>
      </c>
      <c r="E54" s="285"/>
      <c r="F54" s="76"/>
      <c r="G54" s="76"/>
    </row>
    <row r="55" spans="2:7" ht="15.75">
      <c r="B55" s="75"/>
      <c r="C55" s="47"/>
      <c r="D55" s="75"/>
      <c r="E55" s="285"/>
      <c r="F55" s="76"/>
      <c r="G55" s="76"/>
    </row>
    <row r="56" spans="2:7" ht="15.75">
      <c r="B56" s="669"/>
      <c r="C56" s="76"/>
      <c r="D56" s="76" t="s">
        <v>1143</v>
      </c>
      <c r="E56" s="285"/>
      <c r="F56" s="285"/>
      <c r="G56" s="285"/>
    </row>
    <row r="57" spans="2:7" ht="15.75">
      <c r="B57" s="669"/>
      <c r="C57" s="166"/>
      <c r="D57" s="76"/>
      <c r="E57" s="76"/>
      <c r="F57" s="635"/>
      <c r="G57" s="635"/>
    </row>
    <row r="58" spans="2:7" ht="15.75">
      <c r="B58" s="76"/>
      <c r="C58" s="166"/>
      <c r="D58" s="76" t="s">
        <v>1143</v>
      </c>
      <c r="E58" s="76"/>
      <c r="F58" s="636"/>
      <c r="G58" s="636"/>
    </row>
    <row r="59" spans="2:7" ht="15.75">
      <c r="B59" s="669"/>
      <c r="C59" s="167"/>
      <c r="D59" s="76"/>
      <c r="E59" s="76"/>
      <c r="F59" s="635"/>
      <c r="G59" s="635"/>
    </row>
    <row r="60" spans="2:7" ht="15.75">
      <c r="B60" s="492" t="s">
        <v>5</v>
      </c>
      <c r="C60" s="168">
        <f>I1-1</f>
        <v>2012</v>
      </c>
      <c r="D60" s="76" t="s">
        <v>1143</v>
      </c>
      <c r="E60" s="76"/>
      <c r="F60" s="636"/>
      <c r="G60" s="636"/>
    </row>
    <row r="61" spans="2:7" ht="15.75">
      <c r="B61" s="285"/>
      <c r="C61" s="168"/>
      <c r="D61" s="76"/>
      <c r="E61" s="76"/>
      <c r="F61" s="670"/>
      <c r="G61" s="76"/>
    </row>
    <row r="62" spans="2:7" ht="15.75">
      <c r="B62" s="493"/>
      <c r="C62" s="47"/>
      <c r="D62" s="76" t="s">
        <v>1143</v>
      </c>
      <c r="E62" s="76"/>
      <c r="F62" s="76"/>
      <c r="G62" s="76"/>
    </row>
    <row r="63" spans="2:7" ht="15.75">
      <c r="B63" s="134" t="s">
        <v>94</v>
      </c>
      <c r="C63" s="47"/>
      <c r="D63" s="697" t="s">
        <v>93</v>
      </c>
      <c r="E63" s="698"/>
      <c r="F63" s="698"/>
      <c r="G63" s="698"/>
    </row>
    <row r="64" ht="15.75">
      <c r="B64" s="32"/>
    </row>
    <row r="74" spans="2:7" ht="15">
      <c r="B74" s="105"/>
      <c r="C74" s="105"/>
      <c r="D74" s="105"/>
      <c r="E74" s="105"/>
      <c r="F74" s="105"/>
      <c r="G74" s="105"/>
    </row>
    <row r="75" spans="2:7" ht="15">
      <c r="B75" s="105"/>
      <c r="C75" s="105"/>
      <c r="D75" s="105"/>
      <c r="E75" s="105"/>
      <c r="F75" s="105"/>
      <c r="G75" s="105"/>
    </row>
    <row r="76" spans="2:7" ht="15">
      <c r="B76" s="105"/>
      <c r="C76" s="105"/>
      <c r="D76" s="105"/>
      <c r="E76" s="105"/>
      <c r="F76" s="105"/>
      <c r="G76" s="105"/>
    </row>
    <row r="77" spans="2:7" ht="15">
      <c r="B77" s="105"/>
      <c r="C77" s="105"/>
      <c r="D77" s="105"/>
      <c r="E77" s="105"/>
      <c r="F77" s="105"/>
      <c r="G77" s="105"/>
    </row>
    <row r="78" spans="2:7" ht="15">
      <c r="B78" s="105"/>
      <c r="C78" s="105"/>
      <c r="D78" s="105"/>
      <c r="E78" s="105"/>
      <c r="F78" s="105"/>
      <c r="G78" s="105"/>
    </row>
    <row r="79" spans="2:7" ht="15">
      <c r="B79" s="105"/>
      <c r="C79" s="105"/>
      <c r="D79" s="105"/>
      <c r="E79" s="105"/>
      <c r="F79" s="105"/>
      <c r="G79" s="105"/>
    </row>
    <row r="80" spans="2:7" ht="15">
      <c r="B80" s="105"/>
      <c r="C80" s="105"/>
      <c r="D80" s="105"/>
      <c r="E80" s="105"/>
      <c r="F80" s="105"/>
      <c r="G80" s="105"/>
    </row>
    <row r="81" spans="2:7" ht="15">
      <c r="B81" s="105"/>
      <c r="C81" s="105"/>
      <c r="D81" s="105"/>
      <c r="E81" s="105"/>
      <c r="F81" s="105"/>
      <c r="G81" s="105"/>
    </row>
    <row r="82" spans="2:7" ht="15">
      <c r="B82" s="105"/>
      <c r="C82" s="105"/>
      <c r="D82" s="105"/>
      <c r="E82" s="105"/>
      <c r="F82" s="105"/>
      <c r="G82" s="105"/>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2" spans="2:7" ht="15.75">
      <c r="B92" s="32"/>
      <c r="C92" s="32"/>
      <c r="D92" s="32"/>
      <c r="E92" s="32"/>
      <c r="F92" s="32"/>
      <c r="G92" s="32"/>
    </row>
  </sheetData>
  <sheetProtection/>
  <mergeCells count="4">
    <mergeCell ref="B4:G4"/>
    <mergeCell ref="B2:G2"/>
    <mergeCell ref="D63:G63"/>
    <mergeCell ref="G50:G52"/>
  </mergeCells>
  <printOptions/>
  <pageMargins left="1" right="0.5" top="0.5" bottom="0.5" header="0.25" footer="0.25"/>
  <pageSetup blackAndWhite="1" fitToHeight="1" fitToWidth="1" horizontalDpi="600" verticalDpi="600" orientation="portrait" scale="67" r:id="rId1"/>
  <headerFooter alignWithMargins="0">
    <oddHeader>&amp;RState of Kansas
City
</oddHeader>
    <oddFooter>&amp;C   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9"/>
  <sheetViews>
    <sheetView workbookViewId="0" topLeftCell="A1">
      <selection activeCell="A1" sqref="A1"/>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4" t="str">
        <f>inputPrYr!D2</f>
        <v>CITY OF ELLSWORTH</v>
      </c>
      <c r="B1" s="47"/>
      <c r="C1" s="168"/>
      <c r="D1" s="47">
        <f>inputPrYr!C5</f>
        <v>2013</v>
      </c>
    </row>
    <row r="2" spans="1:4" ht="15.75">
      <c r="A2" s="47"/>
      <c r="B2" s="47"/>
      <c r="C2" s="47"/>
      <c r="D2" s="168"/>
    </row>
    <row r="3" spans="1:4" ht="15.75">
      <c r="A3" s="499"/>
      <c r="B3" s="275"/>
      <c r="C3" s="275"/>
      <c r="D3" s="275"/>
    </row>
    <row r="4" spans="1:4" ht="15.75">
      <c r="A4" s="641" t="s">
        <v>102</v>
      </c>
      <c r="B4" s="276" t="s">
        <v>862</v>
      </c>
      <c r="C4" s="141" t="s">
        <v>863</v>
      </c>
      <c r="D4" s="141" t="s">
        <v>864</v>
      </c>
    </row>
    <row r="5" spans="1:4" ht="15.75">
      <c r="A5" s="499" t="s">
        <v>335</v>
      </c>
      <c r="B5" s="248" t="str">
        <f>CONCATENATE("Actual for ",D1-2,"")</f>
        <v>Actual for 2011</v>
      </c>
      <c r="C5" s="248" t="str">
        <f>CONCATENATE("Estimate for ",D1-1,"")</f>
        <v>Estimate for 2012</v>
      </c>
      <c r="D5" s="248" t="str">
        <f>CONCATENATE("Year for ",D1,"")</f>
        <v>Year for 2013</v>
      </c>
    </row>
    <row r="6" spans="1:4" ht="15.75">
      <c r="A6" s="223" t="s">
        <v>112</v>
      </c>
      <c r="B6" s="86"/>
      <c r="C6" s="86"/>
      <c r="D6" s="86"/>
    </row>
    <row r="7" spans="1:4" ht="15.75">
      <c r="A7" s="666" t="s">
        <v>980</v>
      </c>
      <c r="B7" s="86"/>
      <c r="C7" s="86"/>
      <c r="D7" s="86"/>
    </row>
    <row r="8" spans="1:4" ht="15.75">
      <c r="A8" s="277" t="s">
        <v>120</v>
      </c>
      <c r="B8" s="257">
        <v>163839</v>
      </c>
      <c r="C8" s="257">
        <v>169941</v>
      </c>
      <c r="D8" s="257">
        <v>176300</v>
      </c>
    </row>
    <row r="9" spans="1:4" ht="15.75">
      <c r="A9" s="277" t="s">
        <v>113</v>
      </c>
      <c r="B9" s="257">
        <v>70746</v>
      </c>
      <c r="C9" s="257">
        <v>65193</v>
      </c>
      <c r="D9" s="257">
        <v>77040</v>
      </c>
    </row>
    <row r="10" spans="1:4" ht="15.75">
      <c r="A10" s="277" t="s">
        <v>114</v>
      </c>
      <c r="B10" s="257">
        <v>7487</v>
      </c>
      <c r="C10" s="257">
        <v>5360</v>
      </c>
      <c r="D10" s="257">
        <v>7700</v>
      </c>
    </row>
    <row r="11" spans="1:4" ht="15.75">
      <c r="A11" s="277" t="s">
        <v>115</v>
      </c>
      <c r="B11" s="257">
        <v>809</v>
      </c>
      <c r="C11" s="257">
        <v>0</v>
      </c>
      <c r="D11" s="257">
        <v>820</v>
      </c>
    </row>
    <row r="12" spans="1:4" ht="15.75">
      <c r="A12" s="277" t="s">
        <v>252</v>
      </c>
      <c r="B12" s="257">
        <v>9584</v>
      </c>
      <c r="C12" s="257">
        <v>11374</v>
      </c>
      <c r="D12" s="257">
        <v>13250</v>
      </c>
    </row>
    <row r="13" spans="1:4" ht="15.75">
      <c r="A13" s="69" t="s">
        <v>981</v>
      </c>
      <c r="B13" s="257">
        <v>5000</v>
      </c>
      <c r="C13" s="257">
        <v>3000</v>
      </c>
      <c r="D13" s="257">
        <v>4000</v>
      </c>
    </row>
    <row r="14" spans="1:4" ht="15.75">
      <c r="A14" s="69" t="s">
        <v>982</v>
      </c>
      <c r="B14" s="257">
        <v>2500</v>
      </c>
      <c r="C14" s="257">
        <v>1500</v>
      </c>
      <c r="D14" s="257">
        <v>2500</v>
      </c>
    </row>
    <row r="15" spans="1:4" ht="15.75">
      <c r="A15" s="223" t="s">
        <v>75</v>
      </c>
      <c r="B15" s="262">
        <f>SUM(B8:B14)</f>
        <v>259965</v>
      </c>
      <c r="C15" s="262">
        <f>SUM(C8:C14)</f>
        <v>256368</v>
      </c>
      <c r="D15" s="262">
        <f>SUM(D8:D14)</f>
        <v>281610</v>
      </c>
    </row>
    <row r="16" spans="1:4" ht="15.75">
      <c r="A16" s="667" t="s">
        <v>983</v>
      </c>
      <c r="B16" s="194"/>
      <c r="C16" s="194"/>
      <c r="D16" s="194"/>
    </row>
    <row r="17" spans="1:4" ht="15.75">
      <c r="A17" s="277" t="s">
        <v>120</v>
      </c>
      <c r="B17" s="257">
        <v>258212</v>
      </c>
      <c r="C17" s="257">
        <v>265930</v>
      </c>
      <c r="D17" s="257">
        <v>274525</v>
      </c>
    </row>
    <row r="18" spans="1:4" ht="15.75">
      <c r="A18" s="277" t="s">
        <v>113</v>
      </c>
      <c r="B18" s="257">
        <v>19549</v>
      </c>
      <c r="C18" s="257">
        <v>19304</v>
      </c>
      <c r="D18" s="257">
        <v>21215</v>
      </c>
    </row>
    <row r="19" spans="1:4" ht="15.75">
      <c r="A19" s="277" t="s">
        <v>114</v>
      </c>
      <c r="B19" s="257">
        <v>16257</v>
      </c>
      <c r="C19" s="257">
        <v>17750</v>
      </c>
      <c r="D19" s="257">
        <v>20000</v>
      </c>
    </row>
    <row r="20" spans="1:4" ht="15.75">
      <c r="A20" s="277" t="s">
        <v>115</v>
      </c>
      <c r="B20" s="257">
        <v>658</v>
      </c>
      <c r="C20" s="257">
        <v>250</v>
      </c>
      <c r="D20" s="257">
        <v>800</v>
      </c>
    </row>
    <row r="21" spans="1:4" ht="15.75">
      <c r="A21" s="277" t="s">
        <v>252</v>
      </c>
      <c r="B21" s="257">
        <v>2903</v>
      </c>
      <c r="C21" s="257">
        <v>2000</v>
      </c>
      <c r="D21" s="257">
        <v>19000</v>
      </c>
    </row>
    <row r="22" spans="1:4" ht="15.75">
      <c r="A22" s="277" t="s">
        <v>981</v>
      </c>
      <c r="B22" s="257">
        <v>5000</v>
      </c>
      <c r="C22" s="257">
        <v>1000</v>
      </c>
      <c r="D22" s="257">
        <v>1000</v>
      </c>
    </row>
    <row r="23" spans="1:4" ht="15.75">
      <c r="A23" s="277" t="s">
        <v>982</v>
      </c>
      <c r="B23" s="257">
        <v>500</v>
      </c>
      <c r="C23" s="257">
        <v>1000</v>
      </c>
      <c r="D23" s="257">
        <v>3000</v>
      </c>
    </row>
    <row r="24" spans="1:4" ht="15.75">
      <c r="A24" s="223" t="s">
        <v>75</v>
      </c>
      <c r="B24" s="262">
        <f>SUM(B17:B23)</f>
        <v>303079</v>
      </c>
      <c r="C24" s="262">
        <f>SUM(C17:C23)</f>
        <v>307234</v>
      </c>
      <c r="D24" s="262">
        <f>SUM(D17:D23)</f>
        <v>339540</v>
      </c>
    </row>
    <row r="25" spans="1:4" ht="15.75">
      <c r="A25" s="667" t="s">
        <v>984</v>
      </c>
      <c r="B25" s="194"/>
      <c r="C25" s="194"/>
      <c r="D25" s="194"/>
    </row>
    <row r="26" spans="1:4" ht="15.75">
      <c r="A26" s="277" t="s">
        <v>120</v>
      </c>
      <c r="B26" s="257">
        <v>8000</v>
      </c>
      <c r="C26" s="257">
        <v>8000</v>
      </c>
      <c r="D26" s="257">
        <v>8000</v>
      </c>
    </row>
    <row r="27" spans="1:4" ht="15.75">
      <c r="A27" s="277" t="s">
        <v>113</v>
      </c>
      <c r="B27" s="257">
        <v>26892</v>
      </c>
      <c r="C27" s="257">
        <v>29542</v>
      </c>
      <c r="D27" s="257">
        <v>30850</v>
      </c>
    </row>
    <row r="28" spans="1:4" ht="15.75">
      <c r="A28" s="277" t="s">
        <v>114</v>
      </c>
      <c r="B28" s="257">
        <v>16442</v>
      </c>
      <c r="C28" s="257">
        <v>15000</v>
      </c>
      <c r="D28" s="257">
        <v>17750</v>
      </c>
    </row>
    <row r="29" spans="1:4" ht="15.75">
      <c r="A29" s="277" t="s">
        <v>115</v>
      </c>
      <c r="B29" s="257">
        <v>9026</v>
      </c>
      <c r="C29" s="257">
        <v>6979</v>
      </c>
      <c r="D29" s="257">
        <v>7500</v>
      </c>
    </row>
    <row r="30" spans="1:4" ht="15.75">
      <c r="A30" s="277" t="s">
        <v>252</v>
      </c>
      <c r="B30" s="257">
        <v>410</v>
      </c>
      <c r="C30" s="257">
        <v>500</v>
      </c>
      <c r="D30" s="257">
        <v>4150</v>
      </c>
    </row>
    <row r="31" spans="1:4" ht="15.75">
      <c r="A31" s="277" t="s">
        <v>981</v>
      </c>
      <c r="B31" s="257">
        <v>1500</v>
      </c>
      <c r="C31" s="257">
        <v>1500</v>
      </c>
      <c r="D31" s="257">
        <v>1000</v>
      </c>
    </row>
    <row r="32" spans="1:4" ht="15.75">
      <c r="A32" s="277" t="s">
        <v>982</v>
      </c>
      <c r="B32" s="257">
        <v>5000</v>
      </c>
      <c r="C32" s="257">
        <v>3000</v>
      </c>
      <c r="D32" s="257">
        <v>2000</v>
      </c>
    </row>
    <row r="33" spans="1:4" ht="15.75">
      <c r="A33" s="223" t="s">
        <v>75</v>
      </c>
      <c r="B33" s="262">
        <f>SUM(B26:B32)</f>
        <v>67270</v>
      </c>
      <c r="C33" s="262">
        <f>SUM(C26:C32)</f>
        <v>64521</v>
      </c>
      <c r="D33" s="262">
        <f>SUM(D26:D32)</f>
        <v>71250</v>
      </c>
    </row>
    <row r="34" spans="1:4" ht="15.75">
      <c r="A34" s="667" t="s">
        <v>985</v>
      </c>
      <c r="B34" s="194"/>
      <c r="C34" s="194"/>
      <c r="D34" s="194"/>
    </row>
    <row r="35" spans="1:4" ht="15.75">
      <c r="A35" s="277" t="s">
        <v>120</v>
      </c>
      <c r="B35" s="257">
        <v>161055</v>
      </c>
      <c r="C35" s="257">
        <v>166750</v>
      </c>
      <c r="D35" s="257">
        <v>173950</v>
      </c>
    </row>
    <row r="36" spans="1:4" ht="15.75">
      <c r="A36" s="277" t="s">
        <v>113</v>
      </c>
      <c r="B36" s="257">
        <v>63086</v>
      </c>
      <c r="C36" s="257">
        <v>69337</v>
      </c>
      <c r="D36" s="257">
        <v>70930</v>
      </c>
    </row>
    <row r="37" spans="1:4" ht="15.75">
      <c r="A37" s="277" t="s">
        <v>114</v>
      </c>
      <c r="B37" s="257">
        <v>21990</v>
      </c>
      <c r="C37" s="257">
        <v>21300</v>
      </c>
      <c r="D37" s="257">
        <v>26500</v>
      </c>
    </row>
    <row r="38" spans="1:4" ht="15.75">
      <c r="A38" s="277" t="s">
        <v>252</v>
      </c>
      <c r="B38" s="257">
        <v>0</v>
      </c>
      <c r="C38" s="257">
        <v>0</v>
      </c>
      <c r="D38" s="257">
        <v>20100</v>
      </c>
    </row>
    <row r="39" spans="1:4" ht="15.75">
      <c r="A39" s="277" t="s">
        <v>981</v>
      </c>
      <c r="B39" s="257">
        <v>150000</v>
      </c>
      <c r="C39" s="257">
        <v>100000</v>
      </c>
      <c r="D39" s="257">
        <v>82718</v>
      </c>
    </row>
    <row r="40" spans="1:4" ht="15.75">
      <c r="A40" s="277" t="s">
        <v>982</v>
      </c>
      <c r="B40" s="257">
        <v>17500</v>
      </c>
      <c r="C40" s="257">
        <v>12000</v>
      </c>
      <c r="D40" s="257">
        <v>10000</v>
      </c>
    </row>
    <row r="41" spans="1:4" ht="15.75">
      <c r="A41" s="223" t="s">
        <v>75</v>
      </c>
      <c r="B41" s="262">
        <f>SUM(B35:B40)</f>
        <v>413631</v>
      </c>
      <c r="C41" s="262">
        <f>SUM(C35:C40)</f>
        <v>369387</v>
      </c>
      <c r="D41" s="262">
        <f>SUM(D35:D40)</f>
        <v>384198</v>
      </c>
    </row>
    <row r="42" spans="1:4" ht="15.75">
      <c r="A42" s="667" t="s">
        <v>987</v>
      </c>
      <c r="B42" s="194"/>
      <c r="C42" s="194"/>
      <c r="D42" s="194"/>
    </row>
    <row r="43" spans="1:4" ht="15.75">
      <c r="A43" s="277" t="s">
        <v>120</v>
      </c>
      <c r="B43" s="257">
        <v>29885</v>
      </c>
      <c r="C43" s="257">
        <v>31088</v>
      </c>
      <c r="D43" s="257">
        <v>32320</v>
      </c>
    </row>
    <row r="44" spans="1:4" ht="15.75">
      <c r="A44" s="277" t="s">
        <v>113</v>
      </c>
      <c r="B44" s="257">
        <v>12050</v>
      </c>
      <c r="C44" s="257">
        <v>13884</v>
      </c>
      <c r="D44" s="257">
        <v>17510</v>
      </c>
    </row>
    <row r="45" spans="1:4" ht="15.75">
      <c r="A45" s="277" t="s">
        <v>114</v>
      </c>
      <c r="B45" s="257">
        <v>6351</v>
      </c>
      <c r="C45" s="257">
        <v>7750</v>
      </c>
      <c r="D45" s="257">
        <v>8250</v>
      </c>
    </row>
    <row r="46" spans="1:4" ht="15.75">
      <c r="A46" s="277" t="s">
        <v>252</v>
      </c>
      <c r="B46" s="257">
        <v>0</v>
      </c>
      <c r="C46" s="257">
        <v>200</v>
      </c>
      <c r="D46" s="257">
        <v>3400</v>
      </c>
    </row>
    <row r="47" spans="1:4" ht="15.75">
      <c r="A47" s="277" t="s">
        <v>981</v>
      </c>
      <c r="B47" s="257">
        <v>1500</v>
      </c>
      <c r="C47" s="257">
        <v>4000</v>
      </c>
      <c r="D47" s="257">
        <v>4000</v>
      </c>
    </row>
    <row r="48" spans="1:4" ht="15.75">
      <c r="A48" s="277" t="s">
        <v>982</v>
      </c>
      <c r="B48" s="257">
        <v>4500</v>
      </c>
      <c r="C48" s="257">
        <v>1500</v>
      </c>
      <c r="D48" s="257">
        <v>3000</v>
      </c>
    </row>
    <row r="49" spans="1:4" ht="15.75">
      <c r="A49" s="223" t="s">
        <v>75</v>
      </c>
      <c r="B49" s="262">
        <f>SUM(B43:B48)</f>
        <v>54286</v>
      </c>
      <c r="C49" s="262">
        <f>SUM(C43:C48)</f>
        <v>58422</v>
      </c>
      <c r="D49" s="262">
        <f>SUM(D43:D48)</f>
        <v>68480</v>
      </c>
    </row>
    <row r="50" spans="1:4" ht="15.75">
      <c r="A50" s="667" t="s">
        <v>986</v>
      </c>
      <c r="B50" s="194"/>
      <c r="C50" s="194"/>
      <c r="D50" s="194"/>
    </row>
    <row r="51" spans="1:4" ht="15.75">
      <c r="A51" s="277" t="s">
        <v>120</v>
      </c>
      <c r="B51" s="257">
        <v>10564</v>
      </c>
      <c r="C51" s="257">
        <v>11000</v>
      </c>
      <c r="D51" s="257">
        <v>11900</v>
      </c>
    </row>
    <row r="52" spans="1:4" ht="15.75">
      <c r="A52" s="277" t="s">
        <v>113</v>
      </c>
      <c r="B52" s="257">
        <v>791</v>
      </c>
      <c r="C52" s="257">
        <v>968</v>
      </c>
      <c r="D52" s="257">
        <v>1250</v>
      </c>
    </row>
    <row r="53" spans="1:4" ht="15.75">
      <c r="A53" s="277" t="s">
        <v>114</v>
      </c>
      <c r="B53" s="257">
        <v>1852</v>
      </c>
      <c r="C53" s="257">
        <v>1875</v>
      </c>
      <c r="D53" s="257">
        <v>2200</v>
      </c>
    </row>
    <row r="54" spans="1:4" ht="15.75">
      <c r="A54" s="277" t="s">
        <v>252</v>
      </c>
      <c r="B54" s="257">
        <v>0</v>
      </c>
      <c r="C54" s="257">
        <v>0</v>
      </c>
      <c r="D54" s="257">
        <v>820</v>
      </c>
    </row>
    <row r="55" spans="1:4" ht="15.75">
      <c r="A55" s="277" t="s">
        <v>981</v>
      </c>
      <c r="B55" s="257">
        <v>0</v>
      </c>
      <c r="C55" s="257">
        <v>0</v>
      </c>
      <c r="D55" s="257">
        <v>0</v>
      </c>
    </row>
    <row r="56" spans="1:4" ht="15.75">
      <c r="A56" s="277" t="s">
        <v>982</v>
      </c>
      <c r="B56" s="257">
        <v>500</v>
      </c>
      <c r="C56" s="257">
        <v>500</v>
      </c>
      <c r="D56" s="257">
        <v>1000</v>
      </c>
    </row>
    <row r="57" spans="1:4" ht="15.75">
      <c r="A57" s="223" t="s">
        <v>75</v>
      </c>
      <c r="B57" s="262">
        <f>SUM(B51:B56)</f>
        <v>13707</v>
      </c>
      <c r="C57" s="262">
        <f>SUM(C51:C56)</f>
        <v>14343</v>
      </c>
      <c r="D57" s="262">
        <f>SUM(D51:D56)</f>
        <v>17170</v>
      </c>
    </row>
    <row r="58" spans="1:4" ht="15.75">
      <c r="A58" s="667" t="s">
        <v>988</v>
      </c>
      <c r="B58" s="194"/>
      <c r="C58" s="194"/>
      <c r="D58" s="194"/>
    </row>
    <row r="59" spans="1:4" ht="15.75">
      <c r="A59" s="277" t="s">
        <v>120</v>
      </c>
      <c r="B59" s="257">
        <v>39343</v>
      </c>
      <c r="C59" s="257">
        <v>31532</v>
      </c>
      <c r="D59" s="257">
        <v>34100</v>
      </c>
    </row>
    <row r="60" spans="1:4" ht="15.75">
      <c r="A60" s="277" t="s">
        <v>113</v>
      </c>
      <c r="B60" s="257">
        <v>10545</v>
      </c>
      <c r="C60" s="257">
        <v>10076</v>
      </c>
      <c r="D60" s="257">
        <v>12460</v>
      </c>
    </row>
    <row r="61" spans="1:4" ht="15.75">
      <c r="A61" s="277" t="s">
        <v>114</v>
      </c>
      <c r="B61" s="257">
        <v>11396</v>
      </c>
      <c r="C61" s="257">
        <v>13150</v>
      </c>
      <c r="D61" s="257">
        <v>15000</v>
      </c>
    </row>
    <row r="62" spans="1:4" ht="15.75">
      <c r="A62" s="277" t="s">
        <v>252</v>
      </c>
      <c r="B62" s="257">
        <v>2329</v>
      </c>
      <c r="C62" s="257">
        <v>2000</v>
      </c>
      <c r="D62" s="257">
        <v>5700</v>
      </c>
    </row>
    <row r="63" spans="1:4" ht="15.75">
      <c r="A63" s="223" t="s">
        <v>75</v>
      </c>
      <c r="B63" s="262">
        <f>SUM(B59:B62)</f>
        <v>63613</v>
      </c>
      <c r="C63" s="262">
        <f>SUM(C59:C62)</f>
        <v>56758</v>
      </c>
      <c r="D63" s="262">
        <f>SUM(D59:D62)</f>
        <v>67260</v>
      </c>
    </row>
    <row r="64" spans="1:4" ht="15.75">
      <c r="A64" s="667" t="s">
        <v>989</v>
      </c>
      <c r="B64" s="194"/>
      <c r="C64" s="194"/>
      <c r="D64" s="194"/>
    </row>
    <row r="65" spans="1:4" ht="15.75">
      <c r="A65" s="277" t="s">
        <v>113</v>
      </c>
      <c r="B65" s="257">
        <v>15535</v>
      </c>
      <c r="C65" s="257">
        <v>16600</v>
      </c>
      <c r="D65" s="257">
        <v>16600</v>
      </c>
    </row>
    <row r="66" spans="1:4" ht="15.75">
      <c r="A66" s="277" t="s">
        <v>252</v>
      </c>
      <c r="B66" s="257">
        <v>0</v>
      </c>
      <c r="C66" s="257">
        <v>0</v>
      </c>
      <c r="D66" s="257">
        <v>830</v>
      </c>
    </row>
    <row r="67" spans="1:4" ht="15.75">
      <c r="A67" s="223" t="s">
        <v>75</v>
      </c>
      <c r="B67" s="262">
        <f>SUM(B65:B65)</f>
        <v>15535</v>
      </c>
      <c r="C67" s="262">
        <f>SUM(C65:C65)</f>
        <v>16600</v>
      </c>
      <c r="D67" s="262">
        <f>SUM(D65:D66)</f>
        <v>17430</v>
      </c>
    </row>
    <row r="68" spans="1:4" ht="15.75">
      <c r="A68" s="47"/>
      <c r="B68" s="194"/>
      <c r="C68" s="194"/>
      <c r="D68" s="194"/>
    </row>
    <row r="69" spans="1:4" ht="16.5" thickBot="1">
      <c r="A69" s="223" t="s">
        <v>331</v>
      </c>
      <c r="B69" s="279">
        <f>B15+B24+B33+B41+B49+B57+B63+B67</f>
        <v>1191086</v>
      </c>
      <c r="C69" s="279">
        <f>C15+C24+C33+C41+C49+C57+C63+C67</f>
        <v>1143633</v>
      </c>
      <c r="D69" s="279">
        <f>D15+D24+D33+D41+D49+D57+D63+D67</f>
        <v>1246938</v>
      </c>
    </row>
    <row r="70" spans="1:4" ht="16.5" thickTop="1">
      <c r="A70" s="280"/>
      <c r="B70" s="194"/>
      <c r="C70" s="194"/>
      <c r="D70" s="194"/>
    </row>
    <row r="71" spans="1:4" ht="15.75">
      <c r="A71" s="367" t="s">
        <v>119</v>
      </c>
      <c r="B71" s="194" t="str">
        <f>CONCATENATE("",general!C56,"b")</f>
        <v>8b</v>
      </c>
      <c r="C71" s="194"/>
      <c r="D71" s="194"/>
    </row>
    <row r="72" spans="1:4" ht="15.75">
      <c r="A72" s="47"/>
      <c r="B72" s="194"/>
      <c r="C72" s="194"/>
      <c r="D72" s="194"/>
    </row>
    <row r="73" spans="1:4" ht="15.75">
      <c r="A73" s="194" t="str">
        <f>A1</f>
        <v>CITY OF ELLSWORTH</v>
      </c>
      <c r="B73" s="47"/>
      <c r="C73" s="168"/>
      <c r="D73" s="47">
        <f>D1</f>
        <v>2013</v>
      </c>
    </row>
    <row r="74" spans="1:4" ht="15.75">
      <c r="A74" s="47"/>
      <c r="B74" s="47"/>
      <c r="C74" s="47"/>
      <c r="D74" s="168"/>
    </row>
    <row r="75" spans="1:6" ht="15.75">
      <c r="A75" s="246"/>
      <c r="B75" s="218"/>
      <c r="C75" s="218"/>
      <c r="D75" s="218"/>
      <c r="F75" s="644"/>
    </row>
    <row r="76" spans="1:6" ht="15.75">
      <c r="A76" s="642" t="s">
        <v>102</v>
      </c>
      <c r="B76" s="498" t="str">
        <f aca="true" t="shared" si="0" ref="B76:D77">B4</f>
        <v>Prior Year </v>
      </c>
      <c r="C76" s="643" t="str">
        <f t="shared" si="0"/>
        <v>Current Year </v>
      </c>
      <c r="D76" s="497" t="str">
        <f t="shared" si="0"/>
        <v>Proposed Budget </v>
      </c>
      <c r="F76" s="644"/>
    </row>
    <row r="77" spans="1:4" ht="15.75">
      <c r="A77" s="499" t="s">
        <v>336</v>
      </c>
      <c r="B77" s="248" t="str">
        <f t="shared" si="0"/>
        <v>Actual for 2011</v>
      </c>
      <c r="C77" s="248" t="str">
        <f t="shared" si="0"/>
        <v>Estimate for 2012</v>
      </c>
      <c r="D77" s="248" t="str">
        <f t="shared" si="0"/>
        <v>Year for 2013</v>
      </c>
    </row>
    <row r="78" spans="1:4" ht="15.75">
      <c r="A78" s="223" t="s">
        <v>112</v>
      </c>
      <c r="B78" s="86"/>
      <c r="C78" s="86"/>
      <c r="D78" s="86"/>
    </row>
    <row r="79" spans="1:4" ht="15.75">
      <c r="A79" s="666" t="s">
        <v>993</v>
      </c>
      <c r="B79" s="86"/>
      <c r="C79" s="86"/>
      <c r="D79" s="86"/>
    </row>
    <row r="80" spans="1:4" ht="15.75">
      <c r="A80" s="277" t="s">
        <v>990</v>
      </c>
      <c r="B80" s="257">
        <v>412413</v>
      </c>
      <c r="C80" s="257">
        <v>411545</v>
      </c>
      <c r="D80" s="257">
        <v>437250</v>
      </c>
    </row>
    <row r="81" spans="1:4" ht="15.75">
      <c r="A81" s="277" t="s">
        <v>252</v>
      </c>
      <c r="B81" s="257"/>
      <c r="C81" s="257"/>
      <c r="D81" s="257">
        <v>21860</v>
      </c>
    </row>
    <row r="82" spans="1:4" ht="15.75">
      <c r="A82" s="223" t="s">
        <v>75</v>
      </c>
      <c r="B82" s="262">
        <f>SUM(B80:B81)</f>
        <v>412413</v>
      </c>
      <c r="C82" s="262">
        <f>SUM(C80:C81)</f>
        <v>411545</v>
      </c>
      <c r="D82" s="262">
        <f>SUM(D80:D81)</f>
        <v>459110</v>
      </c>
    </row>
    <row r="83" spans="1:4" ht="15.75">
      <c r="A83" s="667" t="s">
        <v>992</v>
      </c>
      <c r="B83" s="194"/>
      <c r="C83" s="194"/>
      <c r="D83" s="194"/>
    </row>
    <row r="84" spans="1:4" ht="15.75">
      <c r="A84" s="277" t="s">
        <v>113</v>
      </c>
      <c r="B84" s="257">
        <v>8640</v>
      </c>
      <c r="C84" s="257">
        <v>8650</v>
      </c>
      <c r="D84" s="257">
        <v>9275</v>
      </c>
    </row>
    <row r="85" spans="1:4" ht="15.75">
      <c r="A85" s="277" t="s">
        <v>114</v>
      </c>
      <c r="B85" s="257">
        <v>17710</v>
      </c>
      <c r="C85" s="257">
        <v>16200</v>
      </c>
      <c r="D85" s="257">
        <v>17700</v>
      </c>
    </row>
    <row r="86" spans="1:4" ht="15.75">
      <c r="A86" s="277" t="s">
        <v>252</v>
      </c>
      <c r="B86" s="257">
        <v>1346</v>
      </c>
      <c r="C86" s="257">
        <v>1400</v>
      </c>
      <c r="D86" s="257">
        <v>3800</v>
      </c>
    </row>
    <row r="87" spans="1:4" ht="15.75">
      <c r="A87" s="277" t="s">
        <v>981</v>
      </c>
      <c r="B87" s="257">
        <v>21750</v>
      </c>
      <c r="C87" s="257">
        <v>24000</v>
      </c>
      <c r="D87" s="257">
        <v>20000</v>
      </c>
    </row>
    <row r="88" spans="1:4" ht="15.75">
      <c r="A88" s="223" t="s">
        <v>75</v>
      </c>
      <c r="B88" s="262">
        <f>SUM(B84:B87)</f>
        <v>49446</v>
      </c>
      <c r="C88" s="262">
        <f>SUM(C84:C87)</f>
        <v>50250</v>
      </c>
      <c r="D88" s="262">
        <f>SUM(D84:D87)</f>
        <v>50775</v>
      </c>
    </row>
    <row r="89" spans="1:4" ht="15.75">
      <c r="A89" s="667" t="s">
        <v>991</v>
      </c>
      <c r="B89" s="194"/>
      <c r="C89" s="194"/>
      <c r="D89" s="194"/>
    </row>
    <row r="90" spans="1:4" ht="15.75">
      <c r="A90" s="277" t="s">
        <v>113</v>
      </c>
      <c r="B90" s="257">
        <v>5250</v>
      </c>
      <c r="C90" s="257">
        <v>9055</v>
      </c>
      <c r="D90" s="257">
        <v>5250</v>
      </c>
    </row>
    <row r="91" spans="1:4" ht="15.75">
      <c r="A91" s="277" t="s">
        <v>252</v>
      </c>
      <c r="B91" s="257">
        <v>0</v>
      </c>
      <c r="C91" s="257">
        <v>0</v>
      </c>
      <c r="D91" s="257">
        <v>17962</v>
      </c>
    </row>
    <row r="92" spans="1:4" ht="15.75">
      <c r="A92" s="277" t="s">
        <v>997</v>
      </c>
      <c r="B92" s="257">
        <v>47000</v>
      </c>
      <c r="C92" s="257">
        <v>46000</v>
      </c>
      <c r="D92" s="257">
        <v>46000</v>
      </c>
    </row>
    <row r="93" spans="1:4" ht="15.75">
      <c r="A93" s="277" t="s">
        <v>994</v>
      </c>
      <c r="B93" s="257">
        <v>18925</v>
      </c>
      <c r="C93" s="257">
        <v>10750</v>
      </c>
      <c r="D93" s="257">
        <v>7432</v>
      </c>
    </row>
    <row r="94" spans="1:4" ht="15.75">
      <c r="A94" s="223" t="s">
        <v>75</v>
      </c>
      <c r="B94" s="262">
        <f>SUM(B90:B93)</f>
        <v>71175</v>
      </c>
      <c r="C94" s="262">
        <f>SUM(C90:C93)</f>
        <v>65805</v>
      </c>
      <c r="D94" s="262">
        <f>SUM(D90:D93)</f>
        <v>76644</v>
      </c>
    </row>
    <row r="95" spans="1:4" ht="15.75">
      <c r="A95" s="667" t="s">
        <v>995</v>
      </c>
      <c r="B95" s="194"/>
      <c r="C95" s="194"/>
      <c r="D95" s="194"/>
    </row>
    <row r="96" spans="1:4" ht="15.75">
      <c r="A96" s="277" t="s">
        <v>120</v>
      </c>
      <c r="B96" s="257">
        <v>64935</v>
      </c>
      <c r="C96" s="257">
        <v>59440</v>
      </c>
      <c r="D96" s="257">
        <v>62740</v>
      </c>
    </row>
    <row r="97" spans="1:4" ht="15.75">
      <c r="A97" s="277" t="s">
        <v>113</v>
      </c>
      <c r="B97" s="257">
        <v>23447</v>
      </c>
      <c r="C97" s="257">
        <v>26611</v>
      </c>
      <c r="D97" s="257">
        <v>28780</v>
      </c>
    </row>
    <row r="98" spans="1:4" ht="15.75">
      <c r="A98" s="277" t="s">
        <v>114</v>
      </c>
      <c r="B98" s="257">
        <v>43927</v>
      </c>
      <c r="C98" s="257">
        <v>36500</v>
      </c>
      <c r="D98" s="257">
        <v>41500</v>
      </c>
    </row>
    <row r="99" spans="1:4" ht="15.75">
      <c r="A99" s="277" t="s">
        <v>252</v>
      </c>
      <c r="B99" s="257">
        <v>0</v>
      </c>
      <c r="C99" s="257">
        <v>0</v>
      </c>
      <c r="D99" s="257">
        <v>7300</v>
      </c>
    </row>
    <row r="100" spans="1:4" ht="15.75">
      <c r="A100" s="277" t="s">
        <v>981</v>
      </c>
      <c r="B100" s="257">
        <v>2000</v>
      </c>
      <c r="C100" s="257">
        <v>2000</v>
      </c>
      <c r="D100" s="257">
        <v>2000</v>
      </c>
    </row>
    <row r="101" spans="1:4" ht="15.75">
      <c r="A101" s="277" t="s">
        <v>996</v>
      </c>
      <c r="B101" s="257">
        <v>5333</v>
      </c>
      <c r="C101" s="257">
        <v>10000</v>
      </c>
      <c r="D101" s="257">
        <v>12000</v>
      </c>
    </row>
    <row r="102" spans="1:4" ht="15.75">
      <c r="A102" s="223" t="s">
        <v>75</v>
      </c>
      <c r="B102" s="262">
        <f>SUM(B96:B101)</f>
        <v>139642</v>
      </c>
      <c r="C102" s="262">
        <f>SUM(C96:C101)</f>
        <v>134551</v>
      </c>
      <c r="D102" s="262">
        <f>SUM(D96:D101)</f>
        <v>154320</v>
      </c>
    </row>
    <row r="103" spans="1:4" ht="15.75">
      <c r="A103" s="278"/>
      <c r="B103" s="194"/>
      <c r="C103" s="194"/>
      <c r="D103" s="194"/>
    </row>
    <row r="104" spans="1:4" ht="15.75">
      <c r="A104" s="223"/>
      <c r="B104" s="194"/>
      <c r="C104" s="194"/>
      <c r="D104" s="194"/>
    </row>
    <row r="105" spans="1:4" ht="15.75">
      <c r="A105" s="65" t="s">
        <v>333</v>
      </c>
      <c r="B105" s="315">
        <f>B82+B88+B94+B102</f>
        <v>672676</v>
      </c>
      <c r="C105" s="315">
        <f>C82+C88+C94+C102</f>
        <v>662151</v>
      </c>
      <c r="D105" s="315">
        <f>D82+D88+D94+D102</f>
        <v>740849</v>
      </c>
    </row>
    <row r="106" spans="1:4" ht="15.75">
      <c r="A106" s="223" t="s">
        <v>332</v>
      </c>
      <c r="B106" s="262">
        <f>B69</f>
        <v>1191086</v>
      </c>
      <c r="C106" s="262">
        <f>C69</f>
        <v>1143633</v>
      </c>
      <c r="D106" s="262">
        <f>D69</f>
        <v>1246938</v>
      </c>
    </row>
    <row r="107" spans="1:4" ht="16.5" thickBot="1">
      <c r="A107" s="223" t="s">
        <v>334</v>
      </c>
      <c r="B107" s="279">
        <f>SUM(B105:B106)</f>
        <v>1863762</v>
      </c>
      <c r="C107" s="279">
        <f>SUM(C105:C106)</f>
        <v>1805784</v>
      </c>
      <c r="D107" s="279">
        <f>SUM(D105:D106)</f>
        <v>1987787</v>
      </c>
    </row>
    <row r="108" spans="1:4" ht="16.5" thickTop="1">
      <c r="A108" s="280" t="s">
        <v>45</v>
      </c>
      <c r="B108" s="194"/>
      <c r="C108" s="194"/>
      <c r="D108" s="194"/>
    </row>
    <row r="109" spans="1:4" ht="15.75">
      <c r="A109" s="367" t="s">
        <v>119</v>
      </c>
      <c r="B109" s="194" t="str">
        <f>CONCATENATE("",general!C56,"c")</f>
        <v>8c</v>
      </c>
      <c r="C109" s="194"/>
      <c r="D109" s="194"/>
    </row>
  </sheetData>
  <sheetProtection/>
  <printOptions/>
  <pageMargins left="0.5" right="0.5" top="1" bottom="0.5" header="0.5" footer="0.5"/>
  <pageSetup blackAndWhite="1" fitToHeight="2" fitToWidth="1" horizontalDpi="600" verticalDpi="600" orientation="portrait" scale="80" r:id="rId1"/>
  <headerFooter alignWithMargins="0">
    <oddHeader>&amp;RState of Kansas
City</oddHeader>
  </headerFooter>
  <rowBreaks count="3" manualBreakCount="3">
    <brk id="71" max="255" man="1"/>
    <brk id="73" max="255" man="1"/>
    <brk id="109" max="255" man="1"/>
  </rowBreaks>
  <colBreaks count="3" manualBreakCount="3">
    <brk id="1" max="65535" man="1"/>
    <brk id="2" max="65535" man="1"/>
    <brk id="3"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1:K126"/>
  <sheetViews>
    <sheetView zoomScaleSheetLayoutView="100" zoomScalePageLayoutView="0" workbookViewId="0" topLeftCell="A4">
      <selection activeCell="E103" sqref="E103"/>
    </sheetView>
  </sheetViews>
  <sheetFormatPr defaultColWidth="8.796875" defaultRowHeight="15"/>
  <cols>
    <col min="1" max="1" width="2.3984375" style="45" customWidth="1"/>
    <col min="2" max="2" width="32.796875" style="45" customWidth="1"/>
    <col min="3" max="3" width="14.796875" style="45" customWidth="1"/>
    <col min="4" max="4" width="17.3984375" style="45" customWidth="1"/>
    <col min="5" max="5" width="14.89843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4" t="str">
        <f>inputPrYr!D2</f>
        <v>CITY OF ELLSWORTH</v>
      </c>
      <c r="C1" s="47"/>
      <c r="D1" s="47"/>
      <c r="E1" s="245">
        <f>inputPrYr!C5</f>
        <v>2013</v>
      </c>
    </row>
    <row r="2" spans="2:5" ht="15.75">
      <c r="B2" s="47"/>
      <c r="C2" s="47"/>
      <c r="D2" s="47"/>
      <c r="E2" s="166"/>
    </row>
    <row r="3" spans="2:5" ht="15.75">
      <c r="B3" s="246"/>
      <c r="C3" s="47"/>
      <c r="D3" s="47"/>
      <c r="E3" s="133"/>
    </row>
    <row r="4" spans="2:5" ht="15.75">
      <c r="B4" s="354" t="s">
        <v>167</v>
      </c>
      <c r="C4" s="247"/>
      <c r="D4" s="247"/>
      <c r="E4" s="247"/>
    </row>
    <row r="5" spans="2:5" ht="15.75">
      <c r="B5" s="168" t="s">
        <v>102</v>
      </c>
      <c r="C5" s="639" t="s">
        <v>862</v>
      </c>
      <c r="D5" s="640" t="s">
        <v>863</v>
      </c>
      <c r="E5" s="141" t="s">
        <v>864</v>
      </c>
    </row>
    <row r="6" spans="2:5" ht="15.75">
      <c r="B6" s="464" t="str">
        <f>inputPrYr!B17</f>
        <v>General</v>
      </c>
      <c r="C6" s="222" t="str">
        <f>CONCATENATE("Actual for ",E1-2,"")</f>
        <v>Actual for 2011</v>
      </c>
      <c r="D6" s="222" t="str">
        <f>CONCATENATE("Estimate for ",E1-1,"")</f>
        <v>Estimate for 2012</v>
      </c>
      <c r="E6" s="205" t="str">
        <f>CONCATENATE("Year for ",E1,"")</f>
        <v>Year for 2013</v>
      </c>
    </row>
    <row r="7" spans="2:5" ht="15.75">
      <c r="B7" s="249" t="s">
        <v>221</v>
      </c>
      <c r="C7" s="250">
        <v>257193</v>
      </c>
      <c r="D7" s="252">
        <f>C105</f>
        <v>197351</v>
      </c>
      <c r="E7" s="225">
        <f>D105</f>
        <v>220417</v>
      </c>
    </row>
    <row r="8" spans="2:5" ht="15.75">
      <c r="B8" s="253" t="s">
        <v>223</v>
      </c>
      <c r="C8" s="156"/>
      <c r="D8" s="156"/>
      <c r="E8" s="86"/>
    </row>
    <row r="9" spans="2:5" ht="15.75">
      <c r="B9" s="249" t="s">
        <v>103</v>
      </c>
      <c r="C9" s="254">
        <v>607687</v>
      </c>
      <c r="D9" s="252">
        <v>599000</v>
      </c>
      <c r="E9" s="256" t="s">
        <v>92</v>
      </c>
    </row>
    <row r="10" spans="2:5" ht="15.75">
      <c r="B10" s="249" t="s">
        <v>104</v>
      </c>
      <c r="C10" s="254">
        <v>6441</v>
      </c>
      <c r="D10" s="254">
        <v>6672</v>
      </c>
      <c r="E10" s="257">
        <v>6000</v>
      </c>
    </row>
    <row r="11" spans="2:5" ht="15.75">
      <c r="B11" s="249" t="s">
        <v>105</v>
      </c>
      <c r="C11" s="254">
        <v>85887</v>
      </c>
      <c r="D11" s="254">
        <v>89000</v>
      </c>
      <c r="E11" s="225">
        <v>91804</v>
      </c>
    </row>
    <row r="12" spans="2:5" ht="15.75">
      <c r="B12" s="249" t="s">
        <v>106</v>
      </c>
      <c r="C12" s="254">
        <v>1750</v>
      </c>
      <c r="D12" s="254">
        <v>1665</v>
      </c>
      <c r="E12" s="225">
        <f>mvalloc!E7</f>
        <v>1791</v>
      </c>
    </row>
    <row r="13" spans="2:5" ht="15.75">
      <c r="B13" s="249" t="s">
        <v>199</v>
      </c>
      <c r="C13" s="254">
        <v>876</v>
      </c>
      <c r="D13" s="254">
        <v>728</v>
      </c>
      <c r="E13" s="225">
        <v>1104</v>
      </c>
    </row>
    <row r="14" spans="2:5" ht="15.75">
      <c r="B14" s="250" t="s">
        <v>107</v>
      </c>
      <c r="C14" s="254">
        <v>2840</v>
      </c>
      <c r="D14" s="254">
        <v>3200</v>
      </c>
      <c r="E14" s="257">
        <v>2800</v>
      </c>
    </row>
    <row r="15" spans="2:5" ht="15.75">
      <c r="B15" s="250" t="s">
        <v>949</v>
      </c>
      <c r="C15" s="254">
        <v>6240</v>
      </c>
      <c r="D15" s="254">
        <v>6240</v>
      </c>
      <c r="E15" s="257">
        <v>6240</v>
      </c>
    </row>
    <row r="16" spans="2:5" ht="15.75">
      <c r="B16" s="250" t="s">
        <v>950</v>
      </c>
      <c r="C16" s="254">
        <v>139944</v>
      </c>
      <c r="D16" s="254">
        <v>142000</v>
      </c>
      <c r="E16" s="257">
        <v>140000</v>
      </c>
    </row>
    <row r="17" spans="2:5" ht="15.75">
      <c r="B17" s="466" t="s">
        <v>952</v>
      </c>
      <c r="C17" s="254">
        <v>64410</v>
      </c>
      <c r="D17" s="254">
        <v>60000</v>
      </c>
      <c r="E17" s="257">
        <v>59000</v>
      </c>
    </row>
    <row r="18" spans="2:5" ht="15.75">
      <c r="B18" s="465" t="s">
        <v>951</v>
      </c>
      <c r="C18" s="254">
        <v>20405</v>
      </c>
      <c r="D18" s="254">
        <v>19400</v>
      </c>
      <c r="E18" s="257">
        <v>18000</v>
      </c>
    </row>
    <row r="19" spans="2:5" ht="15.75">
      <c r="B19" s="465" t="s">
        <v>953</v>
      </c>
      <c r="C19" s="254">
        <v>54323</v>
      </c>
      <c r="D19" s="254">
        <v>54000</v>
      </c>
      <c r="E19" s="257">
        <v>52000</v>
      </c>
    </row>
    <row r="20" spans="2:5" ht="15.75">
      <c r="B20" s="465" t="s">
        <v>954</v>
      </c>
      <c r="C20" s="254">
        <v>21700</v>
      </c>
      <c r="D20" s="254">
        <v>28000</v>
      </c>
      <c r="E20" s="257">
        <v>22000</v>
      </c>
    </row>
    <row r="21" spans="2:5" ht="15.75">
      <c r="B21" s="250" t="s">
        <v>687</v>
      </c>
      <c r="C21" s="254">
        <v>3094</v>
      </c>
      <c r="D21" s="254">
        <v>3000</v>
      </c>
      <c r="E21" s="257">
        <v>3000</v>
      </c>
    </row>
    <row r="22" spans="2:5" ht="15.75">
      <c r="B22" s="250" t="s">
        <v>955</v>
      </c>
      <c r="C22" s="254">
        <v>4250</v>
      </c>
      <c r="D22" s="254">
        <v>2000</v>
      </c>
      <c r="E22" s="257">
        <v>2000</v>
      </c>
    </row>
    <row r="23" spans="2:5" ht="15.75">
      <c r="B23" s="250" t="s">
        <v>956</v>
      </c>
      <c r="C23" s="254">
        <v>3900</v>
      </c>
      <c r="D23" s="254">
        <v>1200</v>
      </c>
      <c r="E23" s="257">
        <v>1000</v>
      </c>
    </row>
    <row r="24" spans="2:5" ht="15.75">
      <c r="B24" s="250" t="s">
        <v>957</v>
      </c>
      <c r="C24" s="254">
        <v>7793</v>
      </c>
      <c r="D24" s="254">
        <v>2100</v>
      </c>
      <c r="E24" s="257">
        <v>2000</v>
      </c>
    </row>
    <row r="25" spans="2:5" ht="15.75">
      <c r="B25" s="250" t="s">
        <v>958</v>
      </c>
      <c r="C25" s="254">
        <v>830</v>
      </c>
      <c r="D25" s="254">
        <v>830</v>
      </c>
      <c r="E25" s="257">
        <v>830</v>
      </c>
    </row>
    <row r="26" spans="2:5" ht="15.75">
      <c r="B26" s="250" t="s">
        <v>959</v>
      </c>
      <c r="C26" s="254">
        <v>6742</v>
      </c>
      <c r="D26" s="254">
        <v>5980</v>
      </c>
      <c r="E26" s="257">
        <v>5980</v>
      </c>
    </row>
    <row r="27" spans="2:5" ht="15.75">
      <c r="B27" s="250" t="s">
        <v>960</v>
      </c>
      <c r="C27" s="254">
        <v>1250</v>
      </c>
      <c r="D27" s="254">
        <v>1350</v>
      </c>
      <c r="E27" s="257">
        <v>1250</v>
      </c>
    </row>
    <row r="28" spans="2:5" ht="15.75">
      <c r="B28" s="250" t="s">
        <v>961</v>
      </c>
      <c r="C28" s="254">
        <v>14964</v>
      </c>
      <c r="D28" s="254">
        <v>14500</v>
      </c>
      <c r="E28" s="257">
        <v>14000</v>
      </c>
    </row>
    <row r="29" spans="2:5" ht="15.75">
      <c r="B29" s="250" t="s">
        <v>686</v>
      </c>
      <c r="C29" s="254">
        <v>358336</v>
      </c>
      <c r="D29" s="254">
        <v>368000</v>
      </c>
      <c r="E29" s="257">
        <v>356000</v>
      </c>
    </row>
    <row r="30" spans="2:5" ht="15.75">
      <c r="B30" s="250" t="s">
        <v>962</v>
      </c>
      <c r="C30" s="254">
        <v>117342</v>
      </c>
      <c r="D30" s="254">
        <v>144000</v>
      </c>
      <c r="E30" s="257">
        <v>117000</v>
      </c>
    </row>
    <row r="31" spans="2:5" ht="15.75">
      <c r="B31" s="250" t="s">
        <v>963</v>
      </c>
      <c r="C31" s="254">
        <v>20008</v>
      </c>
      <c r="D31" s="254">
        <v>19000</v>
      </c>
      <c r="E31" s="257">
        <v>18000</v>
      </c>
    </row>
    <row r="32" spans="2:5" ht="15.75">
      <c r="B32" s="250" t="s">
        <v>964</v>
      </c>
      <c r="C32" s="254">
        <v>2148</v>
      </c>
      <c r="D32" s="254">
        <v>1500</v>
      </c>
      <c r="E32" s="257">
        <v>1400</v>
      </c>
    </row>
    <row r="33" spans="2:5" ht="15.75">
      <c r="B33" s="250" t="s">
        <v>965</v>
      </c>
      <c r="C33" s="254">
        <v>7690</v>
      </c>
      <c r="D33" s="254">
        <v>8000</v>
      </c>
      <c r="E33" s="257">
        <v>7000</v>
      </c>
    </row>
    <row r="34" spans="2:5" ht="15.75">
      <c r="B34" s="250" t="s">
        <v>966</v>
      </c>
      <c r="C34" s="254">
        <v>22500</v>
      </c>
      <c r="D34" s="254">
        <v>22500</v>
      </c>
      <c r="E34" s="257">
        <v>22500</v>
      </c>
    </row>
    <row r="35" spans="2:5" ht="15.75">
      <c r="B35" s="250" t="s">
        <v>967</v>
      </c>
      <c r="C35" s="254">
        <v>55521</v>
      </c>
      <c r="D35" s="254">
        <v>55521</v>
      </c>
      <c r="E35" s="257">
        <v>55521</v>
      </c>
    </row>
    <row r="36" spans="2:5" ht="15.75">
      <c r="B36" s="250" t="s">
        <v>968</v>
      </c>
      <c r="C36" s="254">
        <v>12614</v>
      </c>
      <c r="D36" s="254">
        <v>13250</v>
      </c>
      <c r="E36" s="257">
        <v>12000</v>
      </c>
    </row>
    <row r="37" spans="2:5" ht="15.75">
      <c r="B37" s="250" t="s">
        <v>969</v>
      </c>
      <c r="C37" s="254">
        <v>25407</v>
      </c>
      <c r="D37" s="254">
        <v>25000</v>
      </c>
      <c r="E37" s="257">
        <v>24000</v>
      </c>
    </row>
    <row r="38" spans="2:5" ht="15.75">
      <c r="B38" s="250" t="s">
        <v>979</v>
      </c>
      <c r="C38" s="254">
        <v>70000</v>
      </c>
      <c r="D38" s="254">
        <v>75000</v>
      </c>
      <c r="E38" s="257">
        <v>78000</v>
      </c>
    </row>
    <row r="39" spans="2:5" ht="15.75">
      <c r="B39" s="250" t="s">
        <v>970</v>
      </c>
      <c r="C39" s="254">
        <v>2219</v>
      </c>
      <c r="D39" s="254">
        <v>2300</v>
      </c>
      <c r="E39" s="257">
        <v>1800</v>
      </c>
    </row>
    <row r="40" spans="2:5" ht="15.75">
      <c r="B40" s="250" t="s">
        <v>971</v>
      </c>
      <c r="C40" s="254">
        <v>18639</v>
      </c>
      <c r="D40" s="254">
        <v>19500</v>
      </c>
      <c r="E40" s="257">
        <v>16000</v>
      </c>
    </row>
    <row r="41" spans="2:5" ht="15.75">
      <c r="B41" s="250" t="s">
        <v>972</v>
      </c>
      <c r="C41" s="254">
        <v>12357</v>
      </c>
      <c r="D41" s="254">
        <v>12750</v>
      </c>
      <c r="E41" s="257">
        <v>9000</v>
      </c>
    </row>
    <row r="42" spans="2:5" ht="15.75">
      <c r="B42" s="250" t="s">
        <v>973</v>
      </c>
      <c r="C42" s="254">
        <v>4400</v>
      </c>
      <c r="D42" s="254">
        <v>3500</v>
      </c>
      <c r="E42" s="257">
        <v>4400</v>
      </c>
    </row>
    <row r="43" spans="2:5" ht="15.75">
      <c r="B43" s="250" t="s">
        <v>974</v>
      </c>
      <c r="C43" s="254">
        <v>6180</v>
      </c>
      <c r="D43" s="254">
        <v>6000</v>
      </c>
      <c r="E43" s="257">
        <v>4000</v>
      </c>
    </row>
    <row r="44" spans="2:5" ht="15.75">
      <c r="B44" s="250" t="s">
        <v>975</v>
      </c>
      <c r="C44" s="254">
        <v>1600</v>
      </c>
      <c r="D44" s="254">
        <v>1700</v>
      </c>
      <c r="E44" s="257">
        <v>2000</v>
      </c>
    </row>
    <row r="45" spans="2:5" ht="15.75">
      <c r="B45" s="250" t="s">
        <v>976</v>
      </c>
      <c r="C45" s="254">
        <v>2096</v>
      </c>
      <c r="D45" s="254">
        <v>2100</v>
      </c>
      <c r="E45" s="257">
        <v>2000</v>
      </c>
    </row>
    <row r="46" spans="2:5" ht="15.75">
      <c r="B46" s="250" t="s">
        <v>977</v>
      </c>
      <c r="C46" s="254">
        <v>1176</v>
      </c>
      <c r="D46" s="254">
        <v>1300</v>
      </c>
      <c r="E46" s="257">
        <v>1200</v>
      </c>
    </row>
    <row r="47" spans="2:5" ht="15.75">
      <c r="B47" s="250" t="s">
        <v>978</v>
      </c>
      <c r="C47" s="254">
        <v>6002</v>
      </c>
      <c r="D47" s="254">
        <v>6000</v>
      </c>
      <c r="E47" s="257">
        <v>5500</v>
      </c>
    </row>
    <row r="48" spans="2:5" ht="15.75">
      <c r="B48" s="250"/>
      <c r="C48" s="254"/>
      <c r="D48" s="254"/>
      <c r="E48" s="257"/>
    </row>
    <row r="49" spans="2:5" ht="15.75">
      <c r="B49" s="250"/>
      <c r="C49" s="254"/>
      <c r="D49" s="254"/>
      <c r="E49" s="257"/>
    </row>
    <row r="50" spans="2:5" ht="15.75">
      <c r="B50" s="258" t="s">
        <v>108</v>
      </c>
      <c r="C50" s="254">
        <v>1719</v>
      </c>
      <c r="D50" s="254">
        <v>1600</v>
      </c>
      <c r="E50" s="257">
        <v>1500</v>
      </c>
    </row>
    <row r="51" spans="2:5" ht="15.75">
      <c r="B51" s="156" t="s">
        <v>14</v>
      </c>
      <c r="C51" s="254">
        <v>640</v>
      </c>
      <c r="D51" s="254">
        <v>2320</v>
      </c>
      <c r="E51" s="257">
        <v>1000</v>
      </c>
    </row>
    <row r="52" spans="2:5" ht="15.75">
      <c r="B52" s="249" t="s">
        <v>700</v>
      </c>
      <c r="C52" s="259">
        <f>IF(C53*0.1&lt;C51,"Exceed 10% Rule","")</f>
      </c>
      <c r="D52" s="259">
        <f>IF(D53*0.1&lt;D51,"Exceed 10% Rule","")</f>
      </c>
      <c r="E52" s="293">
        <f>IF(E53*0.1+E111&lt;E51,"Exceed 10% Rule","")</f>
      </c>
    </row>
    <row r="53" spans="2:5" ht="15.75">
      <c r="B53" s="261" t="s">
        <v>109</v>
      </c>
      <c r="C53" s="263">
        <f>SUM(C9:C51)</f>
        <v>1803920</v>
      </c>
      <c r="D53" s="263">
        <f>SUM(D9:D51)</f>
        <v>1831706</v>
      </c>
      <c r="E53" s="264">
        <f>SUM(E10:E51)</f>
        <v>1170620</v>
      </c>
    </row>
    <row r="54" spans="2:5" ht="15.75">
      <c r="B54" s="261" t="s">
        <v>110</v>
      </c>
      <c r="C54" s="263">
        <f>C7+C53</f>
        <v>2061113</v>
      </c>
      <c r="D54" s="263">
        <f>D7+D53</f>
        <v>2029057</v>
      </c>
      <c r="E54" s="264">
        <f>E7+E53</f>
        <v>1391037</v>
      </c>
    </row>
    <row r="55" spans="2:5" ht="15.75">
      <c r="B55" s="47"/>
      <c r="C55" s="47"/>
      <c r="D55" s="47"/>
      <c r="E55" s="47"/>
    </row>
    <row r="56" spans="2:5" ht="15.75">
      <c r="B56" s="133" t="s">
        <v>119</v>
      </c>
      <c r="C56" s="168">
        <f>IF(inputPrYr!D19&gt;0,8,7)</f>
        <v>8</v>
      </c>
      <c r="D56" s="169"/>
      <c r="E56" s="169"/>
    </row>
    <row r="57" spans="2:5" ht="15.75">
      <c r="B57" s="169"/>
      <c r="C57" s="169"/>
      <c r="D57" s="169"/>
      <c r="E57" s="169"/>
    </row>
    <row r="58" spans="2:5" ht="15.75">
      <c r="B58" s="194" t="str">
        <f>inputPrYr!D2</f>
        <v>CITY OF ELLSWORTH</v>
      </c>
      <c r="C58" s="47"/>
      <c r="D58" s="47" t="s">
        <v>80</v>
      </c>
      <c r="E58" s="166"/>
    </row>
    <row r="59" spans="2:5" ht="15.75">
      <c r="B59" s="47"/>
      <c r="C59" s="47"/>
      <c r="D59" s="47"/>
      <c r="E59" s="133"/>
    </row>
    <row r="60" spans="2:5" ht="15.75">
      <c r="B60" s="265" t="s">
        <v>166</v>
      </c>
      <c r="C60" s="218"/>
      <c r="D60" s="218"/>
      <c r="E60" s="218"/>
    </row>
    <row r="61" spans="2:5" ht="15.75">
      <c r="B61" s="47" t="s">
        <v>102</v>
      </c>
      <c r="C61" s="639" t="s">
        <v>862</v>
      </c>
      <c r="D61" s="640" t="s">
        <v>863</v>
      </c>
      <c r="E61" s="141" t="s">
        <v>864</v>
      </c>
    </row>
    <row r="62" spans="2:5" ht="15.75">
      <c r="B62" s="77" t="str">
        <f>inputPrYr!B17</f>
        <v>General</v>
      </c>
      <c r="C62" s="222" t="str">
        <f>CONCATENATE("Actual for ",E1-2,"")</f>
        <v>Actual for 2011</v>
      </c>
      <c r="D62" s="222" t="str">
        <f>CONCATENATE("Estimate for ",E1-1,"")</f>
        <v>Estimate for 2012</v>
      </c>
      <c r="E62" s="205" t="str">
        <f>CONCATENATE("Year for ",E1,"")</f>
        <v>Year for 2013</v>
      </c>
    </row>
    <row r="63" spans="2:5" ht="15.75">
      <c r="B63" s="266" t="s">
        <v>110</v>
      </c>
      <c r="C63" s="252">
        <f>C54</f>
        <v>2061113</v>
      </c>
      <c r="D63" s="252">
        <f>D54</f>
        <v>2029057</v>
      </c>
      <c r="E63" s="225">
        <f>E54</f>
        <v>1391037</v>
      </c>
    </row>
    <row r="64" spans="2:5" ht="15.75">
      <c r="B64" s="253" t="s">
        <v>112</v>
      </c>
      <c r="C64" s="156"/>
      <c r="D64" s="156"/>
      <c r="E64" s="86"/>
    </row>
    <row r="65" spans="2:6" ht="15.75">
      <c r="B65" s="249" t="str">
        <f>GenDetail!A7</f>
        <v>General Government</v>
      </c>
      <c r="C65" s="267">
        <f>GenDetail!B15</f>
        <v>259965</v>
      </c>
      <c r="D65" s="267">
        <f>GenDetail!C15</f>
        <v>256368</v>
      </c>
      <c r="E65" s="82">
        <f>GenDetail!D15</f>
        <v>281610</v>
      </c>
      <c r="F65" s="268"/>
    </row>
    <row r="66" spans="2:6" ht="15.75">
      <c r="B66" s="249" t="str">
        <f>GenDetail!A16</f>
        <v>Police Department</v>
      </c>
      <c r="C66" s="267">
        <f>GenDetail!B24</f>
        <v>303079</v>
      </c>
      <c r="D66" s="267">
        <f>GenDetail!C24</f>
        <v>307234</v>
      </c>
      <c r="E66" s="82">
        <f>GenDetail!D24</f>
        <v>339540</v>
      </c>
      <c r="F66" s="268"/>
    </row>
    <row r="67" spans="2:5" ht="15.75">
      <c r="B67" s="249" t="str">
        <f>GenDetail!A25</f>
        <v>Fire Department</v>
      </c>
      <c r="C67" s="267">
        <f>GenDetail!B33</f>
        <v>67270</v>
      </c>
      <c r="D67" s="267">
        <f>GenDetail!C33</f>
        <v>64521</v>
      </c>
      <c r="E67" s="82">
        <f>GenDetail!D33</f>
        <v>71250</v>
      </c>
    </row>
    <row r="68" spans="2:5" ht="15.75">
      <c r="B68" s="249" t="str">
        <f>GenDetail!A34</f>
        <v>Street Department</v>
      </c>
      <c r="C68" s="267">
        <f>GenDetail!B41</f>
        <v>413631</v>
      </c>
      <c r="D68" s="267">
        <f>GenDetail!C41</f>
        <v>369387</v>
      </c>
      <c r="E68" s="82">
        <f>GenDetail!D41</f>
        <v>384198</v>
      </c>
    </row>
    <row r="69" spans="2:5" ht="15.75">
      <c r="B69" s="249" t="str">
        <f>GenDetail!A42</f>
        <v>ECF Parks Department</v>
      </c>
      <c r="C69" s="267">
        <f>GenDetail!B49</f>
        <v>54286</v>
      </c>
      <c r="D69" s="267">
        <f>GenDetail!C49</f>
        <v>58422</v>
      </c>
      <c r="E69" s="82">
        <f>GenDetail!D49</f>
        <v>68480</v>
      </c>
    </row>
    <row r="70" spans="2:5" ht="15.75">
      <c r="B70" s="249" t="str">
        <f>GenDetail!A50</f>
        <v>Cememtery Department</v>
      </c>
      <c r="C70" s="267">
        <f>GenDetail!B57</f>
        <v>13707</v>
      </c>
      <c r="D70" s="267">
        <f>GenDetail!C57</f>
        <v>14343</v>
      </c>
      <c r="E70" s="82">
        <f>GenDetail!D57</f>
        <v>17170</v>
      </c>
    </row>
    <row r="71" spans="2:5" ht="15.75">
      <c r="B71" s="249" t="str">
        <f>GenDetail!A58</f>
        <v>Clubhouse Department</v>
      </c>
      <c r="C71" s="267">
        <f>GenDetail!B63</f>
        <v>63613</v>
      </c>
      <c r="D71" s="267">
        <f>GenDetail!C63</f>
        <v>56758</v>
      </c>
      <c r="E71" s="82">
        <f>GenDetail!D63</f>
        <v>67260</v>
      </c>
    </row>
    <row r="72" spans="2:5" ht="15.75">
      <c r="B72" s="249" t="str">
        <f>GenDetail!A64</f>
        <v>Industrial Department</v>
      </c>
      <c r="C72" s="267">
        <f>GenDetail!B67</f>
        <v>15535</v>
      </c>
      <c r="D72" s="267">
        <f>GenDetail!C67</f>
        <v>16600</v>
      </c>
      <c r="E72" s="82">
        <f>GenDetail!D67</f>
        <v>17430</v>
      </c>
    </row>
    <row r="73" spans="2:5" ht="15.75">
      <c r="B73" s="249" t="str">
        <f>GenDetail!A79</f>
        <v>Employee Benefits Department</v>
      </c>
      <c r="C73" s="267">
        <f>GenDetail!B82</f>
        <v>412413</v>
      </c>
      <c r="D73" s="267">
        <f>GenDetail!C82</f>
        <v>411545</v>
      </c>
      <c r="E73" s="82">
        <f>GenDetail!D82</f>
        <v>459110</v>
      </c>
    </row>
    <row r="74" spans="2:5" ht="15.75">
      <c r="B74" s="249" t="str">
        <f>GenDetail!A83</f>
        <v>Airport Department Department</v>
      </c>
      <c r="C74" s="267">
        <f>GenDetail!B88</f>
        <v>49446</v>
      </c>
      <c r="D74" s="267">
        <f>GenDetail!C88</f>
        <v>50250</v>
      </c>
      <c r="E74" s="82">
        <f>GenDetail!D88</f>
        <v>50775</v>
      </c>
    </row>
    <row r="75" spans="2:5" ht="15.75">
      <c r="B75" s="249" t="str">
        <f>GenDetail!A89</f>
        <v>Recreation/Community Development Department</v>
      </c>
      <c r="C75" s="267">
        <f>GenDetail!B94</f>
        <v>71175</v>
      </c>
      <c r="D75" s="267">
        <f>GenDetail!C94</f>
        <v>65805</v>
      </c>
      <c r="E75" s="82">
        <f>GenDetail!D94</f>
        <v>76644</v>
      </c>
    </row>
    <row r="76" spans="2:5" ht="15.75">
      <c r="B76" s="249" t="str">
        <f>GenDetail!A95</f>
        <v>Golf Course Department</v>
      </c>
      <c r="C76" s="267">
        <f>GenDetail!B102</f>
        <v>139642</v>
      </c>
      <c r="D76" s="267">
        <f>GenDetail!C102</f>
        <v>134551</v>
      </c>
      <c r="E76" s="82">
        <f>GenDetail!D102</f>
        <v>154320</v>
      </c>
    </row>
    <row r="77" spans="2:5" ht="15.75">
      <c r="B77" s="269" t="s">
        <v>600</v>
      </c>
      <c r="C77" s="343">
        <f>SUM(C65:C76)</f>
        <v>1863762</v>
      </c>
      <c r="D77" s="343">
        <f>SUM(D65:D76)</f>
        <v>1805784</v>
      </c>
      <c r="E77" s="283">
        <f>SUM(E65:E76)</f>
        <v>1987787</v>
      </c>
    </row>
    <row r="78" spans="2:5" ht="15.75">
      <c r="B78" s="258"/>
      <c r="C78" s="254"/>
      <c r="D78" s="254"/>
      <c r="E78" s="257"/>
    </row>
    <row r="79" spans="2:5" ht="15.75">
      <c r="B79" s="258"/>
      <c r="C79" s="254"/>
      <c r="D79" s="254"/>
      <c r="E79" s="257"/>
    </row>
    <row r="80" spans="2:5" ht="15.75">
      <c r="B80" s="258"/>
      <c r="C80" s="254"/>
      <c r="D80" s="254"/>
      <c r="E80" s="257"/>
    </row>
    <row r="81" spans="2:5" ht="15.75">
      <c r="B81" s="258"/>
      <c r="C81" s="254"/>
      <c r="D81" s="254"/>
      <c r="E81" s="257"/>
    </row>
    <row r="82" spans="2:5" ht="15.75">
      <c r="B82" s="258"/>
      <c r="C82" s="254"/>
      <c r="D82" s="254"/>
      <c r="E82" s="257"/>
    </row>
    <row r="83" spans="2:5" ht="15.75">
      <c r="B83" s="258"/>
      <c r="C83" s="254"/>
      <c r="D83" s="254"/>
      <c r="E83" s="257"/>
    </row>
    <row r="84" spans="2:5" ht="15.75">
      <c r="B84" s="270"/>
      <c r="C84" s="254"/>
      <c r="D84" s="254"/>
      <c r="E84" s="257"/>
    </row>
    <row r="85" spans="2:5" ht="15.75">
      <c r="B85" s="270"/>
      <c r="C85" s="254"/>
      <c r="D85" s="254"/>
      <c r="E85" s="257"/>
    </row>
    <row r="86" spans="2:5" ht="15.75">
      <c r="B86" s="270"/>
      <c r="C86" s="254"/>
      <c r="D86" s="254"/>
      <c r="E86" s="257"/>
    </row>
    <row r="87" spans="2:5" ht="15.75">
      <c r="B87" s="270"/>
      <c r="C87" s="254"/>
      <c r="D87" s="254"/>
      <c r="E87" s="257"/>
    </row>
    <row r="88" spans="2:5" ht="15.75">
      <c r="B88" s="270"/>
      <c r="C88" s="254"/>
      <c r="D88" s="254"/>
      <c r="E88" s="257"/>
    </row>
    <row r="89" spans="2:5" ht="15.75">
      <c r="B89" s="270"/>
      <c r="C89" s="254"/>
      <c r="D89" s="254"/>
      <c r="E89" s="257"/>
    </row>
    <row r="90" spans="2:5" ht="15.75">
      <c r="B90" s="270"/>
      <c r="C90" s="254"/>
      <c r="D90" s="254"/>
      <c r="E90" s="257"/>
    </row>
    <row r="91" spans="2:5" ht="15.75">
      <c r="B91" s="270"/>
      <c r="C91" s="254"/>
      <c r="D91" s="254"/>
      <c r="E91" s="257"/>
    </row>
    <row r="92" spans="2:5" ht="15.75">
      <c r="B92" s="270"/>
      <c r="C92" s="254"/>
      <c r="D92" s="254"/>
      <c r="E92" s="257"/>
    </row>
    <row r="93" spans="2:5" ht="15.75">
      <c r="B93" s="270"/>
      <c r="C93" s="254"/>
      <c r="D93" s="254"/>
      <c r="E93" s="257"/>
    </row>
    <row r="94" spans="2:5" ht="15.75">
      <c r="B94" s="270"/>
      <c r="C94" s="254"/>
      <c r="D94" s="254"/>
      <c r="E94" s="257"/>
    </row>
    <row r="95" spans="2:10" ht="15.75">
      <c r="B95" s="270"/>
      <c r="C95" s="254"/>
      <c r="D95" s="254"/>
      <c r="E95" s="257"/>
      <c r="G95" s="702" t="str">
        <f>CONCATENATE("Desired Carryover Into ",E1+1,"")</f>
        <v>Desired Carryover Into 2014</v>
      </c>
      <c r="H95" s="703"/>
      <c r="I95" s="703"/>
      <c r="J95" s="704"/>
    </row>
    <row r="96" spans="2:10" ht="15.75">
      <c r="B96" s="270"/>
      <c r="C96" s="254"/>
      <c r="D96" s="254"/>
      <c r="E96" s="257"/>
      <c r="G96" s="471"/>
      <c r="H96" s="468"/>
      <c r="I96" s="468"/>
      <c r="J96" s="472"/>
    </row>
    <row r="97" spans="2:10" ht="15.75">
      <c r="B97" s="270"/>
      <c r="C97" s="254"/>
      <c r="D97" s="254"/>
      <c r="E97" s="257"/>
      <c r="G97" s="482" t="s">
        <v>688</v>
      </c>
      <c r="H97" s="476"/>
      <c r="I97" s="476"/>
      <c r="J97" s="470">
        <v>0</v>
      </c>
    </row>
    <row r="98" spans="2:10" ht="15.75">
      <c r="B98" s="270"/>
      <c r="C98" s="254"/>
      <c r="D98" s="254"/>
      <c r="E98" s="257"/>
      <c r="G98" s="486" t="s">
        <v>689</v>
      </c>
      <c r="H98" s="467"/>
      <c r="I98" s="469"/>
      <c r="J98" s="485">
        <f>IF(J97=0,"",ROUND((J97+E111-G110)/inputOth!E7*1000,3)-general!G115)</f>
      </c>
    </row>
    <row r="99" spans="2:10" ht="15.75">
      <c r="B99" s="270"/>
      <c r="C99" s="254"/>
      <c r="D99" s="254"/>
      <c r="E99" s="257"/>
      <c r="G99" s="550" t="str">
        <f>CONCATENATE("",E1," Total Expenditures Must Be:")</f>
        <v>2013 Total Expenditures Must Be:</v>
      </c>
      <c r="H99" s="551"/>
      <c r="I99" s="552"/>
      <c r="J99" s="484">
        <f>IF(J97&gt;0,IF(E108&lt;E54,IF(J97=G110,E108,((J97-G110)*(1-D110))+E54),E108+(J97-G110)),0)</f>
        <v>0</v>
      </c>
    </row>
    <row r="100" spans="2:10" ht="15.75">
      <c r="B100" s="270"/>
      <c r="C100" s="254"/>
      <c r="D100" s="254"/>
      <c r="E100" s="257"/>
      <c r="G100" s="554" t="s">
        <v>805</v>
      </c>
      <c r="H100" s="555"/>
      <c r="I100" s="556"/>
      <c r="J100" s="589">
        <f>IF(J97&gt;0,J99-E108,0)</f>
        <v>0</v>
      </c>
    </row>
    <row r="101" spans="2:5" ht="15.75">
      <c r="B101" s="271" t="s">
        <v>13</v>
      </c>
      <c r="C101" s="254"/>
      <c r="D101" s="254">
        <v>2856</v>
      </c>
      <c r="E101" s="272">
        <f>nhood!E6</f>
        <v>28251</v>
      </c>
    </row>
    <row r="102" spans="2:10" ht="15.75">
      <c r="B102" s="271" t="s">
        <v>14</v>
      </c>
      <c r="C102" s="254"/>
      <c r="D102" s="254"/>
      <c r="E102" s="257">
        <v>22186</v>
      </c>
      <c r="G102" s="702" t="str">
        <f>CONCATENATE("Projected Carryover Into ",E1+1,"")</f>
        <v>Projected Carryover Into 2014</v>
      </c>
      <c r="H102" s="711"/>
      <c r="I102" s="711"/>
      <c r="J102" s="712"/>
    </row>
    <row r="103" spans="2:10" ht="15.75">
      <c r="B103" s="271" t="s">
        <v>701</v>
      </c>
      <c r="C103" s="259">
        <f>IF(C104*0.1&lt;C102,"Exceed 10% Rule","")</f>
      </c>
      <c r="D103" s="259">
        <f>IF(D104*0.1&lt;D102,"Exceed 10% Rule","")</f>
      </c>
      <c r="E103" s="293">
        <f>IF(E104*0.1&lt;E102,"Exceed 10% Rule","")</f>
      </c>
      <c r="G103" s="471"/>
      <c r="H103" s="468"/>
      <c r="I103" s="468"/>
      <c r="J103" s="472"/>
    </row>
    <row r="104" spans="2:10" ht="15.75">
      <c r="B104" s="261" t="s">
        <v>116</v>
      </c>
      <c r="C104" s="263">
        <f>SUM(C77:C102)</f>
        <v>1863762</v>
      </c>
      <c r="D104" s="263">
        <f>SUM(D77:D102)</f>
        <v>1808640</v>
      </c>
      <c r="E104" s="264">
        <f>SUM(E77:E102)</f>
        <v>2038224</v>
      </c>
      <c r="G104" s="473">
        <f>D105</f>
        <v>220417</v>
      </c>
      <c r="H104" s="474" t="str">
        <f>CONCATENATE("",E1-1," Ending Cash Balance (est.)")</f>
        <v>2012 Ending Cash Balance (est.)</v>
      </c>
      <c r="I104" s="475"/>
      <c r="J104" s="472"/>
    </row>
    <row r="105" spans="2:10" ht="15.75">
      <c r="B105" s="147" t="s">
        <v>222</v>
      </c>
      <c r="C105" s="267">
        <f>C54-C104</f>
        <v>197351</v>
      </c>
      <c r="D105" s="267">
        <f>D54-D104</f>
        <v>220417</v>
      </c>
      <c r="E105" s="256" t="s">
        <v>92</v>
      </c>
      <c r="G105" s="473">
        <f>E53</f>
        <v>1170620</v>
      </c>
      <c r="H105" s="476" t="str">
        <f>CONCATENATE("",E1," Non-AV Receipts (est.)")</f>
        <v>2013 Non-AV Receipts (est.)</v>
      </c>
      <c r="I105" s="475"/>
      <c r="J105" s="472"/>
    </row>
    <row r="106" spans="2:11" ht="15.75">
      <c r="B106" s="133" t="str">
        <f>CONCATENATE("",E1-2,"/",E1-1," Budget Authority Amount:")</f>
        <v>2011/2012 Budget Authority Amount:</v>
      </c>
      <c r="C106" s="238">
        <f>inputOth!B52</f>
        <v>1977443</v>
      </c>
      <c r="D106" s="238">
        <f>inputPrYr!D17</f>
        <v>1986547</v>
      </c>
      <c r="E106" s="256" t="s">
        <v>92</v>
      </c>
      <c r="F106" s="273"/>
      <c r="G106" s="477">
        <f>IF(E110&gt;0,E109,E111)</f>
        <v>647187</v>
      </c>
      <c r="H106" s="476" t="str">
        <f>CONCATENATE("",E1," Ad Valorem Tax (est.)")</f>
        <v>2013 Ad Valorem Tax (est.)</v>
      </c>
      <c r="I106" s="475"/>
      <c r="J106" s="472"/>
      <c r="K106" s="568">
        <f>IF(G106=E111,"","Note: Does not include Delinquent Taxes")</f>
      </c>
    </row>
    <row r="107" spans="2:10" ht="15.75">
      <c r="B107" s="133"/>
      <c r="C107" s="705" t="s">
        <v>598</v>
      </c>
      <c r="D107" s="706"/>
      <c r="E107" s="257"/>
      <c r="F107" s="401">
        <f>IF(E104/0.95-E104&lt;E107,"Exceeds 5%","")</f>
      </c>
      <c r="G107" s="473">
        <f>SUM(G104:G106)</f>
        <v>2038224</v>
      </c>
      <c r="H107" s="476" t="str">
        <f>CONCATENATE("Total ",E1," Resources Available")</f>
        <v>Total 2013 Resources Available</v>
      </c>
      <c r="I107" s="475"/>
      <c r="J107" s="472"/>
    </row>
    <row r="108" spans="2:10" ht="15.75">
      <c r="B108" s="462" t="str">
        <f>CONCATENATE(C125,"     ",D125)</f>
        <v>     </v>
      </c>
      <c r="C108" s="707" t="s">
        <v>599</v>
      </c>
      <c r="D108" s="708"/>
      <c r="E108" s="225">
        <f>E104+E107</f>
        <v>2038224</v>
      </c>
      <c r="G108" s="478"/>
      <c r="H108" s="476"/>
      <c r="I108" s="476"/>
      <c r="J108" s="472"/>
    </row>
    <row r="109" spans="2:10" ht="15.75">
      <c r="B109" s="462" t="str">
        <f>CONCATENATE(C126,"     ",D126)</f>
        <v>     </v>
      </c>
      <c r="C109" s="274"/>
      <c r="D109" s="166" t="s">
        <v>117</v>
      </c>
      <c r="E109" s="82">
        <f>IF(E108-E54&gt;0,E108-E54,0)</f>
        <v>647187</v>
      </c>
      <c r="G109" s="477">
        <f>C104*0.05+C104</f>
        <v>1956950.1</v>
      </c>
      <c r="H109" s="476" t="str">
        <f>CONCATENATE("Less ",E1-2," Expenditures + 5%")</f>
        <v>Less 2011 Expenditures + 5%</v>
      </c>
      <c r="I109" s="475"/>
      <c r="J109" s="472"/>
    </row>
    <row r="110" spans="2:10" ht="15.75">
      <c r="B110" s="166"/>
      <c r="C110" s="349" t="s">
        <v>597</v>
      </c>
      <c r="D110" s="651">
        <f>inputOth!$E$39</f>
        <v>0</v>
      </c>
      <c r="E110" s="225">
        <f>ROUND(IF(D110&gt;0,(E109*D110),0),0)</f>
        <v>0</v>
      </c>
      <c r="G110" s="483">
        <f>G107-G109</f>
        <v>81273.8999999999</v>
      </c>
      <c r="H110" s="479" t="str">
        <f>CONCATENATE("Projected ",E1+1," Carryover (est.)")</f>
        <v>Projected 2014 Carryover (est.)</v>
      </c>
      <c r="I110" s="480"/>
      <c r="J110" s="481"/>
    </row>
    <row r="111" spans="2:5" ht="16.5" thickBot="1">
      <c r="B111" s="47"/>
      <c r="C111" s="709" t="str">
        <f>CONCATENATE("Amount of  ",$E$1-1," Ad Valorem Tax")</f>
        <v>Amount of  2012 Ad Valorem Tax</v>
      </c>
      <c r="D111" s="710"/>
      <c r="E111" s="574">
        <f>E109+E110</f>
        <v>647187</v>
      </c>
    </row>
    <row r="112" spans="2:10" ht="16.5" thickTop="1">
      <c r="B112" s="47"/>
      <c r="C112" s="47"/>
      <c r="D112" s="47"/>
      <c r="E112" s="47"/>
      <c r="G112" s="713" t="s">
        <v>806</v>
      </c>
      <c r="H112" s="714"/>
      <c r="I112" s="714"/>
      <c r="J112" s="715"/>
    </row>
    <row r="113" spans="2:10" ht="15.75">
      <c r="B113" s="133" t="s">
        <v>119</v>
      </c>
      <c r="C113" s="168" t="str">
        <f>CONCATENATE("",C56,"a")</f>
        <v>8a</v>
      </c>
      <c r="D113" s="169"/>
      <c r="E113" s="169"/>
      <c r="G113" s="558"/>
      <c r="H113" s="559"/>
      <c r="I113" s="560"/>
      <c r="J113" s="561"/>
    </row>
    <row r="114" spans="7:10" ht="15.75">
      <c r="G114" s="562">
        <f>summ!H15</f>
        <v>51.974</v>
      </c>
      <c r="H114" s="559" t="str">
        <f>CONCATENATE("",E1," Fund Mill Rate")</f>
        <v>2013 Fund Mill Rate</v>
      </c>
      <c r="I114" s="560"/>
      <c r="J114" s="561"/>
    </row>
    <row r="115" spans="2:10" ht="15.75">
      <c r="B115" s="105"/>
      <c r="G115" s="563">
        <f>summ!E15</f>
        <v>51.675</v>
      </c>
      <c r="H115" s="559" t="str">
        <f>CONCATENATE("",E1-1," Fund Mill Rate")</f>
        <v>2012 Fund Mill Rate</v>
      </c>
      <c r="I115" s="560"/>
      <c r="J115" s="561"/>
    </row>
    <row r="116" spans="7:10" ht="15.75">
      <c r="G116" s="564">
        <f>summ!H42</f>
        <v>74.608</v>
      </c>
      <c r="H116" s="559" t="str">
        <f>CONCATENATE("Total ",E1," Mill Rate")</f>
        <v>Total 2013 Mill Rate</v>
      </c>
      <c r="I116" s="560"/>
      <c r="J116" s="561"/>
    </row>
    <row r="117" spans="7:10" ht="15.75">
      <c r="G117" s="563">
        <f>summ!E42</f>
        <v>74.60799999999999</v>
      </c>
      <c r="H117" s="565" t="str">
        <f>CONCATENATE("Total ",E1-1," Mill Rate")</f>
        <v>Total 2012 Mill Rate</v>
      </c>
      <c r="I117" s="566"/>
      <c r="J117" s="567"/>
    </row>
    <row r="118" spans="2:3" ht="15.75">
      <c r="B118" s="32"/>
      <c r="C118" s="32"/>
    </row>
    <row r="125" spans="3:4" ht="15.75" hidden="1">
      <c r="C125" s="461">
        <f>IF(C104&gt;C106,"See Tab A","")</f>
      </c>
      <c r="D125" s="461">
        <f>IF(D104&gt;D106,"See Tab C","")</f>
      </c>
    </row>
    <row r="126" spans="3:4" ht="15.75" hidden="1">
      <c r="C126" s="461">
        <f>IF(C105&lt;0,"See Tab B","")</f>
      </c>
      <c r="D126" s="461">
        <f>IF(D105&lt;0,"See Tab D","")</f>
      </c>
    </row>
  </sheetData>
  <sheetProtection/>
  <mergeCells count="6">
    <mergeCell ref="G95:J95"/>
    <mergeCell ref="C107:D107"/>
    <mergeCell ref="C108:D108"/>
    <mergeCell ref="C111:D111"/>
    <mergeCell ref="G102:J102"/>
    <mergeCell ref="G112:J112"/>
  </mergeCells>
  <conditionalFormatting sqref="E102">
    <cfRule type="cellIs" priority="2" dxfId="274" operator="greaterThan" stopIfTrue="1">
      <formula>$E$104*0.1</formula>
    </cfRule>
  </conditionalFormatting>
  <conditionalFormatting sqref="E107">
    <cfRule type="cellIs" priority="3" dxfId="274" operator="greaterThan" stopIfTrue="1">
      <formula>$E$104/0.95-$E$104</formula>
    </cfRule>
  </conditionalFormatting>
  <conditionalFormatting sqref="D104">
    <cfRule type="cellIs" priority="4" dxfId="3" operator="greaterThan" stopIfTrue="1">
      <formula>$D$106</formula>
    </cfRule>
  </conditionalFormatting>
  <conditionalFormatting sqref="C104">
    <cfRule type="cellIs" priority="5" dxfId="3" operator="greaterThan" stopIfTrue="1">
      <formula>$C$106</formula>
    </cfRule>
  </conditionalFormatting>
  <conditionalFormatting sqref="C105">
    <cfRule type="cellIs" priority="6" dxfId="3" operator="lessThan" stopIfTrue="1">
      <formula>0</formula>
    </cfRule>
  </conditionalFormatting>
  <conditionalFormatting sqref="C102">
    <cfRule type="cellIs" priority="7" dxfId="3" operator="greaterThan" stopIfTrue="1">
      <formula>$C$104*0.1</formula>
    </cfRule>
  </conditionalFormatting>
  <conditionalFormatting sqref="D102">
    <cfRule type="cellIs" priority="8" dxfId="3" operator="greaterThan" stopIfTrue="1">
      <formula>$D$104*0.1</formula>
    </cfRule>
  </conditionalFormatting>
  <conditionalFormatting sqref="D51">
    <cfRule type="cellIs" priority="9" dxfId="3" operator="greaterThan" stopIfTrue="1">
      <formula>$D$53*0.1</formula>
    </cfRule>
  </conditionalFormatting>
  <conditionalFormatting sqref="C51">
    <cfRule type="cellIs" priority="10" dxfId="3" operator="greaterThan" stopIfTrue="1">
      <formula>$C$53*0.1</formula>
    </cfRule>
  </conditionalFormatting>
  <conditionalFormatting sqref="E51">
    <cfRule type="cellIs" priority="11" dxfId="274" operator="greaterThan" stopIfTrue="1">
      <formula>$E$53*0.1+E111</formula>
    </cfRule>
  </conditionalFormatting>
  <conditionalFormatting sqref="D105">
    <cfRule type="cellIs" priority="1" dxfId="0" operator="lessThan" stopIfTrue="1">
      <formula>0</formula>
    </cfRule>
  </conditionalFormatting>
  <printOptions/>
  <pageMargins left="0.5" right="0.5" top="1" bottom="0.5" header="0.5" footer="0.5"/>
  <pageSetup blackAndWhite="1" fitToHeight="2" fitToWidth="1" horizontalDpi="600" verticalDpi="600" orientation="portrait" scale="77" r:id="rId1"/>
  <headerFooter alignWithMargins="0">
    <oddHeader>&amp;RState of Kansas
City</oddHeader>
  </headerFooter>
  <rowBreaks count="2" manualBreakCount="2">
    <brk id="56" min="1" max="4" man="1"/>
    <brk id="5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9" sqref="C9"/>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4" t="str">
        <f>inputPrYr!D2</f>
        <v>CITY OF ELLSWORTH</v>
      </c>
      <c r="B1" s="47"/>
      <c r="C1" s="47"/>
      <c r="D1" s="47"/>
      <c r="E1" s="47"/>
      <c r="F1" s="47">
        <f>inputPrYr!C5</f>
        <v>2013</v>
      </c>
    </row>
    <row r="2" spans="1:6" ht="15.75">
      <c r="A2" s="47"/>
      <c r="B2" s="47"/>
      <c r="C2" s="47"/>
      <c r="D2" s="47"/>
      <c r="E2" s="47"/>
      <c r="F2" s="47"/>
    </row>
    <row r="3" spans="1:6" ht="15.75">
      <c r="A3" s="47"/>
      <c r="B3" s="717" t="str">
        <f>CONCATENATE("",F1," Neighborhood Revitalization Rebate")</f>
        <v>2013 Neighborhood Revitalization Rebate</v>
      </c>
      <c r="C3" s="718"/>
      <c r="D3" s="718"/>
      <c r="E3" s="718"/>
      <c r="F3" s="47"/>
    </row>
    <row r="4" spans="1:6" ht="15.75">
      <c r="A4" s="47"/>
      <c r="B4" s="47"/>
      <c r="C4" s="47"/>
      <c r="D4" s="47"/>
      <c r="E4" s="47"/>
      <c r="F4" s="47"/>
    </row>
    <row r="5" spans="1:6" ht="51.75" customHeight="1">
      <c r="A5" s="47"/>
      <c r="B5" s="300" t="str">
        <f>CONCATENATE("Budgeted Funds         for ",F1,"")</f>
        <v>Budgeted Funds         for 2013</v>
      </c>
      <c r="C5" s="300" t="str">
        <f>CONCATENATE("",F1-1," Ad Valorem before Rebate**")</f>
        <v>2012 Ad Valorem before Rebate**</v>
      </c>
      <c r="D5" s="301" t="str">
        <f>CONCATENATE("",F1-1," Mil Rate before Rebate")</f>
        <v>2012 Mil Rate before Rebate</v>
      </c>
      <c r="E5" s="302" t="str">
        <f>CONCATENATE("Estimate ",F1," NR Rebate")</f>
        <v>Estimate 2013 NR Rebate</v>
      </c>
      <c r="F5" s="97"/>
    </row>
    <row r="6" spans="1:6" ht="15.75">
      <c r="A6" s="47"/>
      <c r="B6" s="64" t="str">
        <f>inputPrYr!B17</f>
        <v>General</v>
      </c>
      <c r="C6" s="303">
        <v>647187</v>
      </c>
      <c r="D6" s="304">
        <f>IF(C6&gt;0,C6/$D$24,"")</f>
        <v>51.97417075962114</v>
      </c>
      <c r="E6" s="238">
        <f aca="true" t="shared" si="0" ref="E6:E17">IF(C6&gt;0,ROUND(D6*$D$28,0),"")</f>
        <v>28251</v>
      </c>
      <c r="F6" s="97"/>
    </row>
    <row r="7" spans="1:6" ht="15.75">
      <c r="A7" s="47"/>
      <c r="B7" s="64" t="str">
        <f>inputPrYr!B18</f>
        <v>Debt Service</v>
      </c>
      <c r="C7" s="303">
        <v>168374</v>
      </c>
      <c r="D7" s="304">
        <f aca="true" t="shared" si="1" ref="D7:D17">IF(C7&gt;0,C7/$D$24,"")</f>
        <v>13.521747234540324</v>
      </c>
      <c r="E7" s="238">
        <f t="shared" si="0"/>
        <v>7350</v>
      </c>
      <c r="F7" s="97"/>
    </row>
    <row r="8" spans="1:6" ht="15.75">
      <c r="A8" s="47"/>
      <c r="B8" s="86" t="str">
        <f>inputPrYr!B19</f>
        <v>Library</v>
      </c>
      <c r="C8" s="303">
        <v>100519</v>
      </c>
      <c r="D8" s="304">
        <f t="shared" si="1"/>
        <v>8.072460773449338</v>
      </c>
      <c r="E8" s="238">
        <f t="shared" si="0"/>
        <v>4388</v>
      </c>
      <c r="F8" s="97"/>
    </row>
    <row r="9" spans="1:6" ht="15.75">
      <c r="A9" s="47"/>
      <c r="B9" s="86" t="str">
        <f>inputPrYr!B21</f>
        <v>Fire/Police Equipment</v>
      </c>
      <c r="C9" s="303">
        <v>12951</v>
      </c>
      <c r="D9" s="304">
        <f t="shared" si="1"/>
        <v>1.0400664498944716</v>
      </c>
      <c r="E9" s="238">
        <f t="shared" si="0"/>
        <v>565</v>
      </c>
      <c r="F9" s="97"/>
    </row>
    <row r="10" spans="1:6" ht="15.75">
      <c r="A10" s="47"/>
      <c r="B10" s="86">
        <f>inputPrYr!B22</f>
        <v>0</v>
      </c>
      <c r="C10" s="303"/>
      <c r="D10" s="304">
        <f t="shared" si="1"/>
      </c>
      <c r="E10" s="238">
        <f t="shared" si="0"/>
      </c>
      <c r="F10" s="97"/>
    </row>
    <row r="11" spans="1:6" ht="15.75">
      <c r="A11" s="47"/>
      <c r="B11" s="86">
        <f>inputPrYr!B23</f>
        <v>0</v>
      </c>
      <c r="C11" s="303"/>
      <c r="D11" s="304">
        <f t="shared" si="1"/>
      </c>
      <c r="E11" s="238">
        <f t="shared" si="0"/>
      </c>
      <c r="F11" s="97"/>
    </row>
    <row r="12" spans="1:6" ht="15.75">
      <c r="A12" s="47"/>
      <c r="B12" s="86">
        <f>inputPrYr!B24</f>
        <v>0</v>
      </c>
      <c r="C12" s="305"/>
      <c r="D12" s="304">
        <f t="shared" si="1"/>
      </c>
      <c r="E12" s="238">
        <f t="shared" si="0"/>
      </c>
      <c r="F12" s="97"/>
    </row>
    <row r="13" spans="1:6" ht="15.75">
      <c r="A13" s="47"/>
      <c r="B13" s="86">
        <f>inputPrYr!B25</f>
        <v>0</v>
      </c>
      <c r="C13" s="305"/>
      <c r="D13" s="304">
        <f t="shared" si="1"/>
      </c>
      <c r="E13" s="238">
        <f t="shared" si="0"/>
      </c>
      <c r="F13" s="97"/>
    </row>
    <row r="14" spans="1:6" ht="15.75">
      <c r="A14" s="47"/>
      <c r="B14" s="86">
        <f>inputPrYr!B26</f>
        <v>0</v>
      </c>
      <c r="C14" s="305"/>
      <c r="D14" s="304">
        <f t="shared" si="1"/>
      </c>
      <c r="E14" s="238">
        <f t="shared" si="0"/>
      </c>
      <c r="F14" s="97"/>
    </row>
    <row r="15" spans="1:6" ht="15.75">
      <c r="A15" s="47"/>
      <c r="B15" s="86">
        <f>inputPrYr!B27</f>
        <v>0</v>
      </c>
      <c r="C15" s="305"/>
      <c r="D15" s="304">
        <f t="shared" si="1"/>
      </c>
      <c r="E15" s="238">
        <f t="shared" si="0"/>
      </c>
      <c r="F15" s="97"/>
    </row>
    <row r="16" spans="1:6" ht="15.75">
      <c r="A16" s="47"/>
      <c r="B16" s="86">
        <f>inputPrYr!B28</f>
        <v>0</v>
      </c>
      <c r="C16" s="305"/>
      <c r="D16" s="304">
        <f t="shared" si="1"/>
      </c>
      <c r="E16" s="238">
        <f t="shared" si="0"/>
      </c>
      <c r="F16" s="97"/>
    </row>
    <row r="17" spans="1:6" ht="15.75">
      <c r="A17" s="47"/>
      <c r="B17" s="86">
        <f>inputPrYr!B29</f>
        <v>0</v>
      </c>
      <c r="C17" s="305"/>
      <c r="D17" s="304">
        <f t="shared" si="1"/>
      </c>
      <c r="E17" s="238">
        <f t="shared" si="0"/>
      </c>
      <c r="F17" s="97"/>
    </row>
    <row r="18" spans="1:6" ht="15.75">
      <c r="A18" s="47"/>
      <c r="B18" s="86">
        <f>inputPrYr!B30</f>
        <v>0</v>
      </c>
      <c r="C18" s="305"/>
      <c r="D18" s="304">
        <f>IF(C18&gt;0,C18/$D$24,"")</f>
      </c>
      <c r="E18" s="238">
        <f>IF(C18&gt;0,ROUND(D18*$D$28,0),"")</f>
      </c>
      <c r="F18" s="97"/>
    </row>
    <row r="19" spans="1:6" ht="16.5" thickBot="1">
      <c r="A19" s="47"/>
      <c r="B19" s="65" t="s">
        <v>97</v>
      </c>
      <c r="C19" s="306">
        <f>SUM(C6:C18)</f>
        <v>929031</v>
      </c>
      <c r="D19" s="307">
        <f>SUM(D6:D17)</f>
        <v>74.60844521750526</v>
      </c>
      <c r="E19" s="306">
        <f>SUM(E6:E17)</f>
        <v>40554</v>
      </c>
      <c r="F19" s="97"/>
    </row>
    <row r="20" spans="1:6" ht="16.5" thickTop="1">
      <c r="A20" s="47"/>
      <c r="B20" s="47"/>
      <c r="C20" s="47"/>
      <c r="D20" s="47"/>
      <c r="E20" s="47"/>
      <c r="F20" s="97"/>
    </row>
    <row r="21" spans="1:6" ht="15.75">
      <c r="A21" s="47"/>
      <c r="B21" s="47"/>
      <c r="C21" s="47"/>
      <c r="D21" s="47"/>
      <c r="E21" s="47"/>
      <c r="F21" s="97"/>
    </row>
    <row r="22" spans="1:6" ht="15.75">
      <c r="A22" s="719" t="str">
        <f>CONCATENATE("",F1-1," July 1 Valuation:")</f>
        <v>2012 July 1 Valuation:</v>
      </c>
      <c r="B22" s="710"/>
      <c r="C22" s="719"/>
      <c r="D22" s="299">
        <f>inputOth!E7</f>
        <v>12452089</v>
      </c>
      <c r="E22" s="47"/>
      <c r="F22" s="97"/>
    </row>
    <row r="23" spans="1:6" ht="15.75">
      <c r="A23" s="47"/>
      <c r="B23" s="47"/>
      <c r="C23" s="47"/>
      <c r="D23" s="47"/>
      <c r="E23" s="47"/>
      <c r="F23" s="97"/>
    </row>
    <row r="24" spans="1:6" ht="15.75">
      <c r="A24" s="47"/>
      <c r="B24" s="719" t="s">
        <v>323</v>
      </c>
      <c r="C24" s="719"/>
      <c r="D24" s="308">
        <f>IF(D22&gt;0,(D22*0.001),"")</f>
        <v>12452.089</v>
      </c>
      <c r="E24" s="47"/>
      <c r="F24" s="97"/>
    </row>
    <row r="25" spans="1:6" ht="15.75">
      <c r="A25" s="47"/>
      <c r="B25" s="133"/>
      <c r="C25" s="133"/>
      <c r="D25" s="309"/>
      <c r="E25" s="47"/>
      <c r="F25" s="97"/>
    </row>
    <row r="26" spans="1:6" ht="15.75">
      <c r="A26" s="716" t="s">
        <v>324</v>
      </c>
      <c r="B26" s="698"/>
      <c r="C26" s="698"/>
      <c r="D26" s="310">
        <f>inputOth!E17</f>
        <v>543550</v>
      </c>
      <c r="E26" s="68"/>
      <c r="F26" s="68"/>
    </row>
    <row r="27" spans="1:6" ht="15">
      <c r="A27" s="68"/>
      <c r="B27" s="68"/>
      <c r="C27" s="68"/>
      <c r="D27" s="311"/>
      <c r="E27" s="68"/>
      <c r="F27" s="68"/>
    </row>
    <row r="28" spans="1:6" ht="15.75">
      <c r="A28" s="68"/>
      <c r="B28" s="716" t="s">
        <v>325</v>
      </c>
      <c r="C28" s="710"/>
      <c r="D28" s="312">
        <f>IF(D26&gt;0,(D26*0.001),"")</f>
        <v>543.55</v>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39"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39" t="s">
        <v>581</v>
      </c>
      <c r="B33" s="68"/>
      <c r="C33" s="68"/>
      <c r="D33" s="68"/>
      <c r="E33" s="68"/>
      <c r="F33" s="68"/>
    </row>
    <row r="34" spans="1:6" ht="15.75">
      <c r="A34" s="339"/>
      <c r="B34" s="68"/>
      <c r="C34" s="68"/>
      <c r="D34" s="68"/>
      <c r="E34" s="68"/>
      <c r="F34" s="68"/>
    </row>
    <row r="35" spans="1:6" ht="15.75">
      <c r="A35" s="339"/>
      <c r="B35" s="68"/>
      <c r="C35" s="68"/>
      <c r="D35" s="68"/>
      <c r="E35" s="68"/>
      <c r="F35" s="68"/>
    </row>
    <row r="36" spans="1:6" ht="15.75">
      <c r="A36" s="339"/>
      <c r="B36" s="68"/>
      <c r="C36" s="68"/>
      <c r="D36" s="68"/>
      <c r="E36" s="68"/>
      <c r="F36" s="68"/>
    </row>
    <row r="37" spans="1:6" ht="15.75">
      <c r="A37" s="339"/>
      <c r="B37" s="68"/>
      <c r="C37" s="68"/>
      <c r="D37" s="68"/>
      <c r="E37" s="68"/>
      <c r="F37" s="68"/>
    </row>
    <row r="38" spans="1:6" ht="15">
      <c r="A38" s="68"/>
      <c r="B38" s="68"/>
      <c r="C38" s="68"/>
      <c r="D38" s="68"/>
      <c r="E38" s="68"/>
      <c r="F38" s="68"/>
    </row>
    <row r="39" spans="1:6" ht="15.75">
      <c r="A39" s="68"/>
      <c r="B39" s="184" t="s">
        <v>119</v>
      </c>
      <c r="C39" s="278">
        <v>25</v>
      </c>
      <c r="D39" s="68"/>
      <c r="E39" s="68"/>
      <c r="F39" s="68"/>
    </row>
    <row r="40" spans="1:6" ht="15.75">
      <c r="A40" s="97"/>
      <c r="B40" s="47"/>
      <c r="C40" s="47"/>
      <c r="D40" s="313"/>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60"/>
  <sheetViews>
    <sheetView zoomScale="75" zoomScaleNormal="75" zoomScalePageLayoutView="0" workbookViewId="0" topLeftCell="A13">
      <selection activeCell="F22" sqref="F22"/>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25" t="s">
        <v>164</v>
      </c>
      <c r="B1" s="725"/>
      <c r="C1" s="725"/>
      <c r="D1" s="725"/>
      <c r="E1" s="725"/>
      <c r="F1" s="725"/>
      <c r="G1" s="725"/>
      <c r="H1" s="725"/>
      <c r="I1" s="294"/>
    </row>
    <row r="2" spans="1:8" ht="18" customHeight="1">
      <c r="A2" s="47"/>
      <c r="B2" s="47"/>
      <c r="C2" s="47"/>
      <c r="D2" s="47"/>
      <c r="E2" s="47"/>
      <c r="F2" s="47"/>
      <c r="G2" s="47"/>
      <c r="H2" s="47">
        <f>inputPrYr!$C$5</f>
        <v>2013</v>
      </c>
    </row>
    <row r="3" spans="1:8" ht="18" customHeight="1">
      <c r="A3" s="696" t="s">
        <v>121</v>
      </c>
      <c r="B3" s="696"/>
      <c r="C3" s="696"/>
      <c r="D3" s="696"/>
      <c r="E3" s="696"/>
      <c r="F3" s="696"/>
      <c r="G3" s="696"/>
      <c r="H3" s="696"/>
    </row>
    <row r="4" spans="1:8" ht="15.75">
      <c r="A4" s="694" t="str">
        <f>inputPrYr!D2</f>
        <v>CITY OF ELLSWORTH</v>
      </c>
      <c r="B4" s="694"/>
      <c r="C4" s="694"/>
      <c r="D4" s="694"/>
      <c r="E4" s="694"/>
      <c r="F4" s="694"/>
      <c r="G4" s="694"/>
      <c r="H4" s="694"/>
    </row>
    <row r="5" spans="1:8" ht="18" customHeight="1">
      <c r="A5" s="722" t="str">
        <f>CONCATENATE("will meet on ",inputBudSum!B7," at ",inputBudSum!B9," at ",inputBudSum!B11," for the purpose of hearing and")</f>
        <v>will meet on SEPTEMBER 10, 2012 at 5:25 at CITY HALL COUNCIL CHAMBERS for the purpose of hearing and</v>
      </c>
      <c r="B5" s="722"/>
      <c r="C5" s="722"/>
      <c r="D5" s="722"/>
      <c r="E5" s="722"/>
      <c r="F5" s="722"/>
      <c r="G5" s="722"/>
      <c r="H5" s="722"/>
    </row>
    <row r="6" spans="1:8" ht="16.5" customHeight="1">
      <c r="A6" s="696" t="s">
        <v>579</v>
      </c>
      <c r="B6" s="696"/>
      <c r="C6" s="696"/>
      <c r="D6" s="696"/>
      <c r="E6" s="696"/>
      <c r="F6" s="696"/>
      <c r="G6" s="696"/>
      <c r="H6" s="696"/>
    </row>
    <row r="7" spans="1:8" ht="16.5" customHeight="1">
      <c r="A7" s="726" t="str">
        <f>CONCATENATE("Detailed budget information is available at ",inputBudSum!B14," and will be available at this hearing.")</f>
        <v>Detailed budget information is available at 121 W. FIRST STREET, ELLSWORTH, KS  67439 and will be available at this hearing.</v>
      </c>
      <c r="B7" s="726"/>
      <c r="C7" s="726"/>
      <c r="D7" s="726"/>
      <c r="E7" s="726"/>
      <c r="F7" s="726"/>
      <c r="G7" s="726"/>
      <c r="H7" s="726"/>
    </row>
    <row r="8" spans="1:8" ht="15.75">
      <c r="A8" s="55" t="s">
        <v>165</v>
      </c>
      <c r="B8" s="56"/>
      <c r="C8" s="56"/>
      <c r="D8" s="56"/>
      <c r="E8" s="56"/>
      <c r="F8" s="56"/>
      <c r="G8" s="56"/>
      <c r="H8" s="56"/>
    </row>
    <row r="9" spans="1:8" ht="15.75">
      <c r="A9" s="135"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5" t="s">
        <v>228</v>
      </c>
      <c r="B10" s="56"/>
      <c r="C10" s="56"/>
      <c r="D10" s="56"/>
      <c r="E10" s="56"/>
      <c r="F10" s="56"/>
      <c r="G10" s="56"/>
      <c r="H10" s="56"/>
    </row>
    <row r="11" spans="1:8" ht="15.75">
      <c r="A11" s="47"/>
      <c r="B11" s="285"/>
      <c r="C11" s="285"/>
      <c r="D11" s="285"/>
      <c r="E11" s="285"/>
      <c r="F11" s="285"/>
      <c r="G11" s="285"/>
      <c r="H11" s="285"/>
    </row>
    <row r="12" spans="1:8" ht="15.75">
      <c r="A12" s="47"/>
      <c r="B12" s="295" t="str">
        <f>CONCATENATE("Prior Year Actual for ",H2-2,"")</f>
        <v>Prior Year Actual for 2011</v>
      </c>
      <c r="C12" s="138"/>
      <c r="D12" s="295" t="str">
        <f>CONCATENATE("Current Year Estimate for ",H2-1,"")</f>
        <v>Current Year Estimate for 2012</v>
      </c>
      <c r="E12" s="138"/>
      <c r="F12" s="136" t="str">
        <f>CONCATENATE("Proposed Budget Year for ",H2,"")</f>
        <v>Proposed Budget Year for 2013</v>
      </c>
      <c r="G12" s="137"/>
      <c r="H12" s="138"/>
    </row>
    <row r="13" spans="1:8" ht="21" customHeight="1">
      <c r="A13" s="47"/>
      <c r="B13" s="276"/>
      <c r="C13" s="141" t="s">
        <v>122</v>
      </c>
      <c r="D13" s="141"/>
      <c r="E13" s="141" t="s">
        <v>122</v>
      </c>
      <c r="F13" s="494" t="s">
        <v>10</v>
      </c>
      <c r="G13" s="141" t="str">
        <f>CONCATENATE("Amount of ",H2-1,"")</f>
        <v>Amount of 2012</v>
      </c>
      <c r="H13" s="141" t="s">
        <v>274</v>
      </c>
    </row>
    <row r="14" spans="1:8" ht="15.75">
      <c r="A14" s="64" t="s">
        <v>123</v>
      </c>
      <c r="B14" s="145" t="s">
        <v>124</v>
      </c>
      <c r="C14" s="145" t="s">
        <v>125</v>
      </c>
      <c r="D14" s="145" t="s">
        <v>124</v>
      </c>
      <c r="E14" s="145" t="s">
        <v>125</v>
      </c>
      <c r="F14" s="495" t="s">
        <v>602</v>
      </c>
      <c r="G14" s="146" t="s">
        <v>103</v>
      </c>
      <c r="H14" s="145" t="s">
        <v>125</v>
      </c>
    </row>
    <row r="15" spans="1:8" ht="15.75">
      <c r="A15" s="86" t="str">
        <f>inputPrYr!B17</f>
        <v>General</v>
      </c>
      <c r="B15" s="86">
        <f>IF(general!$C$104&lt;&gt;0,general!$C$104,"  ")</f>
        <v>1863762</v>
      </c>
      <c r="C15" s="296">
        <f>IF(inputPrYr!D65&gt;0,inputPrYr!D65,"  ")</f>
        <v>53.643</v>
      </c>
      <c r="D15" s="86">
        <f>IF(general!$D$104&lt;&gt;0,general!$D$104,"  ")</f>
        <v>1808640</v>
      </c>
      <c r="E15" s="296">
        <f>IF(inputOth!D21&gt;0,inputOth!D21,"  ")</f>
        <v>51.675</v>
      </c>
      <c r="F15" s="86">
        <f>IF(general!$E$104&lt;&gt;0,general!$E$104,"  ")</f>
        <v>2038224</v>
      </c>
      <c r="G15" s="86">
        <f>IF(general!$E$111&lt;&gt;0,general!$E$111,"  ")</f>
        <v>647187</v>
      </c>
      <c r="H15" s="296">
        <f>IF(general!E111&gt;0,ROUND(G15/$F$47*1000,3),"")</f>
        <v>51.974</v>
      </c>
    </row>
    <row r="16" spans="1:8" ht="15.75">
      <c r="A16" s="86" t="str">
        <f>inputPrYr!B18</f>
        <v>Debt Service</v>
      </c>
      <c r="B16" s="86">
        <f>IF('DebtSvs-library'!C34&lt;&gt;0,'DebtSvs-library'!C34,"  ")</f>
        <v>412959</v>
      </c>
      <c r="C16" s="296">
        <f>IF(inputPrYr!D66&gt;0,inputPrYr!D66,"  ")</f>
        <v>13.569</v>
      </c>
      <c r="D16" s="86">
        <f>IF('DebtSvs-library'!D34&lt;&gt;0,'DebtSvs-library'!D34,"  ")</f>
        <v>577966</v>
      </c>
      <c r="E16" s="296">
        <f>IF(inputOth!D22&gt;0,inputOth!D22,"  ")</f>
        <v>12.042</v>
      </c>
      <c r="F16" s="86">
        <f>IF('DebtSvs-library'!E34&lt;&gt;0,'DebtSvs-library'!E34,"  ")</f>
        <v>614086</v>
      </c>
      <c r="G16" s="86">
        <f>IF('DebtSvs-library'!E41&lt;&gt;0,'DebtSvs-library'!E41,"  ")</f>
        <v>168374</v>
      </c>
      <c r="H16" s="296">
        <f>IF('DebtSvs-library'!E41&gt;0,ROUND(G16/$F$47*1000,3),"  ")</f>
        <v>13.522</v>
      </c>
    </row>
    <row r="17" spans="1:8" ht="15.75">
      <c r="A17" s="86" t="str">
        <f>IF(inputPrYr!$B19&gt;"  ",(inputPrYr!$B19),"  ")</f>
        <v>Library</v>
      </c>
      <c r="B17" s="86">
        <f>IF('DebtSvs-library'!C74&lt;&gt;0,'DebtSvs-library'!C74,"  ")</f>
        <v>103234</v>
      </c>
      <c r="C17" s="296">
        <f>IF(inputPrYr!D67&gt;0,inputPrYr!D67,"  ")</f>
        <v>7.35</v>
      </c>
      <c r="D17" s="86">
        <f>IF('DebtSvs-library'!D74&lt;&gt;0,'DebtSvs-library'!D74,"  ")</f>
        <v>106564</v>
      </c>
      <c r="E17" s="296">
        <f>IF(inputOth!D23&gt;0,inputOth!D23,"  ")</f>
        <v>7.761</v>
      </c>
      <c r="F17" s="86">
        <f>IF('DebtSvs-library'!E74&lt;&gt;0,'DebtSvs-library'!E74,"  ")</f>
        <v>115427</v>
      </c>
      <c r="G17" s="86">
        <f>IF('DebtSvs-library'!E81&lt;&gt;0,'DebtSvs-library'!E81,"  ")</f>
        <v>100519</v>
      </c>
      <c r="H17" s="296">
        <f>IF('DebtSvs-library'!E81&lt;&gt;0,ROUND(G17/$F$47*1000,3),"  ")</f>
        <v>8.072</v>
      </c>
    </row>
    <row r="18" spans="1:8" ht="15.75">
      <c r="A18" s="86" t="str">
        <f>IF(inputPrYr!$B21&gt;"  ",(inputPrYr!$B21),"  ")</f>
        <v>Fire/Police Equipment</v>
      </c>
      <c r="B18" s="86">
        <f>IF('levy page9'!$C$33&gt;0,'levy page9'!$C$33,"  ")</f>
        <v>7900</v>
      </c>
      <c r="C18" s="296">
        <f>IF(inputPrYr!D68&gt;0,inputPrYr!D68,"  ")</f>
        <v>0.304</v>
      </c>
      <c r="D18" s="86">
        <f>IF('levy page9'!$D$33&gt;0,'levy page9'!$D$33,"  ")</f>
        <v>49173</v>
      </c>
      <c r="E18" s="296">
        <f>IF(inputOth!D24&gt;0,inputOth!D24,"  ")</f>
        <v>3.13</v>
      </c>
      <c r="F18" s="86">
        <f>IF('levy page9'!$E$33&gt;0,'levy page9'!$E$33,"  ")</f>
        <v>16906</v>
      </c>
      <c r="G18" s="86">
        <f>IF('levy page9'!$E$40&lt;&gt;0,'levy page9'!$E$40,"  ")</f>
        <v>12951</v>
      </c>
      <c r="H18" s="296">
        <f>IF('levy page9'!E40&lt;&gt;0,ROUND(G18/$F$47*1000,3),"  ")</f>
        <v>1.04</v>
      </c>
    </row>
    <row r="19" spans="1:8" ht="15.75">
      <c r="A19" s="86" t="str">
        <f>IF(inputPrYr!$B34&gt;"  ",(inputPrYr!$B34),"  ")</f>
        <v>Special Highway</v>
      </c>
      <c r="B19" s="86">
        <f>IF('Sp Hiway'!$C$30&gt;0,'Sp Hiway'!$C$30,"  ")</f>
        <v>85355</v>
      </c>
      <c r="C19" s="65"/>
      <c r="D19" s="86">
        <f>IF('Sp Hiway'!$D$30&gt;0,'Sp Hiway'!$D$30,"  ")</f>
        <v>84397</v>
      </c>
      <c r="E19" s="65"/>
      <c r="F19" s="86">
        <f>IF('Sp Hiway'!$E$30&gt;0,'Sp Hiway'!$E$30,"  ")</f>
        <v>99677</v>
      </c>
      <c r="G19" s="86"/>
      <c r="H19" s="296"/>
    </row>
    <row r="20" spans="1:8" ht="15.75">
      <c r="A20" s="86" t="str">
        <f>IF(inputPrYr!$B35&gt;"  ",(inputPrYr!$B35),"  ")</f>
        <v>Special Parks &amp; Recreation</v>
      </c>
      <c r="B20" s="86">
        <f>IF('Sp Hiway'!$C$61&gt;0,'Sp Hiway'!$C$61,"  ")</f>
        <v>2487</v>
      </c>
      <c r="C20" s="65"/>
      <c r="D20" s="86">
        <f>IF('Sp Hiway'!$D$61&gt;0,'Sp Hiway'!$D$61,"  ")</f>
        <v>4250</v>
      </c>
      <c r="E20" s="65"/>
      <c r="F20" s="86">
        <f>IF('Sp Hiway'!$E$61&gt;0,'Sp Hiway'!$E$61,"  ")</f>
        <v>5057</v>
      </c>
      <c r="G20" s="86"/>
      <c r="H20" s="296"/>
    </row>
    <row r="21" spans="1:8" ht="15.75">
      <c r="A21" s="86" t="str">
        <f>IF(inputPrYr!$B36&gt;"  ",(inputPrYr!$B36),"  ")</f>
        <v>Solid Waste</v>
      </c>
      <c r="B21" s="86">
        <f>IF('no levy page15'!$C$19&gt;0,'no levy page15'!$C$19,"  ")</f>
        <v>148820</v>
      </c>
      <c r="C21" s="65"/>
      <c r="D21" s="86">
        <f>IF('no levy page15'!$D$19&gt;0,'no levy page15'!$D$19,"  ")</f>
        <v>149600</v>
      </c>
      <c r="E21" s="65"/>
      <c r="F21" s="86">
        <f>IF('no levy page15'!$E$19&gt;0,'no levy page15'!$E$19,"  ")</f>
        <v>155169</v>
      </c>
      <c r="G21" s="86"/>
      <c r="H21" s="296"/>
    </row>
    <row r="22" spans="1:8" ht="15.75">
      <c r="A22" s="86" t="str">
        <f>IF(inputPrYr!$B37&gt;"  ",(inputPrYr!$B37),"  ")</f>
        <v>Capital Improvement</v>
      </c>
      <c r="B22" s="86">
        <f>IF('no levy page15'!$C$60&gt;0,'no levy page15'!$C$60,"  ")</f>
        <v>171470</v>
      </c>
      <c r="C22" s="65"/>
      <c r="D22" s="86">
        <f>IF('no levy page15'!$D$60&gt;0,'no levy page15'!$D$60,"  ")</f>
        <v>419182</v>
      </c>
      <c r="E22" s="65"/>
      <c r="F22" s="86">
        <f>IF('no levy page15'!$E$60&gt;0,'no levy page15'!$E$60,"  ")</f>
        <v>640954</v>
      </c>
      <c r="G22" s="86"/>
      <c r="H22" s="296"/>
    </row>
    <row r="23" spans="1:8" ht="15.75">
      <c r="A23" s="86" t="str">
        <f>IF(inputPrYr!$B38&gt;"  ",(inputPrYr!$B38),"  ")</f>
        <v>Municipal Equipment</v>
      </c>
      <c r="B23" s="86">
        <f>IF('no levy page16'!$C$34&gt;0,'no levy page16'!$C$34,"  ")</f>
        <v>229317</v>
      </c>
      <c r="C23" s="65"/>
      <c r="D23" s="86">
        <f>IF('no levy page16'!$D$34&gt;0,'no levy page16'!$D$34,"  ")</f>
        <v>174610</v>
      </c>
      <c r="E23" s="65"/>
      <c r="F23" s="86">
        <f>IF('no levy page16'!$E$34&gt;0,'no levy page16'!$E$34,"  ")</f>
        <v>269975</v>
      </c>
      <c r="G23" s="65"/>
      <c r="H23" s="65"/>
    </row>
    <row r="24" spans="1:8" ht="15.75">
      <c r="A24" s="86" t="str">
        <f>IF(inputPrYr!$B39&gt;"  ",(inputPrYr!$B39),"  ")</f>
        <v>Tourism &amp; Convention</v>
      </c>
      <c r="B24" s="86">
        <f>IF('no levy page16'!$C$65&gt;0,'no levy page16'!$C$65,"  ")</f>
        <v>13072</v>
      </c>
      <c r="C24" s="65"/>
      <c r="D24" s="86">
        <f>IF('no levy page16'!$D$65&gt;0,'no levy page16'!$D$65,"  ")</f>
        <v>14850</v>
      </c>
      <c r="E24" s="65"/>
      <c r="F24" s="86">
        <f>IF('no levy page16'!$E$65&gt;0,'no levy page16'!$E$65,"  ")</f>
        <v>33168</v>
      </c>
      <c r="G24" s="65"/>
      <c r="H24" s="65"/>
    </row>
    <row r="25" spans="1:8" ht="15.75">
      <c r="A25" s="86" t="str">
        <f>IF(inputPrYr!$B40&gt;"  ",(inputPrYr!$B40),"  ")</f>
        <v>TDD Dees &amp; Kunkle</v>
      </c>
      <c r="B25" s="86">
        <f>IF('no levy page17'!$C$28&gt;0,'no levy page17'!$C$28,"  ")</f>
        <v>85615</v>
      </c>
      <c r="C25" s="65"/>
      <c r="D25" s="86">
        <f>IF('no levy page17'!$D$28&gt;0,'no levy page17'!$D$28,"  ")</f>
        <v>120000</v>
      </c>
      <c r="E25" s="65"/>
      <c r="F25" s="86">
        <f>IF('no levy page17'!$E$28&gt;0,'no levy page17'!$E$28,"  ")</f>
        <v>120000</v>
      </c>
      <c r="G25" s="65"/>
      <c r="H25" s="65"/>
    </row>
    <row r="26" spans="1:8" ht="15.75">
      <c r="A26" s="86" t="str">
        <f>IF(inputPrYr!$B41&gt;"  ",(inputPrYr!$B41),"  ")</f>
        <v>Water/Sewer Emer Depriciation</v>
      </c>
      <c r="B26" s="86">
        <f>IF('no levy page17'!$C$59&gt;0,'no levy page17'!$C$59,"  ")</f>
        <v>1622</v>
      </c>
      <c r="C26" s="65"/>
      <c r="D26" s="86">
        <f>IF('no levy page17'!$D$59&gt;0,'no levy page17'!$D$59,"  ")</f>
        <v>9634</v>
      </c>
      <c r="E26" s="65"/>
      <c r="F26" s="86">
        <f>IF('no levy page17'!$E$59&gt;0,'no levy page17'!$E$59,"  ")</f>
        <v>115525</v>
      </c>
      <c r="G26" s="65"/>
      <c r="H26" s="65"/>
    </row>
    <row r="27" spans="1:8" ht="15.75">
      <c r="A27" s="86" t="str">
        <f>IF(inputPrYr!$B42&gt;"  ",(inputPrYr!$B42),"  ")</f>
        <v>TDD Debt Service Reserve</v>
      </c>
      <c r="B27" s="86">
        <v>0</v>
      </c>
      <c r="C27" s="65"/>
      <c r="D27" s="86">
        <v>0</v>
      </c>
      <c r="E27" s="65"/>
      <c r="F27" s="86">
        <f>IF('no levy page18'!$E$28&gt;0,'no levy page18'!$E$28,"  ")</f>
        <v>206102</v>
      </c>
      <c r="G27" s="65"/>
      <c r="H27" s="65"/>
    </row>
    <row r="28" spans="1:8" ht="15.75">
      <c r="A28" s="86" t="str">
        <f>IF(inputPrYr!$B43&gt;"  ",(inputPrYr!$B43),"  ")</f>
        <v>TDD Principal &amp; Interest</v>
      </c>
      <c r="B28" s="86">
        <f>IF('no levy page24'!$C$59&gt;0,'no levy page24'!$C$59,"  ")</f>
        <v>82418</v>
      </c>
      <c r="C28" s="65"/>
      <c r="D28" s="86">
        <f>IF('no levy page24'!$D$59&gt;0,'no levy page24'!$D$59,"  ")</f>
        <v>81324</v>
      </c>
      <c r="E28" s="65"/>
      <c r="F28" s="86">
        <f>IF('no levy page24'!$E$59&gt;0,'no levy page24'!$E$59,"  ")</f>
        <v>231956</v>
      </c>
      <c r="G28" s="65"/>
      <c r="H28" s="65"/>
    </row>
    <row r="29" spans="1:8" ht="15.75">
      <c r="A29" s="86" t="str">
        <f>IF(inputPrYr!$B44&gt;"  ",(inputPrYr!$B44),"  ")</f>
        <v>2011 G.O. Redemption</v>
      </c>
      <c r="B29" s="86">
        <f>IF('no levy page19'!$C$28&gt;0,'no levy page19'!$C$28,"  ")</f>
        <v>1409377</v>
      </c>
      <c r="C29" s="65"/>
      <c r="D29" s="86">
        <v>0</v>
      </c>
      <c r="E29" s="65"/>
      <c r="F29" s="86">
        <v>0</v>
      </c>
      <c r="G29" s="65"/>
      <c r="H29" s="65"/>
    </row>
    <row r="30" spans="1:8" ht="15.75">
      <c r="A30" s="86" t="str">
        <f>IF(inputPrYr!$B45&gt;"  ",(inputPrYr!$B45),"  ")</f>
        <v>2011 G.O. Cost of Issuance</v>
      </c>
      <c r="B30" s="86">
        <f>IF('no levy page19'!$C$59&gt;0,'no levy page19'!$C$59,"  ")</f>
        <v>24284</v>
      </c>
      <c r="C30" s="65"/>
      <c r="D30" s="86">
        <v>0</v>
      </c>
      <c r="E30" s="65"/>
      <c r="F30" s="86">
        <v>0</v>
      </c>
      <c r="G30" s="65"/>
      <c r="H30" s="65"/>
    </row>
    <row r="31" spans="1:8" ht="15.75">
      <c r="A31" s="86" t="str">
        <f>IF(inputPrYr!$B46&gt;"  ",(inputPrYr!$B46),"  ")</f>
        <v>2011 G.O. Compliance</v>
      </c>
      <c r="B31" s="86">
        <v>0</v>
      </c>
      <c r="C31" s="65"/>
      <c r="D31" s="86">
        <v>0</v>
      </c>
      <c r="E31" s="65"/>
      <c r="F31" s="86">
        <f>IF('no levy page20'!$E$28&gt;0,'no levy page20'!$E$28,"  ")</f>
        <v>3670</v>
      </c>
      <c r="G31" s="65"/>
      <c r="H31" s="65"/>
    </row>
    <row r="32" spans="1:13" ht="15.75">
      <c r="A32" s="86" t="str">
        <f>IF(inputPrYr!$B47&gt;"  ",(inputPrYr!$B47),"  ")</f>
        <v>W/S Improvement</v>
      </c>
      <c r="B32" s="86">
        <f>IF('no levy page20'!$C$59&gt;0,'no levy page20'!$C$59,"  ")</f>
        <v>283928</v>
      </c>
      <c r="C32" s="65"/>
      <c r="D32" s="86">
        <f>IF('no levy page20'!$D$59&gt;0,'no levy page20'!$D$59,"  ")</f>
        <v>141424</v>
      </c>
      <c r="E32" s="65"/>
      <c r="F32" s="86">
        <f>IF('no levy page20'!$E$59&gt;0,'no levy page20'!$E$59,"  ")</f>
        <v>272019</v>
      </c>
      <c r="G32" s="65"/>
      <c r="H32" s="65"/>
      <c r="J32" s="720"/>
      <c r="K32" s="721"/>
      <c r="L32" s="721"/>
      <c r="M32" s="721"/>
    </row>
    <row r="33" spans="1:13" ht="15.75">
      <c r="A33" s="86" t="str">
        <f>IF(inputPrYr!$B48&gt;"  ",(inputPrYr!$B48),"  ")</f>
        <v>2009 Temp Note Debt Service</v>
      </c>
      <c r="B33" s="86">
        <f>IF('no levy page21'!$C$28&gt;0,'no levy page21'!$C$28,"  ")</f>
        <v>624618</v>
      </c>
      <c r="C33" s="65"/>
      <c r="D33" s="86">
        <v>0</v>
      </c>
      <c r="E33" s="65"/>
      <c r="F33" s="86">
        <v>0</v>
      </c>
      <c r="G33" s="65"/>
      <c r="H33" s="65"/>
      <c r="J33" s="673"/>
      <c r="K33" s="671"/>
      <c r="L33" s="671"/>
      <c r="M33" s="674"/>
    </row>
    <row r="34" spans="1:13" ht="15.75">
      <c r="A34" s="86" t="str">
        <f>IF(inputPrYr!$B49&gt;"  ",(inputPrYr!$B49),"  ")</f>
        <v>2009 Temp Note Cost of Issuance</v>
      </c>
      <c r="B34" s="86">
        <v>0</v>
      </c>
      <c r="C34" s="65"/>
      <c r="D34" s="86">
        <v>0</v>
      </c>
      <c r="E34" s="65"/>
      <c r="F34" s="86">
        <v>0</v>
      </c>
      <c r="G34" s="65"/>
      <c r="H34" s="65"/>
      <c r="J34" s="671"/>
      <c r="K34" s="671"/>
      <c r="L34" s="671"/>
      <c r="M34" s="674"/>
    </row>
    <row r="35" spans="1:13" ht="15.75">
      <c r="A35" s="86" t="str">
        <f>IF(inputPrYr!$B50&gt;"  ",(inputPrYr!$B50),"  ")</f>
        <v>2009 Temp Note Improvement</v>
      </c>
      <c r="B35" s="86">
        <v>0</v>
      </c>
      <c r="C35" s="65"/>
      <c r="D35" s="86">
        <v>0</v>
      </c>
      <c r="E35" s="65"/>
      <c r="F35" s="86">
        <v>0</v>
      </c>
      <c r="G35" s="65"/>
      <c r="H35" s="65"/>
      <c r="J35" s="675"/>
      <c r="K35" s="675"/>
      <c r="L35" s="675"/>
      <c r="M35" s="675"/>
    </row>
    <row r="36" spans="1:13" ht="15.75">
      <c r="A36" s="86" t="str">
        <f>IF(inputPrYr!$B51&gt;"  ",(inputPrYr!$B51),"  ")</f>
        <v>2011 S.O. Project TIF</v>
      </c>
      <c r="B36" s="86">
        <f>IF('no levy page22'!$C$60&gt;0,'no levy page22'!$C$60,"  ")</f>
        <v>218221</v>
      </c>
      <c r="C36" s="65"/>
      <c r="D36" s="86">
        <f>IF('no levy page22'!$D$60&gt;0,'no levy page22'!$D$60,"  ")</f>
        <v>701260</v>
      </c>
      <c r="E36" s="65"/>
      <c r="F36" s="86">
        <f>IF('no levy page22'!$E$60&gt;0,'no levy page22'!$E$60,"  ")</f>
        <v>270887</v>
      </c>
      <c r="G36" s="65"/>
      <c r="H36" s="65"/>
      <c r="J36" s="720"/>
      <c r="K36" s="721"/>
      <c r="L36" s="721"/>
      <c r="M36" s="721"/>
    </row>
    <row r="37" spans="1:13" ht="15.75">
      <c r="A37" s="86" t="str">
        <f>IF(inputPrYr!$B52&gt;"  ",(inputPrYr!$B52),"  ")</f>
        <v>2011 S. O. Revenue TIF</v>
      </c>
      <c r="B37" s="86">
        <v>0</v>
      </c>
      <c r="C37" s="65"/>
      <c r="D37" s="86">
        <v>0</v>
      </c>
      <c r="E37" s="65"/>
      <c r="F37" s="86">
        <f>IF('no levy page23'!$E$28&gt;0,'no levy page23'!$E$28,"  ")</f>
        <v>25403</v>
      </c>
      <c r="G37" s="65"/>
      <c r="H37" s="65"/>
      <c r="J37" s="671"/>
      <c r="K37" s="671"/>
      <c r="L37" s="671"/>
      <c r="M37" s="671"/>
    </row>
    <row r="38" spans="1:13" ht="15.75">
      <c r="A38" s="86" t="str">
        <f>IF(inputPrYr!$B53&gt;"  ",(inputPrYr!$B53),"  ")</f>
        <v>2011 S.O. Debt Service TIF</v>
      </c>
      <c r="B38" s="86">
        <v>0</v>
      </c>
      <c r="C38" s="65"/>
      <c r="D38" s="86">
        <v>0</v>
      </c>
      <c r="E38" s="65"/>
      <c r="F38" s="86">
        <f>IF('no levy page23'!$E$58&gt;0,'no levy page23'!$E$58,"  ")</f>
        <v>477</v>
      </c>
      <c r="G38" s="65"/>
      <c r="H38" s="65"/>
      <c r="J38" s="671"/>
      <c r="K38" s="671"/>
      <c r="L38" s="671"/>
      <c r="M38" s="676"/>
    </row>
    <row r="39" spans="1:13" ht="15.75">
      <c r="A39" s="86" t="str">
        <f>IF(inputPrYr!$B54&gt;"  ",(inputPrYr!$B54),"  ")</f>
        <v>2011 S.O. Cost of Issuance</v>
      </c>
      <c r="B39" s="86">
        <f>IF('no levy page24'!$C$28&gt;0,'no levy page24'!$C$28,"  ")</f>
        <v>13000</v>
      </c>
      <c r="C39" s="65"/>
      <c r="D39" s="86">
        <v>0</v>
      </c>
      <c r="E39" s="65"/>
      <c r="F39" s="86">
        <v>0</v>
      </c>
      <c r="G39" s="65"/>
      <c r="H39" s="65"/>
      <c r="J39" s="671"/>
      <c r="K39" s="671"/>
      <c r="L39" s="671"/>
      <c r="M39" s="671"/>
    </row>
    <row r="40" spans="1:13" ht="15.75">
      <c r="A40" s="86" t="str">
        <f>IF(inputPrYr!$B57&gt;"  ",(inputPrYr!$B57),"  ")</f>
        <v>Water/Sewer</v>
      </c>
      <c r="B40" s="86">
        <f>IF(SinNoLevy22!$C$71&gt;0,SinNoLevy22!$C$71,"  ")</f>
        <v>1085581</v>
      </c>
      <c r="C40" s="65"/>
      <c r="D40" s="86">
        <f>IF(SinNoLevy22!$D$71&gt;0,SinNoLevy22!$D$71,"  ")</f>
        <v>1126593</v>
      </c>
      <c r="E40" s="65"/>
      <c r="F40" s="86">
        <f>IF(SinNoLevy22!$E$71&gt;0,SinNoLevy22!$E$71,"  ")</f>
        <v>1243518</v>
      </c>
      <c r="G40" s="65"/>
      <c r="H40" s="65"/>
      <c r="J40" s="671"/>
      <c r="K40" s="671"/>
      <c r="L40" s="671"/>
      <c r="M40" s="674"/>
    </row>
    <row r="41" spans="1:13" ht="16.5" thickBot="1">
      <c r="A41" s="86" t="str">
        <f>IF(inputPrYr!$B58&gt;"  ",(inputPrYr!$B58),"  ")</f>
        <v>Recreation &amp; Pool</v>
      </c>
      <c r="B41" s="86">
        <f>IF(SinNoLevy23!$C$45&gt;0,SinNoLevy23!$C$45,"  ")</f>
        <v>191515</v>
      </c>
      <c r="C41" s="65"/>
      <c r="D41" s="86">
        <f>IF(SinNoLevy23!$D$45&gt;0,SinNoLevy23!$D$45,"  ")</f>
        <v>179817</v>
      </c>
      <c r="E41" s="65"/>
      <c r="F41" s="86">
        <f>IF(SinNoLevy23!$E$45&gt;0,SinNoLevy23!$E$45,"  ")</f>
        <v>189567</v>
      </c>
      <c r="G41" s="65"/>
      <c r="H41" s="65"/>
      <c r="J41" s="675"/>
      <c r="K41" s="675"/>
      <c r="L41" s="675"/>
      <c r="M41" s="677"/>
    </row>
    <row r="42" spans="1:13" ht="15.75">
      <c r="A42" s="140" t="s">
        <v>690</v>
      </c>
      <c r="B42" s="490">
        <f>SUM(B15:B41)</f>
        <v>7058555</v>
      </c>
      <c r="C42" s="491">
        <f>SUM(C15:C18)</f>
        <v>74.866</v>
      </c>
      <c r="D42" s="490">
        <f>SUM(D15:D41)</f>
        <v>5749284</v>
      </c>
      <c r="E42" s="491">
        <f>SUM(E15:E18)</f>
        <v>74.60799999999999</v>
      </c>
      <c r="F42" s="490">
        <f>SUM(F15:F41)</f>
        <v>6667767</v>
      </c>
      <c r="G42" s="490">
        <f>SUM(G15:G41)</f>
        <v>929031</v>
      </c>
      <c r="H42" s="491">
        <f>SUM(H15:H18)</f>
        <v>74.608</v>
      </c>
      <c r="J42" s="671"/>
      <c r="K42" s="671"/>
      <c r="L42" s="671"/>
      <c r="M42" s="671"/>
    </row>
    <row r="43" spans="1:13" ht="15.75">
      <c r="A43" s="52" t="s">
        <v>126</v>
      </c>
      <c r="B43" s="454">
        <f>transfers!D38</f>
        <v>830433</v>
      </c>
      <c r="C43" s="489"/>
      <c r="D43" s="454">
        <f>transfers!E38</f>
        <v>777850</v>
      </c>
      <c r="E43" s="309"/>
      <c r="F43" s="454">
        <f>transfers!F38</f>
        <v>797068</v>
      </c>
      <c r="G43" s="487"/>
      <c r="H43" s="309"/>
      <c r="I43" s="460"/>
      <c r="J43" s="720"/>
      <c r="K43" s="720"/>
      <c r="L43" s="720"/>
      <c r="M43" s="720"/>
    </row>
    <row r="44" spans="1:13" ht="16.5" thickBot="1">
      <c r="A44" s="52" t="s">
        <v>127</v>
      </c>
      <c r="B44" s="306">
        <f>B42-B43</f>
        <v>6228122</v>
      </c>
      <c r="C44" s="47"/>
      <c r="D44" s="306">
        <f>D42-D43</f>
        <v>4971434</v>
      </c>
      <c r="E44" s="47"/>
      <c r="F44" s="306">
        <f>F42-F43</f>
        <v>5870699</v>
      </c>
      <c r="G44" s="47"/>
      <c r="H44" s="47"/>
      <c r="J44" s="671"/>
      <c r="K44" s="671"/>
      <c r="L44" s="671"/>
      <c r="M44" s="671"/>
    </row>
    <row r="45" spans="1:13" ht="16.5" thickTop="1">
      <c r="A45" s="52" t="s">
        <v>128</v>
      </c>
      <c r="B45" s="454">
        <f>inputPrYr!$E$71</f>
        <v>864303</v>
      </c>
      <c r="C45" s="194"/>
      <c r="D45" s="454">
        <f>inputPrYr!$E$31</f>
        <v>878182</v>
      </c>
      <c r="E45" s="194"/>
      <c r="F45" s="297" t="s">
        <v>92</v>
      </c>
      <c r="G45" s="47"/>
      <c r="H45" s="47"/>
      <c r="J45" s="671"/>
      <c r="K45" s="671"/>
      <c r="L45" s="671"/>
      <c r="M45" s="674"/>
    </row>
    <row r="46" spans="1:13" ht="15.75">
      <c r="A46" s="52" t="s">
        <v>129</v>
      </c>
      <c r="B46" s="196"/>
      <c r="C46" s="47"/>
      <c r="D46" s="455"/>
      <c r="E46" s="198"/>
      <c r="F46" s="149"/>
      <c r="G46" s="47"/>
      <c r="H46" s="47"/>
      <c r="J46" s="671"/>
      <c r="K46" s="671"/>
      <c r="L46" s="671"/>
      <c r="M46" s="674"/>
    </row>
    <row r="47" spans="1:13" ht="15.75">
      <c r="A47" s="52" t="s">
        <v>130</v>
      </c>
      <c r="B47" s="454">
        <f>inputPrYr!$E$72</f>
        <v>11544964</v>
      </c>
      <c r="C47" s="76"/>
      <c r="D47" s="454">
        <f>inputOth!$E$28</f>
        <v>11770713</v>
      </c>
      <c r="E47" s="76"/>
      <c r="F47" s="454">
        <f>inputOth!$E$7</f>
        <v>12452089</v>
      </c>
      <c r="G47" s="47"/>
      <c r="H47" s="47"/>
      <c r="J47" s="671"/>
      <c r="K47" s="671"/>
      <c r="L47" s="671"/>
      <c r="M47" s="674"/>
    </row>
    <row r="48" spans="1:13" ht="15.75">
      <c r="A48" s="52" t="s">
        <v>131</v>
      </c>
      <c r="B48" s="47"/>
      <c r="C48" s="47"/>
      <c r="D48" s="47"/>
      <c r="E48" s="47"/>
      <c r="F48" s="47"/>
      <c r="G48" s="47"/>
      <c r="H48" s="47"/>
      <c r="J48" s="671"/>
      <c r="K48" s="671"/>
      <c r="L48" s="671"/>
      <c r="M48" s="671"/>
    </row>
    <row r="49" spans="1:13" ht="15.75">
      <c r="A49" s="52" t="s">
        <v>132</v>
      </c>
      <c r="B49" s="298">
        <f>$H$2-3</f>
        <v>2010</v>
      </c>
      <c r="C49" s="47"/>
      <c r="D49" s="298">
        <f>$H$2-2</f>
        <v>2011</v>
      </c>
      <c r="E49" s="47"/>
      <c r="F49" s="298">
        <f>$H$2-1</f>
        <v>2012</v>
      </c>
      <c r="G49" s="47"/>
      <c r="H49" s="47"/>
      <c r="J49" s="720"/>
      <c r="K49" s="724"/>
      <c r="L49" s="724"/>
      <c r="M49" s="724"/>
    </row>
    <row r="50" spans="1:13" ht="13.5" customHeight="1">
      <c r="A50" s="52" t="s">
        <v>133</v>
      </c>
      <c r="B50" s="238">
        <f>inputPrYr!$D$76</f>
        <v>2090100</v>
      </c>
      <c r="C50" s="169"/>
      <c r="D50" s="238">
        <f>inputPrYr!$E$76</f>
        <v>1155000</v>
      </c>
      <c r="E50" s="169"/>
      <c r="F50" s="238">
        <f>debt!$G$20</f>
        <v>2550000</v>
      </c>
      <c r="G50" s="47"/>
      <c r="H50" s="47"/>
      <c r="J50" s="671"/>
      <c r="K50" s="671"/>
      <c r="L50" s="671"/>
      <c r="M50" s="671"/>
    </row>
    <row r="51" spans="1:13" ht="15.75">
      <c r="A51" s="52" t="s">
        <v>134</v>
      </c>
      <c r="B51" s="454">
        <f>inputPrYr!$D$77</f>
        <v>0</v>
      </c>
      <c r="C51" s="169"/>
      <c r="D51" s="454">
        <f>inputPrYr!$E$77</f>
        <v>0</v>
      </c>
      <c r="E51" s="169"/>
      <c r="F51" s="238">
        <f>debt!$G$32</f>
        <v>1125000</v>
      </c>
      <c r="G51" s="47"/>
      <c r="H51" s="47"/>
      <c r="J51" s="671"/>
      <c r="K51" s="671"/>
      <c r="L51" s="671"/>
      <c r="M51" s="676"/>
    </row>
    <row r="52" spans="1:13" ht="18.75" customHeight="1">
      <c r="A52" s="47" t="s">
        <v>152</v>
      </c>
      <c r="B52" s="454">
        <f>inputPrYr!$D$78</f>
        <v>3195488</v>
      </c>
      <c r="C52" s="169"/>
      <c r="D52" s="454">
        <f>inputPrYr!$E$78</f>
        <v>3861160</v>
      </c>
      <c r="E52" s="169"/>
      <c r="F52" s="238">
        <f>debt!$G$42</f>
        <v>2521898.3</v>
      </c>
      <c r="G52" s="47"/>
      <c r="H52" s="47"/>
      <c r="J52" s="671"/>
      <c r="K52" s="671"/>
      <c r="L52" s="671"/>
      <c r="M52" s="678"/>
    </row>
    <row r="53" spans="1:13" ht="18.75" customHeight="1">
      <c r="A53" s="52" t="s">
        <v>229</v>
      </c>
      <c r="B53" s="454">
        <f>inputPrYr!$D$79</f>
        <v>169842</v>
      </c>
      <c r="C53" s="169"/>
      <c r="D53" s="454">
        <f>inputPrYr!$E$79</f>
        <v>66258</v>
      </c>
      <c r="E53" s="169"/>
      <c r="F53" s="238">
        <f>lpform!$G$28</f>
        <v>66258</v>
      </c>
      <c r="G53" s="47"/>
      <c r="H53" s="47"/>
      <c r="J53" s="671"/>
      <c r="K53" s="671"/>
      <c r="L53" s="671"/>
      <c r="M53" s="674"/>
    </row>
    <row r="54" spans="1:13" ht="18.75" customHeight="1" thickBot="1">
      <c r="A54" s="52" t="s">
        <v>135</v>
      </c>
      <c r="B54" s="496">
        <f>SUM(B50:B53)</f>
        <v>5455430</v>
      </c>
      <c r="C54" s="169"/>
      <c r="D54" s="496">
        <f>SUM(D50:D53)</f>
        <v>5082418</v>
      </c>
      <c r="E54" s="169"/>
      <c r="F54" s="496">
        <f>SUM(F50:F53)</f>
        <v>6263156.3</v>
      </c>
      <c r="G54" s="47"/>
      <c r="H54" s="47"/>
      <c r="J54" s="671"/>
      <c r="K54" s="671"/>
      <c r="L54" s="671"/>
      <c r="M54" s="674"/>
    </row>
    <row r="55" spans="1:13" ht="18.75" customHeight="1" thickTop="1">
      <c r="A55" s="52" t="s">
        <v>136</v>
      </c>
      <c r="B55" s="47"/>
      <c r="C55" s="47"/>
      <c r="D55" s="47"/>
      <c r="E55" s="47"/>
      <c r="F55" s="47"/>
      <c r="G55" s="47"/>
      <c r="H55" s="47"/>
      <c r="J55" s="675"/>
      <c r="K55" s="675"/>
      <c r="L55" s="675"/>
      <c r="M55" s="675"/>
    </row>
    <row r="56" spans="1:13" ht="15.75">
      <c r="A56" s="47"/>
      <c r="B56" s="47"/>
      <c r="C56" s="47"/>
      <c r="D56" s="47"/>
      <c r="E56" s="47"/>
      <c r="F56" s="47"/>
      <c r="G56" s="47"/>
      <c r="H56" s="47"/>
      <c r="J56" s="672"/>
      <c r="K56" s="672"/>
      <c r="L56" s="672"/>
      <c r="M56" s="672"/>
    </row>
    <row r="57" spans="1:8" ht="15.75">
      <c r="A57" s="723" t="str">
        <f>inputBudSum!B3</f>
        <v>PATTI L. BOOHER</v>
      </c>
      <c r="B57" s="723"/>
      <c r="C57" s="76"/>
      <c r="D57" s="47"/>
      <c r="E57" s="47"/>
      <c r="F57" s="47"/>
      <c r="G57" s="47"/>
      <c r="H57" s="47"/>
    </row>
    <row r="58" spans="1:8" ht="15.75">
      <c r="A58" s="166" t="s">
        <v>255</v>
      </c>
      <c r="B58" s="549" t="str">
        <f>inputBudSum!B5</f>
        <v>CITY CLERK</v>
      </c>
      <c r="C58" s="47"/>
      <c r="D58" s="47"/>
      <c r="E58" s="47"/>
      <c r="F58" s="47"/>
      <c r="G58" s="47"/>
      <c r="H58" s="47"/>
    </row>
    <row r="59" spans="1:8" ht="15.75">
      <c r="A59" s="47"/>
      <c r="B59" s="47"/>
      <c r="C59" s="47"/>
      <c r="D59" s="47"/>
      <c r="E59" s="47"/>
      <c r="F59" s="47"/>
      <c r="G59" s="47"/>
      <c r="H59" s="47"/>
    </row>
    <row r="60" spans="1:8" ht="15.75">
      <c r="A60" s="47"/>
      <c r="B60" s="47"/>
      <c r="C60" s="133" t="s">
        <v>111</v>
      </c>
      <c r="D60" s="278">
        <v>24</v>
      </c>
      <c r="E60" s="47"/>
      <c r="F60" s="47"/>
      <c r="G60" s="47"/>
      <c r="H60" s="47"/>
    </row>
  </sheetData>
  <sheetProtection/>
  <mergeCells count="11">
    <mergeCell ref="A1:H1"/>
    <mergeCell ref="A4:H4"/>
    <mergeCell ref="A6:H6"/>
    <mergeCell ref="A7:H7"/>
    <mergeCell ref="A3:H3"/>
    <mergeCell ref="J32:M32"/>
    <mergeCell ref="A5:H5"/>
    <mergeCell ref="A57:B57"/>
    <mergeCell ref="J36:M36"/>
    <mergeCell ref="J43:M43"/>
    <mergeCell ref="J49:M49"/>
  </mergeCells>
  <printOptions/>
  <pageMargins left="1" right="0.5" top="1" bottom="0.5" header="0.5" footer="0.5"/>
  <pageSetup blackAndWhite="1" fitToHeight="1" fitToWidth="1" horizontalDpi="600" verticalDpi="600" orientation="portrait" scale="66" r:id="rId1"/>
  <headerFooter alignWithMargins="0">
    <oddHeader>&amp;RState of Kansas
City</oddHeader>
  </headerFooter>
</worksheet>
</file>

<file path=xl/worksheets/sheet9.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791</v>
      </c>
    </row>
    <row r="2" spans="1:10" ht="54" customHeight="1">
      <c r="A2" s="727" t="s">
        <v>348</v>
      </c>
      <c r="B2" s="728"/>
      <c r="C2" s="728"/>
      <c r="D2" s="728"/>
      <c r="E2" s="728"/>
      <c r="F2" s="728"/>
      <c r="J2" s="539" t="s">
        <v>792</v>
      </c>
    </row>
    <row r="3" spans="1:10" ht="15.75">
      <c r="A3" s="1" t="s">
        <v>793</v>
      </c>
      <c r="B3" s="540" t="s">
        <v>948</v>
      </c>
      <c r="C3" s="540"/>
      <c r="J3" s="539" t="s">
        <v>794</v>
      </c>
    </row>
    <row r="4" spans="1:10" ht="15.75">
      <c r="A4" s="1"/>
      <c r="B4" s="541"/>
      <c r="J4" s="539" t="s">
        <v>795</v>
      </c>
    </row>
    <row r="5" spans="1:10" ht="15.75">
      <c r="A5" s="1" t="s">
        <v>684</v>
      </c>
      <c r="B5" s="540" t="s">
        <v>946</v>
      </c>
      <c r="J5" s="539" t="s">
        <v>796</v>
      </c>
    </row>
    <row r="6" spans="1:10" ht="15.75">
      <c r="A6" s="318"/>
      <c r="B6" s="318"/>
      <c r="C6" s="318"/>
      <c r="D6" s="319" t="s">
        <v>797</v>
      </c>
      <c r="E6" s="318"/>
      <c r="F6" s="318"/>
      <c r="J6" s="539" t="s">
        <v>798</v>
      </c>
    </row>
    <row r="7" spans="1:10" ht="15.75">
      <c r="A7" s="319" t="s">
        <v>349</v>
      </c>
      <c r="B7" s="540" t="s">
        <v>1146</v>
      </c>
      <c r="C7" s="320"/>
      <c r="D7" s="319" t="str">
        <f>IF(B7="","",CONCATENATE("Latest date for notice to be published in your newspaper: ",G18," ",G22,", ",G23))</f>
        <v>Latest date for notice to be published in your newspaper: August 31, 2012</v>
      </c>
      <c r="E7" s="318"/>
      <c r="F7" s="318"/>
      <c r="J7" s="539" t="s">
        <v>799</v>
      </c>
    </row>
    <row r="8" spans="1:10" ht="15.75">
      <c r="A8" s="319"/>
      <c r="B8" s="321"/>
      <c r="C8" s="322"/>
      <c r="D8" s="319"/>
      <c r="E8" s="318"/>
      <c r="F8" s="318"/>
      <c r="J8" s="539" t="s">
        <v>800</v>
      </c>
    </row>
    <row r="9" spans="1:10" ht="15.75">
      <c r="A9" s="319" t="s">
        <v>350</v>
      </c>
      <c r="B9" s="540" t="s">
        <v>1147</v>
      </c>
      <c r="C9" s="323"/>
      <c r="D9" s="319"/>
      <c r="E9" s="318"/>
      <c r="F9" s="318"/>
      <c r="J9" s="539" t="s">
        <v>801</v>
      </c>
    </row>
    <row r="10" spans="1:10" ht="15.75">
      <c r="A10" s="319"/>
      <c r="B10" s="319"/>
      <c r="C10" s="319"/>
      <c r="D10" s="319"/>
      <c r="E10" s="318"/>
      <c r="F10" s="318"/>
      <c r="J10" s="539" t="s">
        <v>802</v>
      </c>
    </row>
    <row r="11" spans="1:10" ht="15.75">
      <c r="A11" s="319" t="s">
        <v>351</v>
      </c>
      <c r="B11" s="542" t="s">
        <v>1144</v>
      </c>
      <c r="C11" s="542"/>
      <c r="D11" s="542"/>
      <c r="E11" s="543"/>
      <c r="F11" s="318"/>
      <c r="J11" s="539" t="s">
        <v>803</v>
      </c>
    </row>
    <row r="12" spans="1:10" ht="15.75">
      <c r="A12" s="319"/>
      <c r="B12" s="319"/>
      <c r="C12" s="319"/>
      <c r="D12" s="319"/>
      <c r="E12" s="318"/>
      <c r="F12" s="318"/>
      <c r="J12" s="539" t="s">
        <v>804</v>
      </c>
    </row>
    <row r="13" spans="1:6" ht="15.75">
      <c r="A13" s="319"/>
      <c r="B13" s="319"/>
      <c r="C13" s="319"/>
      <c r="D13" s="319"/>
      <c r="E13" s="318"/>
      <c r="F13" s="318"/>
    </row>
    <row r="14" spans="1:6" ht="15.75">
      <c r="A14" s="319" t="s">
        <v>352</v>
      </c>
      <c r="B14" s="542" t="s">
        <v>947</v>
      </c>
      <c r="C14" s="542"/>
      <c r="D14" s="542"/>
      <c r="E14" s="543"/>
      <c r="F14" s="318"/>
    </row>
    <row r="17" spans="1:6" ht="15.75">
      <c r="A17" s="729" t="s">
        <v>353</v>
      </c>
      <c r="B17" s="729"/>
      <c r="C17" s="319"/>
      <c r="D17" s="319"/>
      <c r="E17" s="319"/>
      <c r="F17" s="318"/>
    </row>
    <row r="18" spans="1:7" ht="15.75">
      <c r="A18" s="319"/>
      <c r="B18" s="319"/>
      <c r="C18" s="319"/>
      <c r="D18" s="319"/>
      <c r="E18" s="319"/>
      <c r="F18" s="318"/>
      <c r="G18" s="539" t="str">
        <f ca="1">IF(B7="","",INDIRECT(G19))</f>
        <v>August</v>
      </c>
    </row>
    <row r="19" spans="1:7" ht="15.75">
      <c r="A19" s="319" t="s">
        <v>684</v>
      </c>
      <c r="B19" s="319" t="s">
        <v>685</v>
      </c>
      <c r="C19" s="319"/>
      <c r="D19" s="319"/>
      <c r="E19" s="319"/>
      <c r="F19" s="318"/>
      <c r="G19" s="544" t="str">
        <f>IF(B7="","",CONCATENATE("J",G21))</f>
        <v>J8</v>
      </c>
    </row>
    <row r="20" spans="1:7" ht="15.75">
      <c r="A20" s="319"/>
      <c r="B20" s="319"/>
      <c r="C20" s="319"/>
      <c r="D20" s="319"/>
      <c r="E20" s="319"/>
      <c r="F20" s="318"/>
      <c r="G20" s="545">
        <f>B7-10</f>
        <v>41152</v>
      </c>
    </row>
    <row r="21" spans="1:7" ht="15.75">
      <c r="A21" s="319" t="s">
        <v>349</v>
      </c>
      <c r="B21" s="321" t="s">
        <v>354</v>
      </c>
      <c r="C21" s="319"/>
      <c r="D21" s="319"/>
      <c r="E21" s="319"/>
      <c r="G21" s="546">
        <f>IF(B7="","",MONTH(G20))</f>
        <v>8</v>
      </c>
    </row>
    <row r="22" spans="1:7" ht="15.75">
      <c r="A22" s="319"/>
      <c r="B22" s="319"/>
      <c r="C22" s="319"/>
      <c r="D22" s="319"/>
      <c r="E22" s="319"/>
      <c r="G22" s="547">
        <f>IF(B7="","",DAY(G20))</f>
        <v>31</v>
      </c>
    </row>
    <row r="23" spans="1:7" ht="15.75">
      <c r="A23" s="319" t="s">
        <v>350</v>
      </c>
      <c r="B23" s="319" t="s">
        <v>355</v>
      </c>
      <c r="C23" s="319"/>
      <c r="D23" s="319"/>
      <c r="E23" s="319"/>
      <c r="G23" s="548">
        <f>IF(B7="","",YEAR(G20))</f>
        <v>2012</v>
      </c>
    </row>
    <row r="24" spans="1:5" ht="15.75">
      <c r="A24" s="319"/>
      <c r="B24" s="319"/>
      <c r="C24" s="319"/>
      <c r="D24" s="319"/>
      <c r="E24" s="319"/>
    </row>
    <row r="25" spans="1:5" ht="15.75">
      <c r="A25" s="319" t="s">
        <v>351</v>
      </c>
      <c r="B25" s="319" t="s">
        <v>356</v>
      </c>
      <c r="C25" s="319"/>
      <c r="D25" s="319"/>
      <c r="E25" s="319"/>
    </row>
    <row r="26" spans="1:5" ht="15.75">
      <c r="A26" s="319"/>
      <c r="B26" s="319"/>
      <c r="C26" s="319"/>
      <c r="D26" s="319"/>
      <c r="E26" s="319"/>
    </row>
    <row r="27" spans="1:5" ht="15.75">
      <c r="A27" s="319" t="s">
        <v>352</v>
      </c>
      <c r="B27" s="319" t="s">
        <v>356</v>
      </c>
      <c r="C27" s="319"/>
      <c r="D27" s="319"/>
      <c r="E27" s="31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2012-09-07T21:07:27Z</cp:lastPrinted>
  <dcterms:created xsi:type="dcterms:W3CDTF">1999-08-03T13:11:47Z</dcterms:created>
  <dcterms:modified xsi:type="dcterms:W3CDTF">2014-01-21T16:48:35Z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