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65" windowWidth="15450" windowHeight="9465" firstSheet="14" activeTab="17"/>
  </bookViews>
  <sheets>
    <sheet name="inputpryr" sheetId="1" r:id="rId1"/>
    <sheet name="inputother" sheetId="2" r:id="rId2"/>
    <sheet name="InputBudSum" sheetId="3" r:id="rId3"/>
    <sheet name="Cert" sheetId="4" r:id="rId4"/>
    <sheet name="computation" sheetId="5" r:id="rId5"/>
    <sheet name="mvalloc" sheetId="6" r:id="rId6"/>
    <sheet name="transfers" sheetId="7" r:id="rId7"/>
    <sheet name="Debt" sheetId="8" r:id="rId8"/>
    <sheet name="general" sheetId="9" r:id="rId9"/>
    <sheet name="library" sheetId="10" r:id="rId10"/>
    <sheet name="Sp. Hwy" sheetId="11" r:id="rId11"/>
    <sheet name="non levy page" sheetId="12" r:id="rId12"/>
    <sheet name="non levy page2" sheetId="13" r:id="rId13"/>
    <sheet name="non levy page3" sheetId="14" r:id="rId14"/>
    <sheet name="non levy page4" sheetId="15" r:id="rId15"/>
    <sheet name="non levy page5" sheetId="16" r:id="rId16"/>
    <sheet name="summ" sheetId="17" r:id="rId17"/>
    <sheet name="SignCert" sheetId="18" r:id="rId18"/>
    <sheet name="ProofPub" sheetId="19" r:id="rId19"/>
  </sheets>
  <externalReferences>
    <externalReference r:id="rId20"/>
  </externalReferences>
  <calcPr calcId="125725"/>
</workbook>
</file>

<file path=xl/calcChain.xml><?xml version="1.0" encoding="utf-8"?>
<calcChain xmlns="http://schemas.openxmlformats.org/spreadsheetml/2006/main">
  <c r="D1" i="16"/>
  <c r="B5" s="1"/>
  <c r="B19"/>
  <c r="B20" s="1"/>
  <c r="C19"/>
  <c r="C18" s="1"/>
  <c r="D19"/>
  <c r="D18" s="1"/>
  <c r="B30"/>
  <c r="C30"/>
  <c r="D30"/>
  <c r="B18" l="1"/>
  <c r="D5"/>
  <c r="B31"/>
  <c r="C6" s="1"/>
  <c r="C20" s="1"/>
  <c r="C31" s="1"/>
  <c r="C5"/>
  <c r="B47" i="17"/>
  <c r="F42"/>
  <c r="D42"/>
  <c r="B42"/>
  <c r="F41"/>
  <c r="D41"/>
  <c r="B41"/>
  <c r="F40"/>
  <c r="D40"/>
  <c r="B40"/>
  <c r="F39"/>
  <c r="D39"/>
  <c r="B39"/>
  <c r="F36"/>
  <c r="D36"/>
  <c r="B36"/>
  <c r="D34"/>
  <c r="B34"/>
  <c r="D32"/>
  <c r="B32"/>
  <c r="F30"/>
  <c r="D30"/>
  <c r="B30"/>
  <c r="A30"/>
  <c r="D29"/>
  <c r="B29"/>
  <c r="A29"/>
  <c r="D28"/>
  <c r="B28"/>
  <c r="A28"/>
  <c r="D27"/>
  <c r="B27"/>
  <c r="A27"/>
  <c r="F26"/>
  <c r="D26"/>
  <c r="B26"/>
  <c r="A26"/>
  <c r="D25"/>
  <c r="B25"/>
  <c r="A25"/>
  <c r="D24"/>
  <c r="B24"/>
  <c r="A24"/>
  <c r="F23"/>
  <c r="D23"/>
  <c r="B23"/>
  <c r="A23"/>
  <c r="D22"/>
  <c r="B22"/>
  <c r="A22"/>
  <c r="F21"/>
  <c r="D21"/>
  <c r="B21"/>
  <c r="A21"/>
  <c r="F20"/>
  <c r="D20"/>
  <c r="B20"/>
  <c r="A20"/>
  <c r="H19"/>
  <c r="G19"/>
  <c r="F19"/>
  <c r="E19"/>
  <c r="D19"/>
  <c r="C19"/>
  <c r="B19"/>
  <c r="A19"/>
  <c r="G18"/>
  <c r="F18"/>
  <c r="E18"/>
  <c r="D18"/>
  <c r="C18"/>
  <c r="B18"/>
  <c r="A18"/>
  <c r="H17"/>
  <c r="G17"/>
  <c r="F17"/>
  <c r="E17"/>
  <c r="D17"/>
  <c r="C17"/>
  <c r="B17"/>
  <c r="A17"/>
  <c r="G16"/>
  <c r="F16"/>
  <c r="E16"/>
  <c r="D16"/>
  <c r="C16"/>
  <c r="B16"/>
  <c r="A16"/>
  <c r="A8"/>
  <c r="A6"/>
  <c r="A5"/>
  <c r="H1"/>
  <c r="F38" s="1"/>
  <c r="D29" i="15"/>
  <c r="D28" s="1"/>
  <c r="C29"/>
  <c r="B28"/>
  <c r="C28"/>
  <c r="D14"/>
  <c r="D13" s="1"/>
  <c r="C14"/>
  <c r="C13" s="1"/>
  <c r="B14"/>
  <c r="B15" s="1"/>
  <c r="B30" s="1"/>
  <c r="D1"/>
  <c r="D5" s="1"/>
  <c r="C40" i="14"/>
  <c r="B40"/>
  <c r="D38"/>
  <c r="C38"/>
  <c r="B38"/>
  <c r="D33"/>
  <c r="C33"/>
  <c r="B33"/>
  <c r="B34" s="1"/>
  <c r="D28"/>
  <c r="C28"/>
  <c r="B28"/>
  <c r="D20"/>
  <c r="C20"/>
  <c r="B20"/>
  <c r="B23" s="1"/>
  <c r="D13"/>
  <c r="D12" s="1"/>
  <c r="C13"/>
  <c r="C12" s="1"/>
  <c r="B13"/>
  <c r="B12" s="1"/>
  <c r="B5"/>
  <c r="B29" s="1"/>
  <c r="C5"/>
  <c r="C29" s="1"/>
  <c r="D48" i="13"/>
  <c r="D47" s="1"/>
  <c r="C48"/>
  <c r="C47" s="1"/>
  <c r="B48"/>
  <c r="B47" s="1"/>
  <c r="D40"/>
  <c r="C40"/>
  <c r="B40"/>
  <c r="B41" s="1"/>
  <c r="D33"/>
  <c r="C33"/>
  <c r="B33"/>
  <c r="D26"/>
  <c r="C26"/>
  <c r="B26"/>
  <c r="D15"/>
  <c r="D14" s="1"/>
  <c r="C15"/>
  <c r="C14" s="1"/>
  <c r="B15"/>
  <c r="B14" s="1"/>
  <c r="B34"/>
  <c r="C34"/>
  <c r="E46" i="12"/>
  <c r="E45" s="1"/>
  <c r="E36"/>
  <c r="E35" s="1"/>
  <c r="D36"/>
  <c r="D35" s="1"/>
  <c r="C36"/>
  <c r="C37" s="1"/>
  <c r="B26"/>
  <c r="E25"/>
  <c r="D25"/>
  <c r="C25"/>
  <c r="D22"/>
  <c r="C22"/>
  <c r="E20"/>
  <c r="C20"/>
  <c r="E12"/>
  <c r="D12"/>
  <c r="C12"/>
  <c r="B5"/>
  <c r="E1"/>
  <c r="D5" s="1"/>
  <c r="D26" s="1"/>
  <c r="B1"/>
  <c r="B62" i="11"/>
  <c r="C61"/>
  <c r="B61"/>
  <c r="D59"/>
  <c r="D58" s="1"/>
  <c r="C59"/>
  <c r="B59"/>
  <c r="C58"/>
  <c r="B58"/>
  <c r="B47"/>
  <c r="B60" s="1"/>
  <c r="D46"/>
  <c r="C46"/>
  <c r="B46"/>
  <c r="B45" s="1"/>
  <c r="D45"/>
  <c r="C45"/>
  <c r="D35"/>
  <c r="C35"/>
  <c r="B35"/>
  <c r="D28"/>
  <c r="D27" s="1"/>
  <c r="C28"/>
  <c r="B28"/>
  <c r="B27"/>
  <c r="B16"/>
  <c r="B29" s="1"/>
  <c r="B15"/>
  <c r="B14"/>
  <c r="D9"/>
  <c r="C9"/>
  <c r="D15"/>
  <c r="D14" s="1"/>
  <c r="C15"/>
  <c r="C14" s="1"/>
  <c r="C5"/>
  <c r="C36" s="1"/>
  <c r="C38" i="10"/>
  <c r="D38" s="1"/>
  <c r="A37"/>
  <c r="A36"/>
  <c r="C32"/>
  <c r="B32"/>
  <c r="B31" s="1"/>
  <c r="C31"/>
  <c r="D32"/>
  <c r="D31" s="1"/>
  <c r="B19"/>
  <c r="B18" s="1"/>
  <c r="D19"/>
  <c r="C19"/>
  <c r="D1"/>
  <c r="C81" i="9"/>
  <c r="D81" s="1"/>
  <c r="A80"/>
  <c r="A79"/>
  <c r="C77"/>
  <c r="B77"/>
  <c r="D72"/>
  <c r="D75" s="1"/>
  <c r="B75"/>
  <c r="B74" s="1"/>
  <c r="C75"/>
  <c r="C74" s="1"/>
  <c r="D46"/>
  <c r="C46"/>
  <c r="B46"/>
  <c r="B33"/>
  <c r="B32" s="1"/>
  <c r="D16"/>
  <c r="D15"/>
  <c r="D14"/>
  <c r="C33"/>
  <c r="C32" s="1"/>
  <c r="C47"/>
  <c r="B47"/>
  <c r="L25" i="8"/>
  <c r="K25"/>
  <c r="J25"/>
  <c r="I25"/>
  <c r="F25"/>
  <c r="L19"/>
  <c r="K19"/>
  <c r="J19"/>
  <c r="I19"/>
  <c r="F19"/>
  <c r="L13"/>
  <c r="K13"/>
  <c r="K26" s="1"/>
  <c r="J13"/>
  <c r="I13"/>
  <c r="F13"/>
  <c r="L1"/>
  <c r="F7" s="1"/>
  <c r="A1"/>
  <c r="D28" i="7"/>
  <c r="E26"/>
  <c r="E28" s="1"/>
  <c r="D26"/>
  <c r="C26"/>
  <c r="C28" s="1"/>
  <c r="E7"/>
  <c r="F1"/>
  <c r="D7" s="1"/>
  <c r="A1"/>
  <c r="F24" i="6"/>
  <c r="E23"/>
  <c r="D22"/>
  <c r="F19"/>
  <c r="E19"/>
  <c r="D19"/>
  <c r="C19"/>
  <c r="B19"/>
  <c r="F18"/>
  <c r="E18"/>
  <c r="D18"/>
  <c r="C18"/>
  <c r="B18"/>
  <c r="F17"/>
  <c r="E17"/>
  <c r="D17"/>
  <c r="C17"/>
  <c r="B17"/>
  <c r="F16"/>
  <c r="E16"/>
  <c r="D16"/>
  <c r="C16"/>
  <c r="B16"/>
  <c r="F15"/>
  <c r="E15"/>
  <c r="D15"/>
  <c r="C15"/>
  <c r="B15"/>
  <c r="F14"/>
  <c r="E14"/>
  <c r="D14"/>
  <c r="C14"/>
  <c r="B14"/>
  <c r="F13"/>
  <c r="E13"/>
  <c r="D13"/>
  <c r="C13"/>
  <c r="B13"/>
  <c r="F12"/>
  <c r="E12"/>
  <c r="D12"/>
  <c r="C12"/>
  <c r="B12"/>
  <c r="F11"/>
  <c r="E11"/>
  <c r="D11"/>
  <c r="C11"/>
  <c r="B11"/>
  <c r="F10"/>
  <c r="E10"/>
  <c r="D10"/>
  <c r="C10"/>
  <c r="B10"/>
  <c r="C9"/>
  <c r="B9"/>
  <c r="F8"/>
  <c r="E8"/>
  <c r="D8"/>
  <c r="C8"/>
  <c r="B8"/>
  <c r="C7"/>
  <c r="C20" s="1"/>
  <c r="B7"/>
  <c r="C6"/>
  <c r="B6"/>
  <c r="D5"/>
  <c r="G2"/>
  <c r="B1"/>
  <c r="J38" i="5"/>
  <c r="E28"/>
  <c r="G24"/>
  <c r="G22"/>
  <c r="E21"/>
  <c r="E20"/>
  <c r="E19"/>
  <c r="E15"/>
  <c r="E14"/>
  <c r="G16" s="1"/>
  <c r="G11"/>
  <c r="J7"/>
  <c r="J6"/>
  <c r="J5"/>
  <c r="J1"/>
  <c r="A42" s="1"/>
  <c r="C1"/>
  <c r="A37" i="4"/>
  <c r="A36"/>
  <c r="D35"/>
  <c r="C35"/>
  <c r="A35"/>
  <c r="D34"/>
  <c r="C34"/>
  <c r="A34"/>
  <c r="C33"/>
  <c r="A33"/>
  <c r="C32"/>
  <c r="A32"/>
  <c r="A31"/>
  <c r="D30"/>
  <c r="A30"/>
  <c r="A29"/>
  <c r="A28"/>
  <c r="D27"/>
  <c r="A27"/>
  <c r="A26"/>
  <c r="D25"/>
  <c r="A25"/>
  <c r="D24"/>
  <c r="A24"/>
  <c r="F23"/>
  <c r="B23"/>
  <c r="A23"/>
  <c r="F22"/>
  <c r="E22"/>
  <c r="D22"/>
  <c r="B22"/>
  <c r="A22"/>
  <c r="F21"/>
  <c r="E21"/>
  <c r="D21"/>
  <c r="B21"/>
  <c r="A21"/>
  <c r="C19"/>
  <c r="A19"/>
  <c r="A14"/>
  <c r="D10"/>
  <c r="A8"/>
  <c r="A3"/>
  <c r="A73" i="2"/>
  <c r="A72"/>
  <c r="A71"/>
  <c r="A70"/>
  <c r="A69"/>
  <c r="A68"/>
  <c r="A67"/>
  <c r="A66"/>
  <c r="A65"/>
  <c r="A64"/>
  <c r="A63"/>
  <c r="A62"/>
  <c r="A61"/>
  <c r="D34"/>
  <c r="A33"/>
  <c r="A32"/>
  <c r="A31"/>
  <c r="A30"/>
  <c r="A29"/>
  <c r="A28"/>
  <c r="A27"/>
  <c r="A26"/>
  <c r="A25"/>
  <c r="A24"/>
  <c r="A23"/>
  <c r="A22"/>
  <c r="A21"/>
  <c r="A8"/>
  <c r="E1"/>
  <c r="A54" s="1"/>
  <c r="A1"/>
  <c r="E82" i="1"/>
  <c r="D82"/>
  <c r="A80"/>
  <c r="A79"/>
  <c r="D77"/>
  <c r="B76"/>
  <c r="B75"/>
  <c r="B74"/>
  <c r="B73"/>
  <c r="B72"/>
  <c r="B71"/>
  <c r="B70"/>
  <c r="B69"/>
  <c r="B68"/>
  <c r="B67"/>
  <c r="B66"/>
  <c r="B65"/>
  <c r="B64"/>
  <c r="D63"/>
  <c r="A63"/>
  <c r="D62"/>
  <c r="D48"/>
  <c r="A48"/>
  <c r="E31"/>
  <c r="A31"/>
  <c r="E15"/>
  <c r="D15"/>
  <c r="A13"/>
  <c r="E31" i="17" l="1"/>
  <c r="C31"/>
  <c r="D31"/>
  <c r="D33" s="1"/>
  <c r="G31"/>
  <c r="F43"/>
  <c r="B43"/>
  <c r="B13"/>
  <c r="F31"/>
  <c r="F33" s="1"/>
  <c r="B38"/>
  <c r="D13"/>
  <c r="H16"/>
  <c r="H31" s="1"/>
  <c r="B31"/>
  <c r="B33" s="1"/>
  <c r="H18"/>
  <c r="F13"/>
  <c r="D43"/>
  <c r="B32" i="16"/>
  <c r="B49" i="13"/>
  <c r="C35" s="1"/>
  <c r="C41" s="1"/>
  <c r="C49" s="1"/>
  <c r="K6" i="8"/>
  <c r="F26"/>
  <c r="L26"/>
  <c r="J26"/>
  <c r="I26"/>
  <c r="E38" i="4"/>
  <c r="B59" i="2"/>
  <c r="A7"/>
  <c r="A36"/>
  <c r="A15"/>
  <c r="A52"/>
  <c r="A16"/>
  <c r="A51"/>
  <c r="A58"/>
  <c r="B39" i="14"/>
  <c r="B42" s="1"/>
  <c r="C23"/>
  <c r="C5" i="15"/>
  <c r="B13"/>
  <c r="C5" i="12"/>
  <c r="C26" s="1"/>
  <c r="C35"/>
  <c r="D6" i="16"/>
  <c r="D20" s="1"/>
  <c r="D31" s="1"/>
  <c r="C32"/>
  <c r="D33" i="9"/>
  <c r="A10" i="17"/>
  <c r="G14"/>
  <c r="D38"/>
  <c r="B32" i="15"/>
  <c r="C6"/>
  <c r="C15" s="1"/>
  <c r="C30" s="1"/>
  <c r="B5"/>
  <c r="D5" i="14"/>
  <c r="D29" s="1"/>
  <c r="A40"/>
  <c r="B41"/>
  <c r="B14"/>
  <c r="B21" s="1"/>
  <c r="D34" i="13"/>
  <c r="B16"/>
  <c r="B27" s="1"/>
  <c r="E5" i="12"/>
  <c r="E26" s="1"/>
  <c r="C13"/>
  <c r="C21" s="1"/>
  <c r="B63" i="11"/>
  <c r="C37"/>
  <c r="C47" s="1"/>
  <c r="C60" s="1"/>
  <c r="B32"/>
  <c r="C6"/>
  <c r="C16" s="1"/>
  <c r="C29" s="1"/>
  <c r="D5"/>
  <c r="D36" s="1"/>
  <c r="C27"/>
  <c r="B5"/>
  <c r="B36" s="1"/>
  <c r="B20" i="10"/>
  <c r="C5" s="1"/>
  <c r="C20" s="1"/>
  <c r="D20" s="1"/>
  <c r="D36"/>
  <c r="D74" i="9"/>
  <c r="D79"/>
  <c r="D47"/>
  <c r="B34"/>
  <c r="I6" i="8"/>
  <c r="C7" i="7"/>
  <c r="E28" i="6"/>
  <c r="E9" s="1"/>
  <c r="E7" s="1"/>
  <c r="E20" s="1"/>
  <c r="D27"/>
  <c r="D9" s="1"/>
  <c r="D7" s="1"/>
  <c r="D20" s="1"/>
  <c r="F29"/>
  <c r="F9" s="1"/>
  <c r="F7" s="1"/>
  <c r="F20" s="1"/>
  <c r="G26" i="5"/>
  <c r="G30" s="1"/>
  <c r="G32" s="1"/>
  <c r="J34" s="1"/>
  <c r="J36" s="1"/>
  <c r="J40" s="1"/>
  <c r="B5"/>
  <c r="B13"/>
  <c r="B38"/>
  <c r="B9"/>
  <c r="C14"/>
  <c r="B6"/>
  <c r="B11"/>
  <c r="B18"/>
  <c r="B28"/>
  <c r="A3"/>
  <c r="C15"/>
  <c r="B24"/>
  <c r="F38" i="4"/>
  <c r="D38"/>
  <c r="A9" i="2"/>
  <c r="A19"/>
  <c r="A38"/>
  <c r="A53"/>
  <c r="C59"/>
  <c r="A6"/>
  <c r="A14"/>
  <c r="A46"/>
  <c r="G17" i="3"/>
  <c r="C30" i="14" l="1"/>
  <c r="C34" s="1"/>
  <c r="C39" s="1"/>
  <c r="C42" s="1"/>
  <c r="C32" i="15"/>
  <c r="D6"/>
  <c r="D15" s="1"/>
  <c r="D30" s="1"/>
  <c r="B24" i="14"/>
  <c r="C6"/>
  <c r="C14" s="1"/>
  <c r="C21" s="1"/>
  <c r="B30" i="13"/>
  <c r="C6"/>
  <c r="C16" s="1"/>
  <c r="C27" s="1"/>
  <c r="D35"/>
  <c r="D41" s="1"/>
  <c r="D49" s="1"/>
  <c r="D50" s="1"/>
  <c r="D6" i="12"/>
  <c r="D13" s="1"/>
  <c r="D21" s="1"/>
  <c r="D6" i="11"/>
  <c r="D16" s="1"/>
  <c r="D29" s="1"/>
  <c r="D30" s="1"/>
  <c r="C32"/>
  <c r="C63"/>
  <c r="D37"/>
  <c r="D47" s="1"/>
  <c r="D60" s="1"/>
  <c r="D61" s="1"/>
  <c r="D37" i="10"/>
  <c r="D39" s="1"/>
  <c r="B76" i="9"/>
  <c r="C7" s="1"/>
  <c r="C34" s="1"/>
  <c r="C76" s="1"/>
  <c r="B48"/>
  <c r="D30" i="14" l="1"/>
  <c r="D34" s="1"/>
  <c r="D39" s="1"/>
  <c r="D40" s="1"/>
  <c r="D6"/>
  <c r="D14" s="1"/>
  <c r="D21" s="1"/>
  <c r="D22" s="1"/>
  <c r="C24"/>
  <c r="D6" i="13"/>
  <c r="D16" s="1"/>
  <c r="D27" s="1"/>
  <c r="D28" s="1"/>
  <c r="C30"/>
  <c r="E6" i="12"/>
  <c r="E13" s="1"/>
  <c r="E21" s="1"/>
  <c r="E22" s="1"/>
  <c r="D7" i="9"/>
  <c r="D34" s="1"/>
  <c r="D80" l="1"/>
  <c r="D82" s="1"/>
  <c r="D32" s="1"/>
  <c r="C45" i="12"/>
  <c r="C47"/>
  <c r="D27"/>
  <c r="D37" s="1"/>
  <c r="D45"/>
  <c r="D47"/>
  <c r="E27"/>
  <c r="E37"/>
  <c r="E47" s="1"/>
  <c r="E48" s="1"/>
</calcChain>
</file>

<file path=xl/sharedStrings.xml><?xml version="1.0" encoding="utf-8"?>
<sst xmlns="http://schemas.openxmlformats.org/spreadsheetml/2006/main" count="599" uniqueCount="330">
  <si>
    <t>Input sheet for City1.XLS budget form</t>
  </si>
  <si>
    <t>Enter City Name ( City of )</t>
  </si>
  <si>
    <t>City of Delphos</t>
  </si>
  <si>
    <t>Enter County Name followed by "County"</t>
  </si>
  <si>
    <t>Ottawa County</t>
  </si>
  <si>
    <t>Enter year being budgeted (YYYY)</t>
  </si>
  <si>
    <t>Enter the following information from the sources shown.  This information will be entered on the budget</t>
  </si>
  <si>
    <t>forms in the appropriate locations.  If any of the numbers are wrong, change them on this  input sheet.</t>
  </si>
  <si>
    <t>Note:  All amounts are to be entered in as whole numbers only.</t>
  </si>
  <si>
    <t xml:space="preserve">The input for the following comes directly from </t>
  </si>
  <si>
    <r>
      <rPr>
        <b/>
        <sz val="12"/>
        <color indexed="10"/>
        <rFont val="Times New Roman"/>
        <family val="1"/>
      </rPr>
      <t>*</t>
    </r>
    <r>
      <rPr>
        <b/>
        <sz val="12"/>
        <rFont val="Times New Roman"/>
        <family val="1"/>
      </rPr>
      <t>If amended, then use the amended figures.</t>
    </r>
    <r>
      <rPr>
        <b/>
        <sz val="12"/>
        <color indexed="10"/>
        <rFont val="Times New Roman"/>
        <family val="1"/>
      </rPr>
      <t>*</t>
    </r>
  </si>
  <si>
    <t>Fund Names:</t>
  </si>
  <si>
    <t>Statute</t>
  </si>
  <si>
    <r>
      <rPr>
        <sz val="12"/>
        <color indexed="10"/>
        <rFont val="Times New Roman"/>
        <family val="1"/>
      </rPr>
      <t>*</t>
    </r>
    <r>
      <rPr>
        <sz val="12"/>
        <rFont val="Times New Roman"/>
        <family val="1"/>
      </rPr>
      <t>Expenditures</t>
    </r>
    <r>
      <rPr>
        <sz val="12"/>
        <color indexed="10"/>
        <rFont val="Times New Roman"/>
        <family val="1"/>
      </rPr>
      <t>*</t>
    </r>
  </si>
  <si>
    <t xml:space="preserve">Ad Valorem Tax </t>
  </si>
  <si>
    <t>General</t>
  </si>
  <si>
    <t>12-101a</t>
  </si>
  <si>
    <t>Debt Service</t>
  </si>
  <si>
    <t>10-113</t>
  </si>
  <si>
    <t>Library</t>
  </si>
  <si>
    <t>12-1220</t>
  </si>
  <si>
    <t>Fund name for all other funds with a tax levy:</t>
  </si>
  <si>
    <t>Other (non-tax levy) fund names:</t>
  </si>
  <si>
    <t>Special Highway</t>
  </si>
  <si>
    <t>Special Park &amp; Rec</t>
  </si>
  <si>
    <t>Equipment Reserve</t>
  </si>
  <si>
    <t>Water Utility</t>
  </si>
  <si>
    <t>Sewer Utility</t>
  </si>
  <si>
    <t>Refuse</t>
  </si>
  <si>
    <t>Community Improvement</t>
  </si>
  <si>
    <t>Water Reserve</t>
  </si>
  <si>
    <t>Single Non Tax Levy:</t>
  </si>
  <si>
    <t>Sewer Reserve</t>
  </si>
  <si>
    <t>Sewer Project P &amp; I</t>
  </si>
  <si>
    <t>Non-Budgeted (A):</t>
  </si>
  <si>
    <t>Non-Budgeted (B)</t>
  </si>
  <si>
    <t>Total</t>
  </si>
  <si>
    <t>Outstanding Indebtedness, January 1:</t>
  </si>
  <si>
    <t xml:space="preserve">  G.O. Bonds</t>
  </si>
  <si>
    <t xml:space="preserve">  Revenue Bonds</t>
  </si>
  <si>
    <t xml:space="preserve">  Other</t>
  </si>
  <si>
    <t xml:space="preserve">  Lease Purchase Principal</t>
  </si>
  <si>
    <t>Territory Added: (Current Year Only)</t>
  </si>
  <si>
    <t xml:space="preserve">  Real Estate</t>
  </si>
  <si>
    <t xml:space="preserve">  State Assessed</t>
  </si>
  <si>
    <t xml:space="preserve">  New Improvements</t>
  </si>
  <si>
    <t>Neighborhood Revitalization</t>
  </si>
  <si>
    <t>Fund</t>
  </si>
  <si>
    <t>Rate</t>
  </si>
  <si>
    <t>Motor Vehicle Tax Estimate</t>
  </si>
  <si>
    <t>Recreational Vehicle Tax Estimate</t>
  </si>
  <si>
    <t>16\20 M Vehicle Tax</t>
  </si>
  <si>
    <t>LAVTR</t>
  </si>
  <si>
    <t>City and County Revenue Sharing</t>
  </si>
  <si>
    <t xml:space="preserve">   </t>
  </si>
  <si>
    <t>Computation of Delinquency</t>
  </si>
  <si>
    <t>Delinquency % used in this budget will be shown on all fund pages with a tax levy**</t>
  </si>
  <si>
    <r>
      <t>**</t>
    </r>
    <r>
      <rPr>
        <b/>
        <u/>
        <sz val="12"/>
        <rFont val="Times New Roman"/>
        <family val="1"/>
      </rPr>
      <t>Note</t>
    </r>
    <r>
      <rPr>
        <sz val="12"/>
        <rFont val="Times New Roman"/>
        <family val="1"/>
      </rPr>
      <t>: The delinquency rate can be up to 5% more than the actual delinquency rate from the previous year.</t>
    </r>
  </si>
  <si>
    <t>From the League of Municipalities' Budget Tips (Special City and County Highway Fund):</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</si>
  <si>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</si>
  <si>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</si>
  <si>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Funds</t>
  </si>
  <si>
    <t>Budget Authority</t>
  </si>
  <si>
    <t xml:space="preserve">expenditure amounts should reflect the amended </t>
  </si>
  <si>
    <t>expenditure amounts.</t>
  </si>
  <si>
    <t>This tab will put the date and time and location of the budget hearing on the Budget Summary page.  Also, provide the location where as the budget can be reveiwed.  Please input information in the green areas.</t>
  </si>
  <si>
    <t>Official Name:</t>
  </si>
  <si>
    <t>Karen K. Kiser</t>
  </si>
  <si>
    <t>Official Title:</t>
  </si>
  <si>
    <t>City Clerk</t>
  </si>
  <si>
    <t>Must be at least 10 days between date published and hearing held.</t>
  </si>
  <si>
    <t>Date:</t>
  </si>
  <si>
    <t>August 13, 2012</t>
  </si>
  <si>
    <t>Time:</t>
  </si>
  <si>
    <t>6:30pm</t>
  </si>
  <si>
    <t>Location:</t>
  </si>
  <si>
    <t>City Hall</t>
  </si>
  <si>
    <t>Available at:</t>
  </si>
  <si>
    <t>Examples</t>
  </si>
  <si>
    <t>City Clerk, City Treasurer, Mayor</t>
  </si>
  <si>
    <t>August 12, 2010</t>
  </si>
  <si>
    <t>7:00 PM or 7:00 AM</t>
  </si>
  <si>
    <t>CERTIFICATE</t>
  </si>
  <si>
    <t>We, the undersigned, officers of</t>
  </si>
  <si>
    <t>certify that: (1) the hearing mentioned in the attached publication was held;</t>
  </si>
  <si>
    <t>(2) after the Budget Hearing this budget was duly approved and adopted as the</t>
  </si>
  <si>
    <t xml:space="preserve"> </t>
  </si>
  <si>
    <t>Amount of</t>
  </si>
  <si>
    <t>County</t>
  </si>
  <si>
    <t>Page</t>
  </si>
  <si>
    <t>Clerk's</t>
  </si>
  <si>
    <t>Table of Contents:</t>
  </si>
  <si>
    <t>No.</t>
  </si>
  <si>
    <t>for Expenditures</t>
  </si>
  <si>
    <t>Valorem Tax</t>
  </si>
  <si>
    <t>Use Only</t>
  </si>
  <si>
    <t>Allocation of MVT, RVT, and 16/20M Vehicle Tax</t>
  </si>
  <si>
    <t>Schedule of Transfers</t>
  </si>
  <si>
    <t>Statement of Indebtedness</t>
  </si>
  <si>
    <t>Statement of Lease-Purchases</t>
  </si>
  <si>
    <t>K.S.A.</t>
  </si>
  <si>
    <t xml:space="preserve">Totals </t>
  </si>
  <si>
    <t>x</t>
  </si>
  <si>
    <t>County Clerk's Use Only</t>
  </si>
  <si>
    <t>Neighborhood Revitalization Rebate</t>
  </si>
  <si>
    <t>Assisted by:</t>
  </si>
  <si>
    <t>________________________    ___________________________</t>
  </si>
  <si>
    <t>Attest: _____________________,</t>
  </si>
  <si>
    <t>County Clerk</t>
  </si>
  <si>
    <t>Governing Body</t>
  </si>
  <si>
    <t>Steve Seawall</t>
  </si>
  <si>
    <t>Custom Micro Works</t>
  </si>
  <si>
    <t>15104 NW 94 Road</t>
  </si>
  <si>
    <t>Topeka, KS 66618-9532</t>
  </si>
  <si>
    <t>Amount of Levy</t>
  </si>
  <si>
    <t xml:space="preserve"> 1.</t>
  </si>
  <si>
    <t>+</t>
  </si>
  <si>
    <t>$</t>
  </si>
  <si>
    <t xml:space="preserve"> 2.</t>
  </si>
  <si>
    <t>-</t>
  </si>
  <si>
    <t xml:space="preserve">  3.</t>
  </si>
  <si>
    <t>Tax Levy Excluding Debt Service</t>
  </si>
  <si>
    <t xml:space="preserve"> 4.</t>
  </si>
  <si>
    <t xml:space="preserve"> 5.</t>
  </si>
  <si>
    <t>5a.</t>
  </si>
  <si>
    <t>5b.</t>
  </si>
  <si>
    <t>5c.</t>
  </si>
  <si>
    <t>Increase in Personal Property (5a minus 5b)</t>
  </si>
  <si>
    <t>(Use Only if &gt; 0)</t>
  </si>
  <si>
    <t>6.</t>
  </si>
  <si>
    <t>6a.</t>
  </si>
  <si>
    <t>Real Estate</t>
  </si>
  <si>
    <t>6b.</t>
  </si>
  <si>
    <t>State Assessed</t>
  </si>
  <si>
    <t>6c.</t>
  </si>
  <si>
    <t>New Improvements</t>
  </si>
  <si>
    <t>6d.</t>
  </si>
  <si>
    <t>Total Adjustment (Sum of 6a, 6b, and 6c)</t>
  </si>
  <si>
    <t>7.</t>
  </si>
  <si>
    <t>8.</t>
  </si>
  <si>
    <t>9.</t>
  </si>
  <si>
    <t>10.</t>
  </si>
  <si>
    <t>Total Valuation less Valuation Adjustment (9 minus 8)</t>
  </si>
  <si>
    <t>11.</t>
  </si>
  <si>
    <t>Factor for Increase (8 divided by 10)</t>
  </si>
  <si>
    <t>12.</t>
  </si>
  <si>
    <t>Amount of Increase (11 times 3)</t>
  </si>
  <si>
    <t>13.</t>
  </si>
  <si>
    <t>Maximum Tax Levy, excluding debt service, without an Ordinance (3 plus 12)</t>
  </si>
  <si>
    <t>14.</t>
  </si>
  <si>
    <t>15.</t>
  </si>
  <si>
    <t>Maximum levy, including debt service, without an Ordinance (13 plus 14)</t>
  </si>
  <si>
    <t xml:space="preserve">adopt an ordinance to exceed this limit, publish the ordinance, and </t>
  </si>
  <si>
    <t>attach a copy of the published ordinance to this budget.</t>
  </si>
  <si>
    <t xml:space="preserve">Allocation of Motor, Recreational, 16/20M Vehicle Tax </t>
  </si>
  <si>
    <t>Budgeted Funds</t>
  </si>
  <si>
    <t xml:space="preserve">Budget Tax Levy </t>
  </si>
  <si>
    <t>MVT</t>
  </si>
  <si>
    <t>RVT</t>
  </si>
  <si>
    <t>16/20M Veh</t>
  </si>
  <si>
    <t>TOTAL</t>
  </si>
  <si>
    <t>County Treas Motor Vehicle Estimate</t>
  </si>
  <si>
    <t>County Treasurers Recreational Vehicle Estimate</t>
  </si>
  <si>
    <t>County Treasurers 16/20M Vehicle Estimate</t>
  </si>
  <si>
    <t>Motor Vehicle Factor</t>
  </si>
  <si>
    <t>Recreational Vehicle Factor</t>
  </si>
  <si>
    <t>16/20M Vehicle Factor</t>
  </si>
  <si>
    <t>Expenditure</t>
  </si>
  <si>
    <t>Receipt</t>
  </si>
  <si>
    <t>Actual</t>
  </si>
  <si>
    <t>Current</t>
  </si>
  <si>
    <t>Proposed</t>
  </si>
  <si>
    <t>Transfers</t>
  </si>
  <si>
    <t xml:space="preserve">Fund Transferred </t>
  </si>
  <si>
    <t>Fund Transferred</t>
  </si>
  <si>
    <t>Amount for</t>
  </si>
  <si>
    <t>Authorized by</t>
  </si>
  <si>
    <t>From:</t>
  </si>
  <si>
    <t>To:</t>
  </si>
  <si>
    <t xml:space="preserve"> Statute</t>
  </si>
  <si>
    <t>KSA 12-1,117</t>
  </si>
  <si>
    <t>KSA 12-825d</t>
  </si>
  <si>
    <t>Totals</t>
  </si>
  <si>
    <r>
      <t>Adjustments</t>
    </r>
    <r>
      <rPr>
        <b/>
        <sz val="12"/>
        <color indexed="10"/>
        <rFont val="Times New Roman"/>
        <family val="1"/>
      </rPr>
      <t>*</t>
    </r>
  </si>
  <si>
    <t>Adjusted Totals</t>
  </si>
  <si>
    <t>STATEMENT OF INDEBTEDNESS</t>
  </si>
  <si>
    <t>Date</t>
  </si>
  <si>
    <t>Interest</t>
  </si>
  <si>
    <t>Beginning Amount</t>
  </si>
  <si>
    <t xml:space="preserve">   Amount Due</t>
  </si>
  <si>
    <t xml:space="preserve">Type of </t>
  </si>
  <si>
    <t>of</t>
  </si>
  <si>
    <t xml:space="preserve">of </t>
  </si>
  <si>
    <t>Amount</t>
  </si>
  <si>
    <t>Outstanding</t>
  </si>
  <si>
    <t xml:space="preserve">  Date Due</t>
  </si>
  <si>
    <t xml:space="preserve"> Debt</t>
  </si>
  <si>
    <t>Issue</t>
  </si>
  <si>
    <t>Retirement</t>
  </si>
  <si>
    <t>%</t>
  </si>
  <si>
    <t>Issued</t>
  </si>
  <si>
    <t>Principal</t>
  </si>
  <si>
    <t>General Obligation:</t>
  </si>
  <si>
    <t>Temporary Notes</t>
  </si>
  <si>
    <t>Total G.O. Bonds</t>
  </si>
  <si>
    <t>Revenue Bonds:</t>
  </si>
  <si>
    <t>Total Revenue Bonds</t>
  </si>
  <si>
    <t>Other:</t>
  </si>
  <si>
    <t>KS Water Pollution</t>
  </si>
  <si>
    <t>3/10 &amp; 9/10</t>
  </si>
  <si>
    <t xml:space="preserve">Total Other </t>
  </si>
  <si>
    <t>Total Indebtedness</t>
  </si>
  <si>
    <t>FUND PAGE FOR FUNDS WITH A TAX LEVY</t>
  </si>
  <si>
    <t>Adopted Budget</t>
  </si>
  <si>
    <t xml:space="preserve">Prior Year </t>
  </si>
  <si>
    <t xml:space="preserve">Current Year </t>
  </si>
  <si>
    <t xml:space="preserve">Proposed Budget </t>
  </si>
  <si>
    <t>Unencumbered Cash Balance Jan 1</t>
  </si>
  <si>
    <t>Receipts:</t>
  </si>
  <si>
    <t>Ad Valorem Tax</t>
  </si>
  <si>
    <t>Delinquent Tax</t>
  </si>
  <si>
    <t>Motor Vehicle Tax</t>
  </si>
  <si>
    <t>Recreational Vehicle Tax</t>
  </si>
  <si>
    <t>16/20M Vehicle Tax</t>
  </si>
  <si>
    <t>Gross Earning (Intangible) Tax</t>
  </si>
  <si>
    <t>Sales Tax</t>
  </si>
  <si>
    <t>Franchise Tax</t>
  </si>
  <si>
    <t>Licenses &amp; Permits</t>
  </si>
  <si>
    <t>Court Fees</t>
  </si>
  <si>
    <t>Fines &amp; Forfeitures</t>
  </si>
  <si>
    <t>Rents</t>
  </si>
  <si>
    <t>Interest Income</t>
  </si>
  <si>
    <t>Charges for services</t>
  </si>
  <si>
    <t>Gifts &amp; Donations</t>
  </si>
  <si>
    <t>Reimbursed Expense</t>
  </si>
  <si>
    <t>Miscellaneous</t>
  </si>
  <si>
    <t>In Lieu of Taxes (IRB)</t>
  </si>
  <si>
    <t>Interest on Idle Funds</t>
  </si>
  <si>
    <t>Does miscellaneous exceed 10% Total Rec</t>
  </si>
  <si>
    <t>Total Receipts</t>
  </si>
  <si>
    <t>Resources Available:</t>
  </si>
  <si>
    <t>Page No.</t>
  </si>
  <si>
    <t>FUND PAGE - GENERAL</t>
  </si>
  <si>
    <t>Expenditures:</t>
  </si>
  <si>
    <t>General Government -Personal Services</t>
  </si>
  <si>
    <t>Contractual Services</t>
  </si>
  <si>
    <t>Materials and Supplies</t>
  </si>
  <si>
    <t>Capital Outlay</t>
  </si>
  <si>
    <t>Other/Misc.</t>
  </si>
  <si>
    <t>Municipal Court-Personal Services</t>
  </si>
  <si>
    <t>Police-Personal Services</t>
  </si>
  <si>
    <t>Fire-Personal Services</t>
  </si>
  <si>
    <t>Streets-Contractual Services</t>
  </si>
  <si>
    <t>Transfer To Equip. Res.</t>
  </si>
  <si>
    <t>Does miscellaneous exceed 10% Total Exp</t>
  </si>
  <si>
    <t>Total Expenditures</t>
  </si>
  <si>
    <t>Unencumbered Cash Balance Dec 31</t>
  </si>
  <si>
    <t>Non-Appropriated Balance</t>
  </si>
  <si>
    <t>Total Expenditure/Non-Appr Balance</t>
  </si>
  <si>
    <t>Tax Required</t>
  </si>
  <si>
    <t>Delinquent Comp Rate:</t>
  </si>
  <si>
    <t>Appropriaton to Library</t>
  </si>
  <si>
    <t>Prior Year</t>
  </si>
  <si>
    <t>Actual 2011</t>
  </si>
  <si>
    <t>Current Year</t>
  </si>
  <si>
    <t>Estimate 2012</t>
  </si>
  <si>
    <t>Budget 2013</t>
  </si>
  <si>
    <t>FUND PAGE FOR FUNDS WITH NO TAX LEVY</t>
  </si>
  <si>
    <t>Proposed Budget</t>
  </si>
  <si>
    <t>State of Kansas Gas Tax</t>
  </si>
  <si>
    <t>County Transfers Gas</t>
  </si>
  <si>
    <t>Streets - Materials and Supplies</t>
  </si>
  <si>
    <t>Personal Service</t>
  </si>
  <si>
    <t>Transfer from General Fund</t>
  </si>
  <si>
    <t>Mower</t>
  </si>
  <si>
    <t>Charge for Services</t>
  </si>
  <si>
    <t>Utility Sales</t>
  </si>
  <si>
    <t>Utility Sales Tax</t>
  </si>
  <si>
    <t>Personal Services</t>
  </si>
  <si>
    <t>Transfer to Water Reserve</t>
  </si>
  <si>
    <t>Sewer Service Fees</t>
  </si>
  <si>
    <t>Transfer to Sewer Reserve</t>
  </si>
  <si>
    <t>Transfer to Sewer Project</t>
  </si>
  <si>
    <t>Trash Service Fees</t>
  </si>
  <si>
    <t>Transfer from Water</t>
  </si>
  <si>
    <t>Transfer from Sewer</t>
  </si>
  <si>
    <t>Loan Principal</t>
  </si>
  <si>
    <t>Loan Interest</t>
  </si>
  <si>
    <t>Sewer Project</t>
  </si>
  <si>
    <t>NOTICE OF BUDGET HEARING</t>
  </si>
  <si>
    <t xml:space="preserve">The governing body of </t>
  </si>
  <si>
    <t>hearing and answering objections of taxpayers relating to the proposed use of all funds and the amount of ad valorem tax.</t>
  </si>
  <si>
    <t>BUDGET SUMMARY</t>
  </si>
  <si>
    <t>Estimated Tax Rate is subject to change depending on the final assessed valuation.</t>
  </si>
  <si>
    <t>Estimate</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</si>
  <si>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</si>
  <si>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</si>
  <si>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</si>
  <si>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</si>
  <si>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</si>
  <si>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</si>
  <si>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</si>
  <si>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</si>
  <si>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</si>
  <si>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</si>
  <si>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</si>
  <si>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</si>
  <si>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Other</t>
  </si>
  <si>
    <t>Lease Purchase Principal</t>
  </si>
  <si>
    <t xml:space="preserve">     Total</t>
  </si>
  <si>
    <t xml:space="preserve">  *Tax rates are expressed in mills</t>
  </si>
  <si>
    <t>City Official Title:</t>
  </si>
  <si>
    <t>Page No. 1.1</t>
  </si>
  <si>
    <t>Page 2</t>
  </si>
  <si>
    <t>Page 3</t>
  </si>
  <si>
    <t>Page 4</t>
  </si>
  <si>
    <t>Page 5</t>
  </si>
  <si>
    <t xml:space="preserve">Page </t>
  </si>
  <si>
    <t>Nov 1,  Total Assessed Valuation</t>
  </si>
  <si>
    <t>(3) the Amount of Ad Valorem Tax are within statutory limitations.</t>
  </si>
  <si>
    <t>______________</t>
  </si>
  <si>
    <t>__________________________</t>
  </si>
  <si>
    <r>
      <t xml:space="preserve">Total Valuation Adjustment </t>
    </r>
    <r>
      <rPr>
        <sz val="10"/>
        <rFont val="Times New Roman"/>
        <family val="1"/>
      </rPr>
      <t>(Sum of 4, 5c, 6d &amp;7)</t>
    </r>
  </si>
  <si>
    <t>Page 9</t>
  </si>
  <si>
    <t>Page 10</t>
  </si>
  <si>
    <t>Page 11</t>
  </si>
  <si>
    <t>Page 12</t>
  </si>
  <si>
    <t>Page 14</t>
  </si>
  <si>
    <t>Page 15</t>
  </si>
  <si>
    <t>Page 16</t>
  </si>
</sst>
</file>

<file path=xl/styles.xml><?xml version="1.0" encoding="utf-8"?>
<styleSheet xmlns="http://schemas.openxmlformats.org/spreadsheetml/2006/main">
  <numFmts count="16">
    <numFmt numFmtId="43" formatCode="_(* #,##0.00_);_(* \(#,##0.00\);_(* &quot;-&quot;??_);_(@_)"/>
    <numFmt numFmtId="164" formatCode="0.000"/>
    <numFmt numFmtId="165" formatCode="0.000_)"/>
    <numFmt numFmtId="166" formatCode="0.0%"/>
    <numFmt numFmtId="167" formatCode="0.000%"/>
    <numFmt numFmtId="168" formatCode="[$-409]mmmm\ d\,\ yyyy;@"/>
    <numFmt numFmtId="169" formatCode="[$-409]h:mm\ AM/PM;@"/>
    <numFmt numFmtId="170" formatCode="#,###"/>
    <numFmt numFmtId="171" formatCode="#,##0.000"/>
    <numFmt numFmtId="172" formatCode="_(* #,##0_);_(* \(#,##0\);_(* &quot;-&quot;??_);_(@_)"/>
    <numFmt numFmtId="173" formatCode="0.00000"/>
    <numFmt numFmtId="174" formatCode="0_)"/>
    <numFmt numFmtId="175" formatCode="0.00000_)"/>
    <numFmt numFmtId="176" formatCode="m/d"/>
    <numFmt numFmtId="177" formatCode="m/d/yy"/>
    <numFmt numFmtId="178" formatCode="#,##0.0_);\(#,##0.0\)"/>
  </numFmts>
  <fonts count="37">
    <font>
      <sz val="11"/>
      <color theme="1"/>
      <name val="Calibri"/>
      <family val="2"/>
      <scheme val="minor"/>
    </font>
    <font>
      <sz val="11"/>
      <color theme="1"/>
      <name val="Calibri"/>
      <family val="2"/>
      <scheme val="minor"/>
    </font>
    <font>
      <b/>
      <u/>
      <sz val="12"/>
      <name val="Times New Roman"/>
      <family val="1"/>
    </font>
    <font>
      <sz val="12"/>
      <name val="Times New Roman"/>
      <family val="1"/>
    </font>
    <font>
      <b/>
      <sz val="12"/>
      <name val="Times New Roman"/>
      <family val="1"/>
    </font>
    <font>
      <b/>
      <u/>
      <sz val="12"/>
      <color indexed="10"/>
      <name val="Times New Roman"/>
      <family val="1"/>
    </font>
    <font>
      <b/>
      <u/>
      <sz val="12"/>
      <name val="Courier"/>
      <family val="3"/>
    </font>
    <font>
      <u/>
      <sz val="12"/>
      <name val="Times New Roman"/>
      <family val="1"/>
    </font>
    <font>
      <b/>
      <sz val="12"/>
      <color indexed="10"/>
      <name val="Times New Roman"/>
      <family val="1"/>
    </font>
    <font>
      <sz val="12"/>
      <color indexed="10"/>
      <name val="Times New Roman"/>
      <family val="1"/>
    </font>
    <font>
      <b/>
      <sz val="12"/>
      <name val="Courier"/>
    </font>
    <font>
      <sz val="12"/>
      <color indexed="10"/>
      <name val="Courier"/>
      <family val="3"/>
    </font>
    <font>
      <sz val="12"/>
      <name val="Courier New"/>
      <family val="3"/>
    </font>
    <font>
      <sz val="12"/>
      <name val="Courier"/>
      <family val="3"/>
    </font>
    <font>
      <sz val="8"/>
      <name val="Times New Roman"/>
      <family val="1"/>
    </font>
    <font>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1"/>
      <name val="Times New Roman"/>
      <family val="1"/>
    </font>
    <font>
      <b/>
      <sz val="12"/>
      <color rgb="FFFF0000"/>
      <name val="Times New Roman"/>
      <family val="1"/>
    </font>
    <font>
      <u/>
      <sz val="12"/>
      <color indexed="12"/>
      <name val="Courier"/>
      <family val="3"/>
    </font>
    <font>
      <b/>
      <sz val="10"/>
      <name val="Times New Roman"/>
      <family val="1"/>
    </font>
    <font>
      <sz val="10"/>
      <name val="Times New Roman"/>
      <family val="1"/>
    </font>
    <font>
      <sz val="10"/>
      <color theme="1"/>
      <name val="Calibri"/>
      <family val="2"/>
      <scheme val="minor"/>
    </font>
    <font>
      <b/>
      <u/>
      <sz val="10"/>
      <name val="Times New Roman"/>
      <family val="1"/>
    </font>
    <font>
      <b/>
      <sz val="10"/>
      <name val="Courier"/>
      <family val="3"/>
    </font>
    <font>
      <sz val="10"/>
      <color indexed="10"/>
      <name val="Times New Roman"/>
      <family val="1"/>
    </font>
    <font>
      <b/>
      <u/>
      <sz val="10"/>
      <color indexed="10"/>
      <name val="Times New Roman"/>
      <family val="1"/>
    </font>
    <font>
      <b/>
      <sz val="11"/>
      <name val="Times New Roman"/>
      <family val="1"/>
    </font>
    <font>
      <sz val="11"/>
      <color indexed="10"/>
      <name val="Times New Roman"/>
      <family val="1"/>
    </font>
    <font>
      <b/>
      <u/>
      <sz val="11"/>
      <color indexed="10"/>
      <name val="Times New Roman"/>
      <family val="1"/>
    </font>
    <font>
      <b/>
      <sz val="8"/>
      <name val="Times New Roman"/>
      <family val="1"/>
    </font>
    <font>
      <b/>
      <u/>
      <sz val="8"/>
      <name val="Times New Roman"/>
      <family val="1"/>
    </font>
    <font>
      <sz val="8"/>
      <color theme="1"/>
      <name val="Calibri"/>
      <family val="2"/>
      <scheme val="minor"/>
    </font>
    <font>
      <u/>
      <sz val="10"/>
      <name val="Times New Roman"/>
      <family val="1"/>
    </font>
  </fonts>
  <fills count="13">
    <fill>
      <patternFill patternType="none"/>
    </fill>
    <fill>
      <patternFill patternType="gray125"/>
    </fill>
    <fill>
      <patternFill patternType="solid">
        <fgColor indexed="26"/>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1"/>
      </patternFill>
    </fill>
    <fill>
      <patternFill patternType="solid">
        <fgColor indexed="43"/>
        <bgColor indexed="64"/>
      </patternFill>
    </fill>
    <fill>
      <patternFill patternType="solid">
        <fgColor rgb="FFFFFFC0"/>
        <bgColor indexed="64"/>
      </patternFill>
    </fill>
    <fill>
      <patternFill patternType="solid">
        <fgColor indexed="10"/>
        <bgColor indexed="64"/>
      </patternFill>
    </fill>
    <fill>
      <patternFill patternType="solid">
        <fgColor rgb="FFFFFF99"/>
        <bgColor indexed="64"/>
      </patternFill>
    </fill>
    <fill>
      <patternFill patternType="solid">
        <fgColor rgb="FFFFFFCC"/>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s>
  <cellStyleXfs count="9">
    <xf numFmtId="0" fontId="0" fillId="0" borderId="0"/>
    <xf numFmtId="43" fontId="1"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22" fillId="0" borderId="0" applyNumberFormat="0" applyFill="0" applyBorder="0" applyAlignment="0" applyProtection="0">
      <alignment vertical="top"/>
      <protection locked="0"/>
    </xf>
    <xf numFmtId="0" fontId="13" fillId="0" borderId="0"/>
  </cellStyleXfs>
  <cellXfs count="531">
    <xf numFmtId="0" fontId="0" fillId="0" borderId="0" xfId="0"/>
    <xf numFmtId="37" fontId="2" fillId="2" borderId="0" xfId="0" applyNumberFormat="1" applyFont="1" applyFill="1" applyAlignment="1" applyProtection="1">
      <alignment horizontal="left" vertical="center"/>
    </xf>
    <xf numFmtId="0" fontId="3" fillId="2" borderId="0" xfId="0" applyFont="1" applyFill="1" applyAlignment="1" applyProtection="1">
      <alignment vertical="center"/>
    </xf>
    <xf numFmtId="37" fontId="4" fillId="2" borderId="0" xfId="0" applyNumberFormat="1" applyFont="1" applyFill="1" applyAlignment="1" applyProtection="1">
      <alignment horizontal="left" vertical="center"/>
    </xf>
    <xf numFmtId="37" fontId="3" fillId="3" borderId="1" xfId="0" applyNumberFormat="1" applyFont="1" applyFill="1" applyBorder="1" applyAlignment="1" applyProtection="1">
      <alignment horizontal="left" vertical="center"/>
      <protection locked="0"/>
    </xf>
    <xf numFmtId="0" fontId="3" fillId="3" borderId="1" xfId="0" applyFont="1" applyFill="1" applyBorder="1" applyAlignment="1" applyProtection="1">
      <alignment vertical="center"/>
    </xf>
    <xf numFmtId="37" fontId="3" fillId="3" borderId="2" xfId="0" applyNumberFormat="1" applyFont="1" applyFill="1" applyBorder="1" applyAlignment="1" applyProtection="1">
      <alignment horizontal="left" vertical="center"/>
      <protection locked="0"/>
    </xf>
    <xf numFmtId="0" fontId="3" fillId="3" borderId="2" xfId="0" applyFont="1" applyFill="1" applyBorder="1" applyAlignment="1" applyProtection="1">
      <alignment vertical="center"/>
    </xf>
    <xf numFmtId="37" fontId="3" fillId="2" borderId="0" xfId="0" applyNumberFormat="1" applyFont="1" applyFill="1" applyAlignment="1" applyProtection="1">
      <alignment horizontal="left" vertical="center"/>
    </xf>
    <xf numFmtId="37" fontId="3" fillId="2" borderId="0" xfId="0" applyNumberFormat="1" applyFont="1" applyFill="1" applyAlignment="1" applyProtection="1">
      <alignment horizontal="left" vertical="center"/>
      <protection locked="0"/>
    </xf>
    <xf numFmtId="0" fontId="4" fillId="3" borderId="3" xfId="0" applyFont="1" applyFill="1" applyBorder="1" applyAlignment="1" applyProtection="1">
      <alignment horizontal="center" vertical="center"/>
      <protection locked="0"/>
    </xf>
    <xf numFmtId="0" fontId="3" fillId="2" borderId="0" xfId="0" applyFont="1" applyFill="1" applyAlignment="1" applyProtection="1">
      <alignment horizontal="centerContinuous" vertical="center"/>
    </xf>
    <xf numFmtId="37" fontId="3" fillId="2" borderId="0" xfId="0" applyNumberFormat="1" applyFont="1" applyFill="1" applyAlignment="1" applyProtection="1">
      <alignment horizontal="centerContinuous" vertical="center"/>
    </xf>
    <xf numFmtId="37" fontId="5" fillId="2" borderId="0" xfId="0" applyNumberFormat="1" applyFont="1" applyFill="1" applyAlignment="1" applyProtection="1">
      <alignment horizontal="center" vertical="center"/>
    </xf>
    <xf numFmtId="0" fontId="4" fillId="4" borderId="0" xfId="0" applyFont="1" applyFill="1" applyAlignment="1" applyProtection="1">
      <alignment vertical="center"/>
    </xf>
    <xf numFmtId="0" fontId="3" fillId="4" borderId="0" xfId="0" applyFont="1" applyFill="1" applyAlignment="1" applyProtection="1">
      <alignment vertical="center"/>
    </xf>
    <xf numFmtId="37" fontId="4" fillId="5" borderId="0" xfId="0" applyNumberFormat="1" applyFont="1" applyFill="1" applyAlignment="1" applyProtection="1">
      <alignment horizontal="left" vertical="center"/>
    </xf>
    <xf numFmtId="0" fontId="3" fillId="5" borderId="0" xfId="0" applyFont="1" applyFill="1" applyAlignment="1" applyProtection="1">
      <alignment vertical="center"/>
    </xf>
    <xf numFmtId="0" fontId="7" fillId="2" borderId="0" xfId="0" applyFont="1" applyFill="1" applyAlignment="1" applyProtection="1">
      <alignment horizontal="center" vertical="center"/>
    </xf>
    <xf numFmtId="0" fontId="4" fillId="2" borderId="0" xfId="0" applyFont="1" applyFill="1" applyAlignment="1" applyProtection="1">
      <alignment vertical="center"/>
    </xf>
    <xf numFmtId="0" fontId="7" fillId="4" borderId="4" xfId="0" applyFont="1" applyFill="1" applyBorder="1" applyAlignment="1" applyProtection="1">
      <alignment horizontal="center" vertical="center"/>
      <protection locked="0"/>
    </xf>
    <xf numFmtId="0" fontId="7" fillId="6" borderId="4" xfId="0" applyFont="1" applyFill="1" applyBorder="1" applyAlignment="1" applyProtection="1">
      <alignment horizontal="center" vertical="center"/>
    </xf>
    <xf numFmtId="37" fontId="3" fillId="2" borderId="0" xfId="0" applyNumberFormat="1" applyFont="1" applyFill="1" applyAlignment="1" applyProtection="1">
      <alignment horizontal="center" vertical="center"/>
    </xf>
    <xf numFmtId="0" fontId="3" fillId="4" borderId="5" xfId="0" applyFont="1" applyFill="1" applyBorder="1" applyAlignment="1" applyProtection="1">
      <alignment horizontal="center" vertical="center"/>
      <protection locked="0"/>
    </xf>
    <xf numFmtId="37" fontId="3" fillId="6" borderId="5" xfId="0" applyNumberFormat="1" applyFont="1" applyFill="1" applyBorder="1" applyAlignment="1" applyProtection="1">
      <alignment horizontal="center" vertical="center" wrapText="1"/>
    </xf>
    <xf numFmtId="37" fontId="3" fillId="2" borderId="3" xfId="0" applyNumberFormat="1" applyFont="1" applyFill="1" applyBorder="1" applyAlignment="1" applyProtection="1">
      <alignment horizontal="left" vertical="center"/>
    </xf>
    <xf numFmtId="0" fontId="3" fillId="2" borderId="3" xfId="0" applyFont="1" applyFill="1" applyBorder="1" applyAlignment="1" applyProtection="1">
      <alignment horizontal="center" vertical="center"/>
    </xf>
    <xf numFmtId="3" fontId="3" fillId="3" borderId="3" xfId="0" applyNumberFormat="1" applyFont="1" applyFill="1" applyBorder="1" applyAlignment="1" applyProtection="1">
      <alignment vertical="center"/>
      <protection locked="0"/>
    </xf>
    <xf numFmtId="3" fontId="3" fillId="7" borderId="3" xfId="0" applyNumberFormat="1" applyFont="1" applyFill="1" applyBorder="1" applyAlignment="1" applyProtection="1">
      <alignment vertical="center"/>
      <protection locked="0"/>
    </xf>
    <xf numFmtId="3" fontId="3" fillId="2" borderId="0" xfId="0" applyNumberFormat="1" applyFont="1" applyFill="1" applyAlignment="1" applyProtection="1">
      <alignment vertical="center"/>
    </xf>
    <xf numFmtId="164" fontId="3" fillId="2" borderId="0" xfId="0" applyNumberFormat="1" applyFont="1" applyFill="1" applyBorder="1" applyAlignment="1" applyProtection="1">
      <alignment vertical="center"/>
    </xf>
    <xf numFmtId="0" fontId="3" fillId="3" borderId="3" xfId="0" applyFont="1" applyFill="1" applyBorder="1" applyAlignment="1" applyProtection="1">
      <alignment vertical="center"/>
      <protection locked="0"/>
    </xf>
    <xf numFmtId="49" fontId="3" fillId="3" borderId="3" xfId="0" applyNumberFormat="1" applyFont="1" applyFill="1" applyBorder="1" applyAlignment="1" applyProtection="1">
      <alignment vertical="center"/>
      <protection locked="0"/>
    </xf>
    <xf numFmtId="0" fontId="3" fillId="7" borderId="3" xfId="0" applyFont="1" applyFill="1" applyBorder="1" applyAlignment="1" applyProtection="1">
      <alignment vertical="center"/>
      <protection locked="0"/>
    </xf>
    <xf numFmtId="49" fontId="3" fillId="7" borderId="3" xfId="0" applyNumberFormat="1" applyFont="1" applyFill="1" applyBorder="1" applyAlignment="1" applyProtection="1">
      <alignment vertical="center"/>
      <protection locked="0"/>
    </xf>
    <xf numFmtId="37" fontId="3" fillId="2" borderId="1" xfId="0" applyNumberFormat="1" applyFont="1" applyFill="1" applyBorder="1" applyAlignment="1" applyProtection="1">
      <alignment horizontal="left" vertical="center"/>
    </xf>
    <xf numFmtId="0" fontId="3" fillId="2" borderId="1" xfId="0" applyFont="1" applyFill="1" applyBorder="1" applyAlignment="1" applyProtection="1">
      <alignment vertical="center"/>
    </xf>
    <xf numFmtId="3" fontId="3" fillId="2" borderId="2" xfId="0" applyNumberFormat="1" applyFont="1" applyFill="1" applyBorder="1" applyAlignment="1" applyProtection="1">
      <alignment vertical="center"/>
    </xf>
    <xf numFmtId="3" fontId="3" fillId="8" borderId="3" xfId="0" applyNumberFormat="1" applyFont="1" applyFill="1" applyBorder="1" applyAlignment="1" applyProtection="1">
      <alignment vertical="center"/>
    </xf>
    <xf numFmtId="3" fontId="3" fillId="2" borderId="0" xfId="0" applyNumberFormat="1" applyFont="1" applyFill="1" applyBorder="1" applyAlignment="1" applyProtection="1">
      <alignment vertical="center"/>
    </xf>
    <xf numFmtId="165" fontId="3" fillId="2" borderId="3" xfId="0" applyNumberFormat="1" applyFont="1" applyFill="1" applyBorder="1" applyAlignment="1" applyProtection="1">
      <alignment vertical="center"/>
    </xf>
    <xf numFmtId="0" fontId="3" fillId="2" borderId="0" xfId="0" applyFont="1" applyFill="1" applyBorder="1" applyAlignment="1" applyProtection="1">
      <alignment vertical="center"/>
    </xf>
    <xf numFmtId="165" fontId="3" fillId="7" borderId="3" xfId="0" applyNumberFormat="1" applyFont="1" applyFill="1" applyBorder="1" applyAlignment="1" applyProtection="1">
      <alignment vertical="center"/>
      <protection locked="0"/>
    </xf>
    <xf numFmtId="37" fontId="3" fillId="2" borderId="0" xfId="0" applyNumberFormat="1" applyFont="1" applyFill="1" applyBorder="1" applyAlignment="1" applyProtection="1">
      <alignment horizontal="left" vertical="center"/>
    </xf>
    <xf numFmtId="0" fontId="3" fillId="2" borderId="6" xfId="0" applyFont="1" applyFill="1" applyBorder="1" applyAlignment="1" applyProtection="1">
      <alignment vertical="center"/>
    </xf>
    <xf numFmtId="3" fontId="3" fillId="2" borderId="0" xfId="0" applyNumberFormat="1" applyFont="1" applyFill="1" applyBorder="1" applyAlignment="1" applyProtection="1">
      <alignment vertical="center"/>
      <protection locked="0"/>
    </xf>
    <xf numFmtId="37" fontId="3" fillId="2" borderId="0" xfId="0" applyNumberFormat="1" applyFont="1" applyFill="1" applyBorder="1" applyAlignment="1" applyProtection="1">
      <alignment horizontal="right" vertical="center"/>
    </xf>
    <xf numFmtId="37" fontId="3" fillId="4" borderId="0" xfId="0" applyNumberFormat="1" applyFont="1" applyFill="1" applyAlignment="1" applyProtection="1">
      <alignment horizontal="center" vertical="center"/>
    </xf>
    <xf numFmtId="37" fontId="4" fillId="4" borderId="0" xfId="0" applyNumberFormat="1" applyFont="1" applyFill="1" applyAlignment="1" applyProtection="1">
      <alignment horizontal="left" vertical="center"/>
    </xf>
    <xf numFmtId="0" fontId="3" fillId="4" borderId="1" xfId="0" applyFont="1" applyFill="1" applyBorder="1" applyAlignment="1">
      <alignment horizontal="center" vertical="center"/>
    </xf>
    <xf numFmtId="37" fontId="3" fillId="2" borderId="3" xfId="0" applyNumberFormat="1" applyFont="1" applyFill="1" applyBorder="1" applyAlignment="1" applyProtection="1">
      <alignment vertical="center"/>
    </xf>
    <xf numFmtId="0" fontId="3" fillId="2" borderId="5" xfId="0" applyFont="1" applyFill="1" applyBorder="1" applyAlignment="1" applyProtection="1">
      <alignment vertical="center"/>
    </xf>
    <xf numFmtId="164" fontId="3" fillId="7" borderId="3" xfId="0" applyNumberFormat="1" applyFont="1" applyFill="1" applyBorder="1" applyAlignment="1" applyProtection="1">
      <alignment vertical="center"/>
      <protection locked="0"/>
    </xf>
    <xf numFmtId="0" fontId="3" fillId="2" borderId="3" xfId="0" applyFont="1" applyFill="1" applyBorder="1" applyAlignment="1" applyProtection="1">
      <alignment vertical="center"/>
    </xf>
    <xf numFmtId="164" fontId="3" fillId="8" borderId="3" xfId="0" applyNumberFormat="1" applyFont="1" applyFill="1" applyBorder="1" applyAlignment="1" applyProtection="1">
      <alignment vertical="center"/>
    </xf>
    <xf numFmtId="37" fontId="3" fillId="4" borderId="1" xfId="0" applyNumberFormat="1" applyFont="1" applyFill="1" applyBorder="1" applyAlignment="1" applyProtection="1">
      <alignment horizontal="left" vertical="center"/>
    </xf>
    <xf numFmtId="0" fontId="3" fillId="4" borderId="1" xfId="0" applyFont="1" applyFill="1" applyBorder="1" applyAlignment="1" applyProtection="1">
      <alignment vertical="center"/>
    </xf>
    <xf numFmtId="0" fontId="3" fillId="2" borderId="7" xfId="0" applyFont="1" applyFill="1" applyBorder="1" applyAlignment="1" applyProtection="1">
      <alignment vertical="center"/>
    </xf>
    <xf numFmtId="0" fontId="3" fillId="4" borderId="2"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8" xfId="0" applyFont="1" applyFill="1" applyBorder="1" applyAlignment="1" applyProtection="1">
      <alignment vertical="center"/>
    </xf>
    <xf numFmtId="0" fontId="3" fillId="2" borderId="0" xfId="0" applyFont="1" applyFill="1" applyAlignment="1" applyProtection="1">
      <alignment vertical="center"/>
      <protection locked="0"/>
    </xf>
    <xf numFmtId="0" fontId="3"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protection locked="0"/>
    </xf>
    <xf numFmtId="0" fontId="3" fillId="2" borderId="7"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37" fontId="3" fillId="2" borderId="0" xfId="0" applyNumberFormat="1" applyFont="1" applyFill="1" applyAlignment="1">
      <alignment vertical="center"/>
    </xf>
    <xf numFmtId="0" fontId="0" fillId="2" borderId="0" xfId="0" applyFill="1" applyAlignment="1">
      <alignment vertical="center"/>
    </xf>
    <xf numFmtId="0" fontId="3" fillId="2" borderId="0" xfId="0" applyFont="1" applyFill="1" applyAlignment="1">
      <alignment vertical="center"/>
    </xf>
    <xf numFmtId="37" fontId="3" fillId="2" borderId="2" xfId="0" applyNumberFormat="1" applyFont="1" applyFill="1" applyBorder="1" applyAlignment="1" applyProtection="1">
      <alignment horizontal="left" vertical="center"/>
    </xf>
    <xf numFmtId="37" fontId="3" fillId="3" borderId="3" xfId="0" applyNumberFormat="1" applyFont="1" applyFill="1" applyBorder="1" applyAlignment="1" applyProtection="1">
      <alignment vertical="center"/>
      <protection locked="0"/>
    </xf>
    <xf numFmtId="37" fontId="4" fillId="2" borderId="2" xfId="0" applyNumberFormat="1" applyFont="1" applyFill="1" applyBorder="1" applyAlignment="1" applyProtection="1">
      <alignment horizontal="left" vertical="center"/>
    </xf>
    <xf numFmtId="0" fontId="0" fillId="2" borderId="0" xfId="0" applyFill="1" applyAlignment="1" applyProtection="1">
      <alignment vertical="center"/>
    </xf>
    <xf numFmtId="0" fontId="2" fillId="2" borderId="0" xfId="0" applyFont="1" applyFill="1" applyBorder="1" applyAlignment="1" applyProtection="1">
      <alignment horizontal="center" vertical="center"/>
    </xf>
    <xf numFmtId="164" fontId="3" fillId="3" borderId="1" xfId="0" applyNumberFormat="1" applyFont="1" applyFill="1" applyBorder="1" applyAlignment="1" applyProtection="1">
      <alignment vertical="center"/>
      <protection locked="0"/>
    </xf>
    <xf numFmtId="164" fontId="3" fillId="3" borderId="2" xfId="0" applyNumberFormat="1" applyFont="1" applyFill="1" applyBorder="1" applyAlignment="1" applyProtection="1">
      <alignment vertical="center"/>
      <protection locked="0"/>
    </xf>
    <xf numFmtId="0" fontId="3" fillId="2" borderId="9" xfId="0" applyFont="1" applyFill="1" applyBorder="1" applyAlignment="1" applyProtection="1">
      <alignment vertical="center"/>
    </xf>
    <xf numFmtId="164" fontId="3" fillId="3" borderId="9" xfId="0" applyNumberFormat="1" applyFont="1" applyFill="1" applyBorder="1" applyAlignment="1" applyProtection="1">
      <alignment vertical="center"/>
      <protection locked="0"/>
    </xf>
    <xf numFmtId="0" fontId="0" fillId="2" borderId="7" xfId="0" applyFill="1" applyBorder="1" applyAlignment="1" applyProtection="1">
      <alignment vertical="center"/>
    </xf>
    <xf numFmtId="0" fontId="0" fillId="2" borderId="1" xfId="0" applyFill="1" applyBorder="1" applyAlignment="1" applyProtection="1">
      <alignment vertical="center"/>
    </xf>
    <xf numFmtId="3" fontId="3" fillId="4" borderId="0" xfId="0" applyNumberFormat="1" applyFont="1" applyFill="1" applyAlignment="1" applyProtection="1">
      <alignment vertical="center"/>
    </xf>
    <xf numFmtId="3" fontId="3" fillId="2" borderId="7" xfId="0" applyNumberFormat="1" applyFont="1" applyFill="1" applyBorder="1" applyAlignment="1" applyProtection="1">
      <alignment vertical="center"/>
    </xf>
    <xf numFmtId="3" fontId="3" fillId="2" borderId="8" xfId="0" applyNumberFormat="1" applyFont="1" applyFill="1" applyBorder="1" applyAlignment="1" applyProtection="1">
      <alignment vertical="center"/>
    </xf>
    <xf numFmtId="166" fontId="3" fillId="3" borderId="3" xfId="0" applyNumberFormat="1" applyFont="1" applyFill="1" applyBorder="1" applyAlignment="1" applyProtection="1">
      <alignment vertical="center"/>
      <protection locked="0"/>
    </xf>
    <xf numFmtId="37" fontId="3" fillId="9" borderId="0" xfId="0" applyNumberFormat="1" applyFont="1" applyFill="1" applyBorder="1" applyAlignment="1" applyProtection="1">
      <alignment horizontal="left" vertical="center"/>
    </xf>
    <xf numFmtId="166" fontId="3" fillId="7" borderId="3" xfId="0" applyNumberFormat="1" applyFont="1" applyFill="1" applyBorder="1" applyAlignment="1" applyProtection="1">
      <alignment vertical="center"/>
      <protection locked="0"/>
    </xf>
    <xf numFmtId="37" fontId="3" fillId="10" borderId="0" xfId="0" applyNumberFormat="1" applyFont="1" applyFill="1" applyBorder="1" applyAlignment="1" applyProtection="1">
      <alignment horizontal="left" vertical="center"/>
    </xf>
    <xf numFmtId="0" fontId="3" fillId="10" borderId="0" xfId="0" applyFont="1" applyFill="1" applyBorder="1" applyAlignment="1" applyProtection="1">
      <alignment vertical="center"/>
    </xf>
    <xf numFmtId="167" fontId="3" fillId="10" borderId="0" xfId="0" applyNumberFormat="1" applyFont="1" applyFill="1" applyBorder="1" applyAlignment="1" applyProtection="1">
      <alignment vertical="center"/>
      <protection locked="0"/>
    </xf>
    <xf numFmtId="0" fontId="4" fillId="4" borderId="0" xfId="0" applyFont="1" applyFill="1" applyAlignment="1">
      <alignment vertical="center"/>
    </xf>
    <xf numFmtId="0" fontId="10" fillId="4" borderId="0" xfId="0" applyFont="1" applyFill="1" applyAlignment="1">
      <alignment vertical="center"/>
    </xf>
    <xf numFmtId="0" fontId="0" fillId="4" borderId="0" xfId="0" applyFill="1" applyAlignment="1" applyProtection="1">
      <alignment vertical="center"/>
      <protection locked="0"/>
    </xf>
    <xf numFmtId="0" fontId="3" fillId="2" borderId="1" xfId="0" applyFont="1" applyFill="1" applyBorder="1" applyAlignment="1">
      <alignment vertical="center"/>
    </xf>
    <xf numFmtId="0" fontId="0" fillId="2" borderId="1" xfId="0" applyFill="1" applyBorder="1" applyAlignment="1">
      <alignment vertical="center"/>
    </xf>
    <xf numFmtId="0" fontId="0" fillId="2" borderId="7" xfId="0" applyFill="1" applyBorder="1" applyAlignment="1">
      <alignment vertical="center"/>
    </xf>
    <xf numFmtId="0" fontId="3" fillId="2" borderId="2" xfId="0" applyFont="1" applyFill="1" applyBorder="1" applyAlignment="1">
      <alignment vertical="center"/>
    </xf>
    <xf numFmtId="0" fontId="0" fillId="2" borderId="2" xfId="0" applyFill="1" applyBorder="1" applyAlignment="1">
      <alignment vertical="center"/>
    </xf>
    <xf numFmtId="0" fontId="0" fillId="2" borderId="8" xfId="0" applyFill="1" applyBorder="1" applyAlignment="1">
      <alignment vertical="center"/>
    </xf>
    <xf numFmtId="0" fontId="0" fillId="10" borderId="0" xfId="0" applyFill="1" applyAlignment="1">
      <alignment vertical="center"/>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9" fillId="2" borderId="0" xfId="0" applyFont="1" applyFill="1" applyAlignment="1">
      <alignment vertical="center"/>
    </xf>
    <xf numFmtId="0" fontId="11" fillId="2" borderId="0" xfId="0" applyFont="1" applyFill="1" applyAlignment="1">
      <alignment vertical="center"/>
    </xf>
    <xf numFmtId="37" fontId="3" fillId="2" borderId="3" xfId="0" applyNumberFormat="1" applyFont="1" applyFill="1" applyBorder="1" applyAlignment="1">
      <alignment vertical="center"/>
    </xf>
    <xf numFmtId="0" fontId="13" fillId="0" borderId="0" xfId="3"/>
    <xf numFmtId="0" fontId="3" fillId="0" borderId="0" xfId="3" applyFont="1"/>
    <xf numFmtId="49" fontId="3" fillId="3" borderId="0" xfId="2" applyNumberFormat="1" applyFont="1" applyFill="1" applyAlignment="1" applyProtection="1">
      <alignment horizontal="left" vertical="center"/>
      <protection locked="0"/>
    </xf>
    <xf numFmtId="49" fontId="3" fillId="0" borderId="0" xfId="2" applyNumberFormat="1" applyFont="1" applyFill="1" applyAlignment="1" applyProtection="1">
      <alignment horizontal="left" vertical="center"/>
      <protection locked="0"/>
    </xf>
    <xf numFmtId="0" fontId="12" fillId="0" borderId="0" xfId="2"/>
    <xf numFmtId="0" fontId="3" fillId="0" borderId="0" xfId="2" applyFont="1" applyAlignment="1">
      <alignment horizontal="left" vertical="center"/>
    </xf>
    <xf numFmtId="168" fontId="14" fillId="0" borderId="0" xfId="2" applyNumberFormat="1" applyFont="1" applyAlignment="1">
      <alignment horizontal="left" vertical="center"/>
    </xf>
    <xf numFmtId="0" fontId="15" fillId="0" borderId="0" xfId="2" applyFont="1" applyAlignment="1">
      <alignment horizontal="left" vertical="center"/>
    </xf>
    <xf numFmtId="49" fontId="3" fillId="0" borderId="0" xfId="2" applyNumberFormat="1" applyFont="1" applyAlignment="1">
      <alignment horizontal="left" vertical="center"/>
    </xf>
    <xf numFmtId="0" fontId="14" fillId="0" borderId="0" xfId="2" applyFont="1" applyAlignment="1">
      <alignment horizontal="left" vertical="center"/>
    </xf>
    <xf numFmtId="169" fontId="14" fillId="0" borderId="0" xfId="2" applyNumberFormat="1" applyFont="1" applyAlignment="1">
      <alignment horizontal="left" vertical="center"/>
    </xf>
    <xf numFmtId="0" fontId="3" fillId="3" borderId="0" xfId="2" applyFont="1" applyFill="1" applyAlignment="1" applyProtection="1">
      <alignment horizontal="left" vertical="center"/>
      <protection locked="0"/>
    </xf>
    <xf numFmtId="0" fontId="12" fillId="3" borderId="0" xfId="2" applyFill="1" applyAlignment="1" applyProtection="1">
      <alignment horizontal="left" vertical="center"/>
      <protection locked="0"/>
    </xf>
    <xf numFmtId="0" fontId="16" fillId="0" borderId="0" xfId="3" applyFont="1"/>
    <xf numFmtId="0" fontId="17" fillId="0" borderId="0" xfId="2" applyFont="1"/>
    <xf numFmtId="168" fontId="18" fillId="0" borderId="0" xfId="2" applyNumberFormat="1" applyFont="1" applyAlignment="1">
      <alignment horizontal="left" vertical="center"/>
    </xf>
    <xf numFmtId="0" fontId="18" fillId="0" borderId="0" xfId="2" applyNumberFormat="1" applyFont="1" applyAlignment="1">
      <alignment horizontal="left" vertical="center"/>
    </xf>
    <xf numFmtId="1" fontId="18" fillId="0" borderId="0" xfId="2" applyNumberFormat="1" applyFont="1" applyAlignment="1">
      <alignment horizontal="left" vertical="center"/>
    </xf>
    <xf numFmtId="0" fontId="19" fillId="0" borderId="0" xfId="2" applyFont="1" applyAlignment="1">
      <alignment horizontal="left" vertical="center"/>
    </xf>
    <xf numFmtId="0" fontId="3" fillId="2" borderId="0" xfId="0" applyFont="1" applyFill="1" applyAlignment="1" applyProtection="1">
      <alignment horizontal="right" vertical="center"/>
    </xf>
    <xf numFmtId="37" fontId="3" fillId="2" borderId="4" xfId="0" applyNumberFormat="1"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37" fontId="3" fillId="2" borderId="5" xfId="0" applyNumberFormat="1"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37" fontId="3" fillId="2" borderId="3" xfId="0" applyNumberFormat="1" applyFont="1" applyFill="1" applyBorder="1" applyAlignment="1" applyProtection="1">
      <alignment horizontal="center" vertical="center"/>
    </xf>
    <xf numFmtId="0" fontId="3" fillId="2" borderId="4" xfId="0" applyFont="1" applyFill="1" applyBorder="1" applyAlignment="1" applyProtection="1">
      <alignment vertical="center"/>
    </xf>
    <xf numFmtId="37" fontId="3" fillId="8" borderId="3" xfId="0" applyNumberFormat="1" applyFont="1" applyFill="1" applyBorder="1" applyAlignment="1" applyProtection="1">
      <alignment horizontal="center" vertical="center"/>
    </xf>
    <xf numFmtId="37" fontId="3" fillId="2" borderId="0" xfId="0" applyNumberFormat="1" applyFont="1" applyFill="1" applyBorder="1" applyAlignment="1" applyProtection="1">
      <alignment horizontal="fill" vertical="center"/>
    </xf>
    <xf numFmtId="37" fontId="3" fillId="2" borderId="0" xfId="0" applyNumberFormat="1" applyFont="1" applyFill="1" applyAlignment="1" applyProtection="1">
      <alignment horizontal="right" vertical="center"/>
    </xf>
    <xf numFmtId="0" fontId="3" fillId="2" borderId="3" xfId="0" applyFont="1" applyFill="1" applyBorder="1" applyAlignment="1" applyProtection="1">
      <alignment horizontal="left" vertical="center"/>
    </xf>
    <xf numFmtId="37" fontId="3" fillId="2" borderId="0" xfId="0" applyNumberFormat="1" applyFont="1" applyFill="1" applyAlignment="1" applyProtection="1">
      <alignment vertical="center"/>
    </xf>
    <xf numFmtId="0" fontId="3" fillId="9" borderId="0" xfId="0" applyFont="1" applyFill="1" applyAlignment="1" applyProtection="1">
      <alignment vertical="center"/>
      <protection locked="0"/>
    </xf>
    <xf numFmtId="0" fontId="3" fillId="2" borderId="1" xfId="0" applyFont="1" applyFill="1" applyBorder="1" applyAlignment="1" applyProtection="1">
      <alignment horizontal="centerContinuous" vertical="center"/>
    </xf>
    <xf numFmtId="0" fontId="3" fillId="2" borderId="0" xfId="0" applyFont="1" applyFill="1" applyBorder="1" applyAlignment="1" applyProtection="1">
      <alignment horizontal="centerContinuous" vertical="center"/>
    </xf>
    <xf numFmtId="0" fontId="3" fillId="2" borderId="4" xfId="0" applyFont="1" applyFill="1" applyBorder="1" applyAlignment="1" applyProtection="1">
      <alignment horizontal="center" vertical="center"/>
    </xf>
    <xf numFmtId="37" fontId="3" fillId="2" borderId="16" xfId="0" applyNumberFormat="1" applyFont="1" applyFill="1" applyBorder="1" applyAlignment="1" applyProtection="1">
      <alignment horizontal="center" vertical="center"/>
    </xf>
    <xf numFmtId="37" fontId="3" fillId="9" borderId="0" xfId="0" applyNumberFormat="1" applyFont="1" applyFill="1" applyBorder="1" applyAlignment="1" applyProtection="1">
      <alignment horizontal="center" vertical="center"/>
    </xf>
    <xf numFmtId="0" fontId="3" fillId="2" borderId="11" xfId="0" applyNumberFormat="1"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2" xfId="0" applyFont="1" applyFill="1" applyBorder="1" applyAlignment="1" applyProtection="1">
      <alignment vertical="center"/>
    </xf>
    <xf numFmtId="174" fontId="3" fillId="2" borderId="0" xfId="0" applyNumberFormat="1" applyFont="1" applyFill="1" applyAlignment="1" applyProtection="1">
      <alignment vertical="center"/>
    </xf>
    <xf numFmtId="37" fontId="3" fillId="2" borderId="1" xfId="0" applyNumberFormat="1" applyFont="1" applyFill="1" applyBorder="1" applyAlignment="1" applyProtection="1">
      <alignment vertical="center"/>
    </xf>
    <xf numFmtId="37" fontId="3" fillId="2" borderId="0" xfId="0" applyNumberFormat="1" applyFont="1" applyFill="1" applyBorder="1" applyAlignment="1" applyProtection="1">
      <alignment vertical="center"/>
    </xf>
    <xf numFmtId="175" fontId="3" fillId="8" borderId="1" xfId="0" applyNumberFormat="1" applyFont="1" applyFill="1" applyBorder="1" applyAlignment="1" applyProtection="1">
      <alignment vertical="center"/>
    </xf>
    <xf numFmtId="0" fontId="4" fillId="2" borderId="1"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1" fontId="3" fillId="2" borderId="5" xfId="0" applyNumberFormat="1" applyFont="1" applyFill="1" applyBorder="1" applyAlignment="1" applyProtection="1">
      <alignment horizontal="center" vertical="center"/>
    </xf>
    <xf numFmtId="0" fontId="3" fillId="2" borderId="0" xfId="0" applyFont="1" applyFill="1" applyAlignment="1" applyProtection="1">
      <alignment horizontal="center" vertical="center"/>
      <protection locked="0"/>
    </xf>
    <xf numFmtId="0" fontId="4" fillId="2" borderId="3" xfId="0" applyFont="1" applyFill="1" applyBorder="1" applyAlignment="1" applyProtection="1">
      <alignment horizontal="center" vertical="center"/>
    </xf>
    <xf numFmtId="0" fontId="20" fillId="2" borderId="0" xfId="0" applyFont="1" applyFill="1" applyAlignment="1" applyProtection="1">
      <alignment horizontal="left" vertical="center"/>
      <protection locked="0"/>
    </xf>
    <xf numFmtId="1" fontId="3" fillId="2" borderId="0" xfId="0" applyNumberFormat="1" applyFont="1" applyFill="1" applyBorder="1" applyAlignment="1" applyProtection="1">
      <alignment horizontal="right" vertical="center"/>
    </xf>
    <xf numFmtId="0" fontId="4" fillId="2" borderId="0" xfId="4" applyFont="1" applyFill="1" applyAlignment="1" applyProtection="1">
      <alignment horizontal="centerContinuous" vertical="center"/>
    </xf>
    <xf numFmtId="0" fontId="3" fillId="2" borderId="1" xfId="0" applyFont="1" applyFill="1" applyBorder="1" applyAlignment="1" applyProtection="1">
      <alignment horizontal="fill" vertical="center"/>
    </xf>
    <xf numFmtId="0" fontId="3" fillId="2" borderId="17" xfId="0" applyFont="1" applyFill="1" applyBorder="1" applyAlignment="1" applyProtection="1">
      <alignment horizontal="centerContinuous" vertical="center"/>
    </xf>
    <xf numFmtId="0" fontId="3" fillId="2" borderId="16" xfId="0" applyFont="1" applyFill="1" applyBorder="1" applyAlignment="1" applyProtection="1">
      <alignment horizontal="centerContinuous" vertical="center"/>
    </xf>
    <xf numFmtId="1" fontId="3" fillId="2" borderId="12" xfId="0" applyNumberFormat="1" applyFont="1" applyFill="1" applyBorder="1" applyAlignment="1" applyProtection="1">
      <alignment horizontal="center" vertical="center"/>
    </xf>
    <xf numFmtId="2" fontId="3" fillId="2" borderId="3" xfId="0" applyNumberFormat="1" applyFont="1" applyFill="1" applyBorder="1" applyAlignment="1" applyProtection="1">
      <alignment vertical="center"/>
    </xf>
    <xf numFmtId="3" fontId="3" fillId="2" borderId="3" xfId="0" applyNumberFormat="1" applyFont="1" applyFill="1" applyBorder="1" applyAlignment="1" applyProtection="1">
      <alignment vertical="center"/>
    </xf>
    <xf numFmtId="0" fontId="4" fillId="2" borderId="3" xfId="0" applyFont="1" applyFill="1" applyBorder="1" applyAlignment="1" applyProtection="1">
      <alignment horizontal="left" vertical="center"/>
    </xf>
    <xf numFmtId="3" fontId="4" fillId="2" borderId="3" xfId="0" applyNumberFormat="1" applyFont="1" applyFill="1" applyBorder="1" applyAlignment="1" applyProtection="1">
      <alignment horizontal="center" vertical="center"/>
    </xf>
    <xf numFmtId="1" fontId="4" fillId="2" borderId="3" xfId="0" applyNumberFormat="1" applyFont="1" applyFill="1" applyBorder="1" applyAlignment="1" applyProtection="1">
      <alignment horizontal="center" vertical="center"/>
    </xf>
    <xf numFmtId="3" fontId="4" fillId="8" borderId="3" xfId="0" applyNumberFormat="1" applyFont="1" applyFill="1" applyBorder="1" applyAlignment="1" applyProtection="1">
      <alignment horizontal="center" vertical="center"/>
    </xf>
    <xf numFmtId="0" fontId="3" fillId="2" borderId="0" xfId="0" applyNumberFormat="1" applyFont="1" applyFill="1" applyAlignment="1" applyProtection="1">
      <alignment horizontal="right" vertical="center"/>
    </xf>
    <xf numFmtId="1" fontId="3" fillId="2" borderId="17" xfId="0" applyNumberFormat="1" applyFont="1" applyFill="1" applyBorder="1" applyAlignment="1" applyProtection="1">
      <alignment horizontal="center" vertical="center"/>
    </xf>
    <xf numFmtId="37" fontId="3" fillId="2" borderId="17" xfId="0" applyNumberFormat="1" applyFont="1" applyFill="1" applyBorder="1" applyAlignment="1" applyProtection="1">
      <alignment horizontal="center" vertical="center"/>
    </xf>
    <xf numFmtId="37" fontId="4" fillId="2" borderId="0" xfId="0" applyNumberFormat="1" applyFont="1" applyFill="1" applyBorder="1" applyAlignment="1" applyProtection="1">
      <alignment vertical="center"/>
    </xf>
    <xf numFmtId="0" fontId="3" fillId="2" borderId="12" xfId="0" applyNumberFormat="1" applyFont="1" applyFill="1" applyBorder="1" applyAlignment="1" applyProtection="1">
      <alignment horizontal="center" vertical="center"/>
    </xf>
    <xf numFmtId="0" fontId="3" fillId="2" borderId="5" xfId="0" applyNumberFormat="1" applyFont="1" applyFill="1" applyBorder="1" applyAlignment="1" applyProtection="1">
      <alignment horizontal="center" vertical="center"/>
    </xf>
    <xf numFmtId="0" fontId="3" fillId="2" borderId="10"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0" fillId="12" borderId="0" xfId="0" applyFill="1"/>
    <xf numFmtId="0" fontId="0" fillId="2" borderId="0" xfId="0" applyFill="1" applyAlignment="1">
      <alignment horizontal="right" vertical="center"/>
    </xf>
    <xf numFmtId="0" fontId="7" fillId="2" borderId="0" xfId="0" applyFont="1" applyFill="1" applyAlignment="1" applyProtection="1">
      <alignment horizontal="right" vertical="center"/>
      <protection locked="0"/>
    </xf>
    <xf numFmtId="37" fontId="23" fillId="2" borderId="0" xfId="0" applyNumberFormat="1" applyFont="1" applyFill="1" applyAlignment="1" applyProtection="1">
      <alignment horizontal="centerContinuous" vertical="center"/>
    </xf>
    <xf numFmtId="0" fontId="24" fillId="2" borderId="0" xfId="0" applyFont="1" applyFill="1" applyAlignment="1" applyProtection="1">
      <alignment horizontal="centerContinuous" vertical="center"/>
    </xf>
    <xf numFmtId="0" fontId="25" fillId="0" borderId="0" xfId="0" applyFont="1"/>
    <xf numFmtId="0" fontId="24" fillId="2" borderId="0" xfId="0" applyFont="1" applyFill="1" applyAlignment="1" applyProtection="1">
      <alignment vertical="center"/>
    </xf>
    <xf numFmtId="0" fontId="23" fillId="2" borderId="0" xfId="0" applyFont="1" applyFill="1" applyAlignment="1" applyProtection="1">
      <alignment vertical="center"/>
    </xf>
    <xf numFmtId="0" fontId="24" fillId="2" borderId="0" xfId="0" applyFont="1" applyFill="1" applyAlignment="1" applyProtection="1">
      <alignment horizontal="right" vertical="center"/>
    </xf>
    <xf numFmtId="37" fontId="24" fillId="2" borderId="0" xfId="0" applyNumberFormat="1" applyFont="1" applyFill="1" applyAlignment="1" applyProtection="1">
      <alignment horizontal="centerContinuous" vertical="center"/>
    </xf>
    <xf numFmtId="37" fontId="24" fillId="2" borderId="10" xfId="0" applyNumberFormat="1" applyFont="1" applyFill="1" applyBorder="1" applyAlignment="1" applyProtection="1">
      <alignment horizontal="centerContinuous" vertical="center"/>
    </xf>
    <xf numFmtId="0" fontId="24" fillId="2" borderId="2" xfId="0" applyFont="1" applyFill="1" applyBorder="1" applyAlignment="1" applyProtection="1">
      <alignment horizontal="centerContinuous" vertical="center"/>
    </xf>
    <xf numFmtId="0" fontId="24" fillId="2" borderId="8" xfId="0" applyFont="1" applyFill="1" applyBorder="1" applyAlignment="1" applyProtection="1">
      <alignment horizontal="centerContinuous" vertical="center"/>
    </xf>
    <xf numFmtId="37" fontId="24" fillId="2" borderId="4" xfId="0" applyNumberFormat="1" applyFont="1" applyFill="1" applyBorder="1" applyAlignment="1" applyProtection="1">
      <alignment horizontal="left" vertical="center"/>
    </xf>
    <xf numFmtId="37" fontId="24" fillId="2" borderId="4" xfId="0" applyNumberFormat="1" applyFont="1" applyFill="1" applyBorder="1" applyAlignment="1" applyProtection="1">
      <alignment horizontal="center" vertical="center"/>
    </xf>
    <xf numFmtId="37" fontId="24" fillId="2" borderId="0" xfId="0" applyNumberFormat="1" applyFont="1" applyFill="1" applyAlignment="1" applyProtection="1">
      <alignment horizontal="left" vertical="center"/>
    </xf>
    <xf numFmtId="37" fontId="24" fillId="2" borderId="5" xfId="0" applyNumberFormat="1" applyFont="1" applyFill="1" applyBorder="1" applyAlignment="1" applyProtection="1">
      <alignment horizontal="center" vertical="center"/>
    </xf>
    <xf numFmtId="0" fontId="24" fillId="2" borderId="5" xfId="0" applyFont="1" applyFill="1" applyBorder="1" applyAlignment="1" applyProtection="1">
      <alignment horizontal="center" vertical="center"/>
    </xf>
    <xf numFmtId="37" fontId="24" fillId="2" borderId="10" xfId="0" applyNumberFormat="1" applyFont="1" applyFill="1" applyBorder="1" applyAlignment="1" applyProtection="1">
      <alignment horizontal="left" vertical="center"/>
    </xf>
    <xf numFmtId="37" fontId="24" fillId="2" borderId="3" xfId="0" applyNumberFormat="1" applyFont="1" applyFill="1" applyBorder="1" applyAlignment="1" applyProtection="1">
      <alignment horizontal="left" vertical="center"/>
    </xf>
    <xf numFmtId="0" fontId="24" fillId="2" borderId="4" xfId="0" applyFont="1" applyFill="1" applyBorder="1" applyAlignment="1" applyProtection="1">
      <alignment vertical="center"/>
    </xf>
    <xf numFmtId="37" fontId="24" fillId="2" borderId="3" xfId="0" applyNumberFormat="1" applyFont="1" applyFill="1" applyBorder="1" applyAlignment="1" applyProtection="1">
      <alignment vertical="center"/>
    </xf>
    <xf numFmtId="0" fontId="24" fillId="2" borderId="0" xfId="0" applyFont="1" applyFill="1" applyBorder="1" applyAlignment="1" applyProtection="1">
      <alignment vertical="center"/>
    </xf>
    <xf numFmtId="37" fontId="24" fillId="2" borderId="0" xfId="0" applyNumberFormat="1" applyFont="1" applyFill="1" applyAlignment="1" applyProtection="1">
      <alignment horizontal="right" vertical="center"/>
    </xf>
    <xf numFmtId="37" fontId="24" fillId="2" borderId="0" xfId="0" applyNumberFormat="1" applyFont="1" applyFill="1" applyAlignment="1" applyProtection="1">
      <alignment horizontal="center" vertical="center"/>
    </xf>
    <xf numFmtId="0" fontId="20" fillId="0" borderId="0" xfId="0" applyFont="1" applyAlignment="1">
      <alignment vertical="center"/>
    </xf>
    <xf numFmtId="0" fontId="20" fillId="0" borderId="0" xfId="0" applyFont="1" applyAlignment="1" applyProtection="1">
      <alignment vertical="center"/>
      <protection locked="0"/>
    </xf>
    <xf numFmtId="0" fontId="0" fillId="0" borderId="0" xfId="0" applyFont="1"/>
    <xf numFmtId="0" fontId="24" fillId="2" borderId="10" xfId="0" applyFont="1" applyFill="1" applyBorder="1" applyAlignment="1" applyProtection="1">
      <alignment horizontal="left" vertical="center"/>
    </xf>
    <xf numFmtId="37" fontId="23" fillId="2" borderId="10" xfId="0" applyNumberFormat="1" applyFont="1" applyFill="1" applyBorder="1" applyAlignment="1" applyProtection="1">
      <alignment horizontal="left" vertical="center"/>
    </xf>
    <xf numFmtId="3" fontId="23" fillId="2" borderId="3" xfId="0" applyNumberFormat="1" applyFont="1" applyFill="1" applyBorder="1" applyAlignment="1" applyProtection="1">
      <alignment vertical="center"/>
    </xf>
    <xf numFmtId="3" fontId="24" fillId="2" borderId="3" xfId="0" applyNumberFormat="1" applyFont="1" applyFill="1" applyBorder="1" applyAlignment="1" applyProtection="1">
      <alignment vertical="center"/>
    </xf>
    <xf numFmtId="3" fontId="24" fillId="2" borderId="3" xfId="0" applyNumberFormat="1" applyFont="1" applyFill="1" applyBorder="1" applyAlignment="1" applyProtection="1">
      <alignment horizontal="center" vertical="center"/>
    </xf>
    <xf numFmtId="37" fontId="29" fillId="2" borderId="3" xfId="0" applyNumberFormat="1" applyFont="1" applyFill="1" applyBorder="1" applyAlignment="1" applyProtection="1">
      <alignment horizontal="center" vertical="center"/>
    </xf>
    <xf numFmtId="3" fontId="24" fillId="2" borderId="0" xfId="0" applyNumberFormat="1" applyFont="1" applyFill="1" applyAlignment="1" applyProtection="1">
      <alignment vertical="center"/>
    </xf>
    <xf numFmtId="3" fontId="24" fillId="2" borderId="1" xfId="0" applyNumberFormat="1" applyFont="1" applyFill="1" applyBorder="1" applyAlignment="1" applyProtection="1">
      <alignment horizontal="fill" vertical="center"/>
    </xf>
    <xf numFmtId="1" fontId="24" fillId="2" borderId="4" xfId="0" applyNumberFormat="1" applyFont="1" applyFill="1" applyBorder="1" applyAlignment="1" applyProtection="1">
      <alignment horizontal="center" vertical="center"/>
    </xf>
    <xf numFmtId="37" fontId="23" fillId="2" borderId="1" xfId="0" applyNumberFormat="1" applyFont="1" applyFill="1" applyBorder="1" applyAlignment="1" applyProtection="1">
      <alignment vertical="center"/>
    </xf>
    <xf numFmtId="0" fontId="24" fillId="2" borderId="5" xfId="0" applyNumberFormat="1" applyFont="1" applyFill="1" applyBorder="1" applyAlignment="1" applyProtection="1">
      <alignment horizontal="center" vertical="center"/>
    </xf>
    <xf numFmtId="3" fontId="24" fillId="12" borderId="3" xfId="0" applyNumberFormat="1" applyFont="1" applyFill="1" applyBorder="1" applyAlignment="1" applyProtection="1">
      <alignment vertical="center"/>
      <protection locked="0"/>
    </xf>
    <xf numFmtId="0" fontId="24" fillId="12" borderId="10" xfId="0" applyFont="1" applyFill="1" applyBorder="1" applyAlignment="1" applyProtection="1">
      <alignment vertical="center"/>
      <protection locked="0"/>
    </xf>
    <xf numFmtId="0" fontId="24" fillId="12" borderId="10" xfId="0" applyFont="1" applyFill="1" applyBorder="1" applyAlignment="1" applyProtection="1">
      <alignment horizontal="left" vertical="center"/>
      <protection locked="0"/>
    </xf>
    <xf numFmtId="37" fontId="24" fillId="12" borderId="10" xfId="0" applyNumberFormat="1" applyFont="1" applyFill="1" applyBorder="1" applyAlignment="1" applyProtection="1">
      <alignment vertical="center"/>
    </xf>
    <xf numFmtId="0" fontId="24" fillId="12" borderId="10" xfId="0" applyFont="1" applyFill="1" applyBorder="1" applyAlignment="1" applyProtection="1">
      <alignment horizontal="left" vertical="center"/>
    </xf>
    <xf numFmtId="3" fontId="28" fillId="12" borderId="3" xfId="0" applyNumberFormat="1" applyFont="1" applyFill="1" applyBorder="1" applyAlignment="1" applyProtection="1">
      <alignment horizontal="center" vertical="center"/>
    </xf>
    <xf numFmtId="3" fontId="28" fillId="12" borderId="8" xfId="0" applyNumberFormat="1" applyFont="1" applyFill="1" applyBorder="1" applyAlignment="1" applyProtection="1">
      <alignment horizontal="center" vertical="center"/>
    </xf>
    <xf numFmtId="0" fontId="24" fillId="12" borderId="10" xfId="0" applyFont="1" applyFill="1" applyBorder="1" applyAlignment="1" applyProtection="1">
      <alignment vertical="center"/>
    </xf>
    <xf numFmtId="3" fontId="24" fillId="12" borderId="8" xfId="0" applyNumberFormat="1" applyFont="1" applyFill="1" applyBorder="1" applyAlignment="1" applyProtection="1">
      <alignment vertical="center"/>
      <protection locked="0"/>
    </xf>
    <xf numFmtId="37" fontId="23" fillId="12" borderId="10" xfId="0" applyNumberFormat="1" applyFont="1" applyFill="1" applyBorder="1" applyAlignment="1" applyProtection="1">
      <alignment horizontal="left" vertical="center"/>
    </xf>
    <xf numFmtId="3" fontId="23" fillId="12" borderId="3" xfId="0" applyNumberFormat="1" applyFont="1" applyFill="1" applyBorder="1" applyAlignment="1" applyProtection="1">
      <alignment vertical="center"/>
    </xf>
    <xf numFmtId="37" fontId="24" fillId="12" borderId="10" xfId="0" applyNumberFormat="1" applyFont="1" applyFill="1" applyBorder="1" applyAlignment="1" applyProtection="1">
      <alignment horizontal="left" vertical="center"/>
    </xf>
    <xf numFmtId="3" fontId="24" fillId="12" borderId="3" xfId="0" applyNumberFormat="1" applyFont="1" applyFill="1" applyBorder="1" applyAlignment="1" applyProtection="1">
      <alignment vertical="center"/>
    </xf>
    <xf numFmtId="0" fontId="24" fillId="12" borderId="0" xfId="0" applyFont="1" applyFill="1" applyAlignment="1" applyProtection="1">
      <alignment horizontal="right" vertical="center"/>
    </xf>
    <xf numFmtId="3" fontId="24" fillId="12" borderId="3" xfId="0" applyNumberFormat="1" applyFont="1" applyFill="1" applyBorder="1" applyAlignment="1" applyProtection="1">
      <alignment horizontal="center" vertical="center"/>
    </xf>
    <xf numFmtId="37" fontId="29" fillId="12" borderId="3" xfId="0" applyNumberFormat="1" applyFont="1" applyFill="1" applyBorder="1" applyAlignment="1" applyProtection="1">
      <alignment horizontal="center" vertical="center"/>
    </xf>
    <xf numFmtId="0" fontId="24" fillId="12" borderId="0" xfId="0" applyFont="1" applyFill="1" applyAlignment="1" applyProtection="1">
      <alignment vertical="center"/>
    </xf>
    <xf numFmtId="0" fontId="24" fillId="12" borderId="0" xfId="0" applyFont="1" applyFill="1" applyAlignment="1" applyProtection="1">
      <alignment horizontal="left" vertical="center"/>
      <protection locked="0"/>
    </xf>
    <xf numFmtId="3" fontId="24" fillId="12" borderId="3" xfId="0" applyNumberFormat="1" applyFont="1" applyFill="1" applyBorder="1" applyAlignment="1" applyProtection="1">
      <alignment horizontal="right" vertical="center"/>
    </xf>
    <xf numFmtId="37" fontId="24" fillId="2" borderId="0" xfId="0" applyNumberFormat="1" applyFont="1" applyFill="1" applyAlignment="1" applyProtection="1">
      <alignment vertical="center"/>
    </xf>
    <xf numFmtId="0" fontId="23" fillId="2" borderId="0" xfId="0" applyFont="1" applyFill="1" applyAlignment="1" applyProtection="1">
      <alignment horizontal="center" vertical="center"/>
    </xf>
    <xf numFmtId="0" fontId="23" fillId="2" borderId="0" xfId="0" applyFont="1" applyFill="1" applyAlignment="1" applyProtection="1">
      <alignment horizontal="center" vertical="center" wrapText="1"/>
    </xf>
    <xf numFmtId="0" fontId="24" fillId="2" borderId="0" xfId="0" quotePrefix="1" applyFont="1" applyFill="1" applyAlignment="1" applyProtection="1">
      <alignment horizontal="right" vertical="center"/>
    </xf>
    <xf numFmtId="3" fontId="24" fillId="2" borderId="0" xfId="0" quotePrefix="1" applyNumberFormat="1" applyFont="1" applyFill="1" applyAlignment="1" applyProtection="1">
      <alignment vertical="center"/>
    </xf>
    <xf numFmtId="3" fontId="24" fillId="2" borderId="1" xfId="0" applyNumberFormat="1" applyFont="1" applyFill="1" applyBorder="1" applyAlignment="1" applyProtection="1">
      <alignment vertical="center"/>
    </xf>
    <xf numFmtId="3" fontId="24" fillId="2" borderId="2" xfId="0" applyNumberFormat="1" applyFont="1" applyFill="1" applyBorder="1" applyAlignment="1" applyProtection="1">
      <alignment vertical="center"/>
    </xf>
    <xf numFmtId="3" fontId="24" fillId="2" borderId="0" xfId="0" applyNumberFormat="1" applyFont="1" applyFill="1" applyBorder="1" applyAlignment="1" applyProtection="1">
      <alignment vertical="center"/>
    </xf>
    <xf numFmtId="0" fontId="24" fillId="2" borderId="0" xfId="0" quotePrefix="1" applyFont="1" applyFill="1" applyAlignment="1" applyProtection="1">
      <alignment vertical="center"/>
    </xf>
    <xf numFmtId="3" fontId="24" fillId="2" borderId="9" xfId="0" applyNumberFormat="1" applyFont="1" applyFill="1" applyBorder="1" applyAlignment="1" applyProtection="1">
      <alignment vertical="center"/>
    </xf>
    <xf numFmtId="0" fontId="24" fillId="2" borderId="9" xfId="0" applyFont="1" applyFill="1" applyBorder="1" applyAlignment="1" applyProtection="1">
      <alignment vertical="center"/>
    </xf>
    <xf numFmtId="173" fontId="24" fillId="2" borderId="1" xfId="0" applyNumberFormat="1" applyFont="1" applyFill="1" applyBorder="1" applyAlignment="1" applyProtection="1">
      <alignment vertical="center"/>
    </xf>
    <xf numFmtId="0" fontId="24" fillId="2" borderId="0" xfId="0" quotePrefix="1" applyFont="1" applyFill="1" applyBorder="1" applyAlignment="1" applyProtection="1">
      <alignment vertical="center"/>
    </xf>
    <xf numFmtId="3" fontId="24" fillId="2" borderId="15" xfId="0" applyNumberFormat="1" applyFont="1" applyFill="1" applyBorder="1" applyAlignment="1" applyProtection="1">
      <alignment vertical="center"/>
    </xf>
    <xf numFmtId="3" fontId="24" fillId="2" borderId="1" xfId="1" applyNumberFormat="1" applyFont="1" applyFill="1" applyBorder="1" applyAlignment="1" applyProtection="1">
      <alignment vertical="center"/>
    </xf>
    <xf numFmtId="0" fontId="25" fillId="12" borderId="0" xfId="0" applyFont="1" applyFill="1"/>
    <xf numFmtId="37" fontId="3" fillId="12" borderId="0" xfId="0" applyNumberFormat="1" applyFont="1" applyFill="1" applyAlignment="1" applyProtection="1">
      <alignment vertical="center"/>
    </xf>
    <xf numFmtId="0" fontId="3" fillId="12" borderId="0" xfId="0" applyFont="1" applyFill="1" applyAlignment="1" applyProtection="1">
      <alignment vertical="center"/>
    </xf>
    <xf numFmtId="1" fontId="3" fillId="12" borderId="0" xfId="0" applyNumberFormat="1" applyFont="1" applyFill="1" applyBorder="1" applyAlignment="1" applyProtection="1">
      <alignment horizontal="right" vertical="center"/>
    </xf>
    <xf numFmtId="37" fontId="3" fillId="12" borderId="0" xfId="0" applyNumberFormat="1" applyFont="1" applyFill="1" applyAlignment="1" applyProtection="1">
      <alignment horizontal="right" vertical="center"/>
    </xf>
    <xf numFmtId="0" fontId="4" fillId="12" borderId="0" xfId="0" applyFont="1" applyFill="1" applyAlignment="1" applyProtection="1">
      <alignment vertical="center"/>
    </xf>
    <xf numFmtId="174" fontId="3" fillId="12" borderId="1" xfId="0" applyNumberFormat="1" applyFont="1" applyFill="1" applyBorder="1" applyAlignment="1" applyProtection="1">
      <alignment vertical="center"/>
    </xf>
    <xf numFmtId="37" fontId="3" fillId="12" borderId="1" xfId="0" quotePrefix="1" applyNumberFormat="1" applyFont="1" applyFill="1" applyBorder="1" applyAlignment="1" applyProtection="1">
      <alignment horizontal="right" vertical="center"/>
    </xf>
    <xf numFmtId="37" fontId="3" fillId="12" borderId="0" xfId="0" applyNumberFormat="1" applyFont="1" applyFill="1" applyAlignment="1" applyProtection="1">
      <alignment horizontal="left" vertical="center"/>
    </xf>
    <xf numFmtId="1" fontId="3" fillId="12" borderId="17" xfId="0" applyNumberFormat="1" applyFont="1" applyFill="1" applyBorder="1" applyAlignment="1" applyProtection="1">
      <alignment horizontal="center" vertical="center"/>
    </xf>
    <xf numFmtId="37" fontId="3" fillId="12" borderId="17" xfId="0" applyNumberFormat="1" applyFont="1" applyFill="1" applyBorder="1" applyAlignment="1" applyProtection="1">
      <alignment horizontal="center" vertical="center"/>
    </xf>
    <xf numFmtId="37" fontId="3" fillId="12" borderId="4" xfId="0" applyNumberFormat="1" applyFont="1" applyFill="1" applyBorder="1" applyAlignment="1" applyProtection="1">
      <alignment horizontal="center" vertical="center"/>
    </xf>
    <xf numFmtId="37" fontId="4" fillId="12" borderId="0" xfId="0" applyNumberFormat="1" applyFont="1" applyFill="1" applyBorder="1" applyAlignment="1" applyProtection="1">
      <alignment vertical="center"/>
    </xf>
    <xf numFmtId="0" fontId="3" fillId="12" borderId="12" xfId="0" applyNumberFormat="1" applyFont="1" applyFill="1" applyBorder="1" applyAlignment="1" applyProtection="1">
      <alignment horizontal="center" vertical="center"/>
    </xf>
    <xf numFmtId="0" fontId="3" fillId="12" borderId="5" xfId="0" applyNumberFormat="1" applyFont="1" applyFill="1" applyBorder="1" applyAlignment="1" applyProtection="1">
      <alignment horizontal="center" vertical="center"/>
    </xf>
    <xf numFmtId="37" fontId="3" fillId="12" borderId="10" xfId="0" applyNumberFormat="1" applyFont="1" applyFill="1" applyBorder="1" applyAlignment="1" applyProtection="1">
      <alignment horizontal="left" vertical="center"/>
    </xf>
    <xf numFmtId="3" fontId="3" fillId="12" borderId="3" xfId="0" applyNumberFormat="1" applyFont="1" applyFill="1" applyBorder="1" applyAlignment="1" applyProtection="1">
      <alignment vertical="center"/>
      <protection locked="0"/>
    </xf>
    <xf numFmtId="3" fontId="3" fillId="12" borderId="3" xfId="0" applyNumberFormat="1" applyFont="1" applyFill="1" applyBorder="1" applyAlignment="1" applyProtection="1">
      <alignment vertical="center"/>
    </xf>
    <xf numFmtId="37" fontId="3" fillId="12" borderId="3" xfId="0" applyNumberFormat="1" applyFont="1" applyFill="1" applyBorder="1" applyAlignment="1" applyProtection="1">
      <alignment vertical="center"/>
    </xf>
    <xf numFmtId="0" fontId="3" fillId="12" borderId="12" xfId="0" applyFont="1" applyFill="1" applyBorder="1" applyAlignment="1" applyProtection="1">
      <alignment vertical="center"/>
      <protection locked="0"/>
    </xf>
    <xf numFmtId="37" fontId="3" fillId="12" borderId="3" xfId="0" applyNumberFormat="1" applyFont="1" applyFill="1" applyBorder="1" applyAlignment="1" applyProtection="1">
      <alignment vertical="center"/>
      <protection locked="0"/>
    </xf>
    <xf numFmtId="0" fontId="3" fillId="12" borderId="10" xfId="0" applyFont="1" applyFill="1" applyBorder="1" applyAlignment="1" applyProtection="1">
      <alignment vertical="center"/>
      <protection locked="0"/>
    </xf>
    <xf numFmtId="37" fontId="3" fillId="12" borderId="10" xfId="0" applyNumberFormat="1" applyFont="1" applyFill="1" applyBorder="1" applyAlignment="1" applyProtection="1">
      <alignment horizontal="left" vertical="center"/>
      <protection locked="0"/>
    </xf>
    <xf numFmtId="37" fontId="3" fillId="12" borderId="10" xfId="0" applyNumberFormat="1" applyFont="1" applyFill="1" applyBorder="1" applyAlignment="1" applyProtection="1">
      <alignment vertical="center"/>
    </xf>
    <xf numFmtId="37" fontId="3" fillId="12" borderId="8" xfId="0" applyNumberFormat="1" applyFont="1" applyFill="1" applyBorder="1" applyAlignment="1" applyProtection="1">
      <alignment vertical="center"/>
      <protection locked="0"/>
    </xf>
    <xf numFmtId="0" fontId="3" fillId="12" borderId="10" xfId="0" applyFont="1" applyFill="1" applyBorder="1" applyAlignment="1" applyProtection="1">
      <alignment horizontal="left" vertical="center"/>
    </xf>
    <xf numFmtId="3" fontId="9" fillId="12" borderId="3" xfId="0" applyNumberFormat="1" applyFont="1" applyFill="1" applyBorder="1" applyAlignment="1" applyProtection="1">
      <alignment horizontal="center" vertical="center"/>
    </xf>
    <xf numFmtId="3" fontId="9" fillId="12" borderId="8" xfId="0" applyNumberFormat="1" applyFont="1" applyFill="1" applyBorder="1" applyAlignment="1" applyProtection="1">
      <alignment horizontal="center" vertical="center"/>
    </xf>
    <xf numFmtId="37" fontId="4" fillId="12" borderId="10" xfId="0" applyNumberFormat="1" applyFont="1" applyFill="1" applyBorder="1" applyAlignment="1" applyProtection="1">
      <alignment horizontal="left" vertical="center"/>
    </xf>
    <xf numFmtId="3" fontId="4" fillId="12" borderId="3" xfId="0" applyNumberFormat="1" applyFont="1" applyFill="1" applyBorder="1" applyAlignment="1" applyProtection="1">
      <alignment vertical="center"/>
    </xf>
    <xf numFmtId="0" fontId="3" fillId="12" borderId="10" xfId="0" applyFont="1" applyFill="1" applyBorder="1" applyAlignment="1" applyProtection="1">
      <alignment vertical="center"/>
    </xf>
    <xf numFmtId="0" fontId="3" fillId="12" borderId="0" xfId="0" applyFont="1" applyFill="1" applyAlignment="1" applyProtection="1">
      <alignment horizontal="right" vertical="center"/>
    </xf>
    <xf numFmtId="3" fontId="3" fillId="12" borderId="3" xfId="0" applyNumberFormat="1" applyFont="1" applyFill="1" applyBorder="1" applyAlignment="1" applyProtection="1">
      <alignment horizontal="center" vertical="center"/>
    </xf>
    <xf numFmtId="37" fontId="5" fillId="12" borderId="3" xfId="0" applyNumberFormat="1" applyFont="1" applyFill="1" applyBorder="1" applyAlignment="1" applyProtection="1">
      <alignment horizontal="center" vertical="center"/>
    </xf>
    <xf numFmtId="0" fontId="5" fillId="12" borderId="0" xfId="0" applyFont="1" applyFill="1" applyAlignment="1" applyProtection="1">
      <alignment horizontal="center" vertical="center"/>
    </xf>
    <xf numFmtId="37" fontId="3" fillId="12" borderId="0" xfId="0" applyNumberFormat="1" applyFont="1" applyFill="1" applyBorder="1" applyAlignment="1" applyProtection="1">
      <alignment vertical="center"/>
    </xf>
    <xf numFmtId="0" fontId="0" fillId="12" borderId="0" xfId="0" applyFill="1" applyAlignment="1">
      <alignment vertical="center"/>
    </xf>
    <xf numFmtId="0" fontId="3" fillId="12" borderId="0" xfId="0" applyFont="1" applyFill="1" applyAlignment="1" applyProtection="1">
      <alignment horizontal="left" vertical="center"/>
      <protection locked="0"/>
    </xf>
    <xf numFmtId="0" fontId="3" fillId="12" borderId="12" xfId="0" applyFont="1" applyFill="1" applyBorder="1" applyAlignment="1" applyProtection="1">
      <alignment horizontal="left" vertical="center"/>
    </xf>
    <xf numFmtId="0" fontId="3" fillId="12" borderId="10" xfId="0" applyFont="1" applyFill="1" applyBorder="1" applyAlignment="1" applyProtection="1">
      <alignment horizontal="left" vertical="center"/>
      <protection locked="0"/>
    </xf>
    <xf numFmtId="3" fontId="3" fillId="12" borderId="8" xfId="0" applyNumberFormat="1" applyFont="1" applyFill="1" applyBorder="1" applyAlignment="1" applyProtection="1">
      <alignment vertical="center"/>
      <protection locked="0"/>
    </xf>
    <xf numFmtId="3" fontId="3" fillId="12" borderId="0" xfId="0" applyNumberFormat="1" applyFont="1" applyFill="1" applyBorder="1" applyAlignment="1" applyProtection="1">
      <alignment vertical="center"/>
    </xf>
    <xf numFmtId="37" fontId="3" fillId="12" borderId="0" xfId="0" applyNumberFormat="1" applyFont="1" applyFill="1" applyBorder="1" applyAlignment="1" applyProtection="1">
      <alignment horizontal="left" vertical="center"/>
    </xf>
    <xf numFmtId="3" fontId="3" fillId="12" borderId="0" xfId="0" applyNumberFormat="1" applyFont="1" applyFill="1" applyAlignment="1" applyProtection="1">
      <alignment vertical="center"/>
    </xf>
    <xf numFmtId="3" fontId="3" fillId="12" borderId="1" xfId="0" applyNumberFormat="1" applyFont="1" applyFill="1" applyBorder="1" applyAlignment="1" applyProtection="1">
      <alignment horizontal="fill" vertical="center"/>
    </xf>
    <xf numFmtId="1" fontId="3" fillId="12" borderId="4" xfId="0" applyNumberFormat="1" applyFont="1" applyFill="1" applyBorder="1" applyAlignment="1" applyProtection="1">
      <alignment horizontal="center" vertical="center"/>
    </xf>
    <xf numFmtId="37" fontId="4" fillId="12" borderId="1" xfId="0" applyNumberFormat="1" applyFont="1" applyFill="1" applyBorder="1" applyAlignment="1" applyProtection="1">
      <alignment vertical="center"/>
    </xf>
    <xf numFmtId="0" fontId="3" fillId="12" borderId="5" xfId="0" applyFont="1" applyFill="1" applyBorder="1" applyAlignment="1" applyProtection="1">
      <alignment horizontal="center" vertical="center"/>
      <protection locked="0"/>
    </xf>
    <xf numFmtId="3" fontId="3" fillId="12" borderId="5" xfId="1" applyNumberFormat="1" applyFont="1" applyFill="1" applyBorder="1" applyAlignment="1" applyProtection="1">
      <alignment horizontal="right" vertical="center"/>
      <protection locked="0"/>
    </xf>
    <xf numFmtId="0" fontId="3" fillId="12" borderId="3" xfId="0" applyFont="1" applyFill="1" applyBorder="1" applyAlignment="1" applyProtection="1">
      <alignment horizontal="center" vertical="center"/>
      <protection locked="0"/>
    </xf>
    <xf numFmtId="3" fontId="3" fillId="12" borderId="3" xfId="1" applyNumberFormat="1" applyFont="1" applyFill="1" applyBorder="1" applyAlignment="1" applyProtection="1">
      <alignment horizontal="right" vertical="center"/>
      <protection locked="0"/>
    </xf>
    <xf numFmtId="0" fontId="3" fillId="12" borderId="0" xfId="0" applyFont="1" applyFill="1" applyAlignment="1" applyProtection="1">
      <alignment horizontal="center" vertical="center"/>
      <protection locked="0"/>
    </xf>
    <xf numFmtId="0" fontId="4" fillId="12" borderId="3" xfId="0" applyFont="1" applyFill="1" applyBorder="1" applyAlignment="1" applyProtection="1">
      <alignment horizontal="center" vertical="center"/>
    </xf>
    <xf numFmtId="3" fontId="3" fillId="12" borderId="3" xfId="0" applyNumberFormat="1" applyFont="1" applyFill="1" applyBorder="1" applyAlignment="1" applyProtection="1">
      <alignment horizontal="right" vertical="center"/>
    </xf>
    <xf numFmtId="37" fontId="4" fillId="12" borderId="3" xfId="0" applyNumberFormat="1" applyFont="1" applyFill="1" applyBorder="1" applyAlignment="1" applyProtection="1">
      <alignment horizontal="center" vertical="center"/>
    </xf>
    <xf numFmtId="0" fontId="3" fillId="12" borderId="3" xfId="0" applyFont="1" applyFill="1" applyBorder="1" applyAlignment="1" applyProtection="1">
      <alignment horizontal="center" vertical="center"/>
    </xf>
    <xf numFmtId="0" fontId="3" fillId="12" borderId="3" xfId="0" applyFont="1" applyFill="1" applyBorder="1" applyAlignment="1" applyProtection="1">
      <alignment vertical="center"/>
      <protection locked="0"/>
    </xf>
    <xf numFmtId="14" fontId="3" fillId="12" borderId="3" xfId="0" applyNumberFormat="1" applyFont="1" applyFill="1" applyBorder="1" applyAlignment="1" applyProtection="1">
      <alignment horizontal="center" vertical="center"/>
      <protection locked="0"/>
    </xf>
    <xf numFmtId="2" fontId="3" fillId="12" borderId="3" xfId="0" applyNumberFormat="1" applyFont="1" applyFill="1" applyBorder="1" applyAlignment="1" applyProtection="1">
      <alignment horizontal="center" vertical="center"/>
      <protection locked="0"/>
    </xf>
    <xf numFmtId="3" fontId="3" fillId="12" borderId="3" xfId="0" applyNumberFormat="1" applyFont="1" applyFill="1" applyBorder="1" applyAlignment="1" applyProtection="1">
      <alignment horizontal="center" vertical="center"/>
      <protection locked="0"/>
    </xf>
    <xf numFmtId="37" fontId="3" fillId="12" borderId="3" xfId="0" applyNumberFormat="1" applyFont="1" applyFill="1" applyBorder="1" applyAlignment="1" applyProtection="1">
      <alignment horizontal="center" vertical="center"/>
      <protection locked="0"/>
    </xf>
    <xf numFmtId="176" fontId="3" fillId="12" borderId="3" xfId="0" applyNumberFormat="1" applyFont="1" applyFill="1" applyBorder="1" applyAlignment="1" applyProtection="1">
      <alignment horizontal="center" vertical="center"/>
      <protection locked="0"/>
    </xf>
    <xf numFmtId="0" fontId="4" fillId="12" borderId="3" xfId="0" applyFont="1" applyFill="1" applyBorder="1" applyAlignment="1" applyProtection="1">
      <alignment horizontal="left" vertical="center"/>
    </xf>
    <xf numFmtId="177" fontId="4" fillId="12" borderId="3" xfId="0" applyNumberFormat="1" applyFont="1" applyFill="1" applyBorder="1" applyAlignment="1" applyProtection="1">
      <alignment horizontal="center" vertical="center"/>
    </xf>
    <xf numFmtId="2" fontId="4" fillId="12" borderId="3" xfId="0" applyNumberFormat="1" applyFont="1" applyFill="1" applyBorder="1" applyAlignment="1" applyProtection="1">
      <alignment horizontal="center" vertical="center"/>
    </xf>
    <xf numFmtId="3" fontId="4" fillId="12" borderId="3" xfId="0" applyNumberFormat="1" applyFont="1" applyFill="1" applyBorder="1" applyAlignment="1" applyProtection="1">
      <alignment horizontal="center" vertical="center"/>
    </xf>
    <xf numFmtId="176" fontId="4" fillId="12" borderId="3" xfId="0" applyNumberFormat="1" applyFont="1" applyFill="1" applyBorder="1" applyAlignment="1" applyProtection="1">
      <alignment horizontal="center" vertical="center"/>
    </xf>
    <xf numFmtId="0" fontId="3" fillId="12" borderId="3" xfId="0" applyFont="1" applyFill="1" applyBorder="1" applyAlignment="1" applyProtection="1">
      <alignment horizontal="left" vertical="center"/>
    </xf>
    <xf numFmtId="177" fontId="3" fillId="12" borderId="3" xfId="0" applyNumberFormat="1" applyFont="1" applyFill="1" applyBorder="1" applyAlignment="1" applyProtection="1">
      <alignment horizontal="center" vertical="center"/>
    </xf>
    <xf numFmtId="2" fontId="3" fillId="12" borderId="3" xfId="0" applyNumberFormat="1" applyFont="1" applyFill="1" applyBorder="1" applyAlignment="1" applyProtection="1">
      <alignment horizontal="center" vertical="center"/>
    </xf>
    <xf numFmtId="176" fontId="3" fillId="12" borderId="3" xfId="0" applyNumberFormat="1" applyFont="1" applyFill="1" applyBorder="1" applyAlignment="1" applyProtection="1">
      <alignment horizontal="center" vertical="center"/>
    </xf>
    <xf numFmtId="1" fontId="4" fillId="12" borderId="3" xfId="0" applyNumberFormat="1" applyFont="1" applyFill="1" applyBorder="1" applyAlignment="1" applyProtection="1">
      <alignment horizontal="center" vertical="center"/>
    </xf>
    <xf numFmtId="1" fontId="3" fillId="12" borderId="3" xfId="0" applyNumberFormat="1" applyFont="1" applyFill="1" applyBorder="1" applyAlignment="1" applyProtection="1">
      <alignment horizontal="center" vertical="center"/>
    </xf>
    <xf numFmtId="0" fontId="3" fillId="12" borderId="0" xfId="0" applyFont="1" applyFill="1" applyBorder="1" applyAlignment="1" applyProtection="1">
      <alignment horizontal="fill" vertical="center"/>
    </xf>
    <xf numFmtId="0" fontId="3" fillId="12" borderId="0" xfId="0" applyFont="1" applyFill="1" applyAlignment="1" applyProtection="1">
      <alignment horizontal="left" vertical="center"/>
    </xf>
    <xf numFmtId="3" fontId="3" fillId="12" borderId="10" xfId="0" applyNumberFormat="1" applyFont="1" applyFill="1" applyBorder="1" applyAlignment="1" applyProtection="1">
      <alignment vertical="center"/>
      <protection locked="0"/>
    </xf>
    <xf numFmtId="3" fontId="3" fillId="12" borderId="10" xfId="0" applyNumberFormat="1" applyFont="1" applyFill="1" applyBorder="1" applyAlignment="1" applyProtection="1">
      <alignment vertical="center"/>
    </xf>
    <xf numFmtId="37" fontId="3" fillId="12" borderId="3" xfId="0" applyNumberFormat="1" applyFont="1" applyFill="1" applyBorder="1" applyAlignment="1" applyProtection="1">
      <alignment horizontal="fill" vertical="center"/>
    </xf>
    <xf numFmtId="37" fontId="3" fillId="12" borderId="10" xfId="0" applyNumberFormat="1" applyFont="1" applyFill="1" applyBorder="1" applyAlignment="1" applyProtection="1">
      <alignment vertical="center"/>
      <protection locked="0"/>
    </xf>
    <xf numFmtId="0" fontId="3" fillId="12" borderId="10" xfId="5" applyNumberFormat="1" applyFont="1" applyFill="1" applyBorder="1" applyAlignment="1" applyProtection="1">
      <alignment horizontal="left" vertical="center"/>
      <protection locked="0"/>
    </xf>
    <xf numFmtId="0" fontId="3" fillId="12" borderId="10" xfId="0" applyNumberFormat="1" applyFont="1" applyFill="1" applyBorder="1" applyAlignment="1" applyProtection="1">
      <alignment horizontal="left" vertical="center"/>
      <protection locked="0"/>
    </xf>
    <xf numFmtId="37" fontId="3" fillId="12" borderId="10" xfId="6" applyNumberFormat="1" applyFont="1" applyFill="1" applyBorder="1" applyAlignment="1" applyProtection="1">
      <alignment vertical="center"/>
      <protection locked="0"/>
    </xf>
    <xf numFmtId="37" fontId="9" fillId="12" borderId="10" xfId="0" applyNumberFormat="1" applyFont="1" applyFill="1" applyBorder="1" applyAlignment="1" applyProtection="1">
      <alignment horizontal="center" vertical="center"/>
    </xf>
    <xf numFmtId="37" fontId="9" fillId="12" borderId="3" xfId="0" applyNumberFormat="1" applyFont="1" applyFill="1" applyBorder="1" applyAlignment="1" applyProtection="1">
      <alignment horizontal="center" vertical="center"/>
    </xf>
    <xf numFmtId="37" fontId="9" fillId="12" borderId="8" xfId="0" applyNumberFormat="1" applyFont="1" applyFill="1" applyBorder="1" applyAlignment="1" applyProtection="1">
      <alignment horizontal="center" vertical="center"/>
    </xf>
    <xf numFmtId="3" fontId="4" fillId="12" borderId="10" xfId="0" applyNumberFormat="1" applyFont="1" applyFill="1" applyBorder="1" applyAlignment="1" applyProtection="1">
      <alignment vertical="center"/>
    </xf>
    <xf numFmtId="0" fontId="3" fillId="12" borderId="0" xfId="0" applyFont="1" applyFill="1" applyAlignment="1" applyProtection="1">
      <alignment horizontal="center" vertical="center"/>
    </xf>
    <xf numFmtId="0" fontId="4" fillId="12" borderId="0" xfId="0" applyFont="1" applyFill="1" applyAlignment="1" applyProtection="1">
      <alignment horizontal="left" vertical="center"/>
    </xf>
    <xf numFmtId="0" fontId="3" fillId="12" borderId="1" xfId="0" applyFont="1" applyFill="1" applyBorder="1" applyAlignment="1" applyProtection="1">
      <alignment horizontal="fill" vertical="center"/>
    </xf>
    <xf numFmtId="37" fontId="3" fillId="12" borderId="1" xfId="0" applyNumberFormat="1" applyFont="1" applyFill="1" applyBorder="1" applyAlignment="1" applyProtection="1">
      <alignment vertical="center"/>
    </xf>
    <xf numFmtId="0" fontId="4" fillId="12" borderId="10" xfId="0" applyFont="1" applyFill="1" applyBorder="1" applyAlignment="1" applyProtection="1">
      <alignment horizontal="left" vertical="center"/>
    </xf>
    <xf numFmtId="3" fontId="3" fillId="12" borderId="3" xfId="0" applyNumberFormat="1" applyFont="1" applyFill="1" applyBorder="1" applyAlignment="1" applyProtection="1">
      <alignment horizontal="fill" vertical="center"/>
    </xf>
    <xf numFmtId="3" fontId="3" fillId="12" borderId="0" xfId="0" applyNumberFormat="1" applyFont="1" applyFill="1" applyAlignment="1" applyProtection="1">
      <alignment horizontal="center" vertical="center"/>
    </xf>
    <xf numFmtId="0" fontId="21" fillId="12" borderId="0" xfId="0" applyFont="1" applyFill="1" applyAlignment="1" applyProtection="1">
      <alignment horizontal="center" vertical="center"/>
    </xf>
    <xf numFmtId="0" fontId="3" fillId="12" borderId="0" xfId="5" applyFont="1" applyFill="1" applyAlignment="1" applyProtection="1">
      <alignment horizontal="right" vertical="center"/>
    </xf>
    <xf numFmtId="166" fontId="3" fillId="12" borderId="0" xfId="0" applyNumberFormat="1" applyFont="1" applyFill="1" applyAlignment="1" applyProtection="1">
      <alignment horizontal="center" vertical="center"/>
    </xf>
    <xf numFmtId="3" fontId="3" fillId="12" borderId="19" xfId="0" applyNumberFormat="1" applyFont="1" applyFill="1" applyBorder="1" applyAlignment="1" applyProtection="1">
      <alignment vertical="center"/>
    </xf>
    <xf numFmtId="171" fontId="3" fillId="12" borderId="0" xfId="0" applyNumberFormat="1" applyFont="1" applyFill="1" applyBorder="1" applyAlignment="1" applyProtection="1">
      <alignment horizontal="right" vertical="center"/>
      <protection locked="0"/>
    </xf>
    <xf numFmtId="37" fontId="23" fillId="12" borderId="0" xfId="0" applyNumberFormat="1" applyFont="1" applyFill="1" applyAlignment="1" applyProtection="1">
      <alignment horizontal="center" vertical="center"/>
    </xf>
    <xf numFmtId="0" fontId="23" fillId="12" borderId="0" xfId="0" applyFont="1" applyFill="1" applyAlignment="1" applyProtection="1">
      <alignment vertical="center"/>
    </xf>
    <xf numFmtId="37" fontId="24" fillId="12" borderId="0" xfId="0" applyNumberFormat="1" applyFont="1" applyFill="1" applyAlignment="1" applyProtection="1">
      <alignment horizontal="centerContinuous" vertical="center"/>
    </xf>
    <xf numFmtId="0" fontId="24" fillId="12" borderId="0" xfId="0" applyFont="1" applyFill="1" applyAlignment="1" applyProtection="1">
      <alignment horizontal="centerContinuous" vertical="center"/>
    </xf>
    <xf numFmtId="37" fontId="24" fillId="12" borderId="10" xfId="0" applyNumberFormat="1" applyFont="1" applyFill="1" applyBorder="1" applyAlignment="1" applyProtection="1">
      <alignment horizontal="centerContinuous" vertical="center"/>
    </xf>
    <xf numFmtId="0" fontId="24" fillId="12" borderId="2" xfId="0" applyFont="1" applyFill="1" applyBorder="1" applyAlignment="1" applyProtection="1">
      <alignment horizontal="centerContinuous" vertical="center"/>
    </xf>
    <xf numFmtId="0" fontId="24" fillId="12" borderId="8" xfId="0" applyFont="1" applyFill="1" applyBorder="1" applyAlignment="1" applyProtection="1">
      <alignment horizontal="centerContinuous" vertical="center"/>
    </xf>
    <xf numFmtId="37" fontId="24" fillId="12" borderId="1" xfId="0" applyNumberFormat="1" applyFont="1" applyFill="1" applyBorder="1" applyAlignment="1" applyProtection="1">
      <alignment horizontal="fill" vertical="center"/>
    </xf>
    <xf numFmtId="37" fontId="24" fillId="12" borderId="4" xfId="0" applyNumberFormat="1" applyFont="1" applyFill="1" applyBorder="1" applyAlignment="1" applyProtection="1">
      <alignment horizontal="left" vertical="center"/>
    </xf>
    <xf numFmtId="37" fontId="24" fillId="12" borderId="4" xfId="0" applyNumberFormat="1" applyFont="1" applyFill="1" applyBorder="1" applyAlignment="1" applyProtection="1">
      <alignment horizontal="center" vertical="center"/>
    </xf>
    <xf numFmtId="37" fontId="24" fillId="12" borderId="0" xfId="0" applyNumberFormat="1" applyFont="1" applyFill="1" applyAlignment="1" applyProtection="1">
      <alignment horizontal="left" vertical="center"/>
    </xf>
    <xf numFmtId="37" fontId="24" fillId="12" borderId="11" xfId="0" applyNumberFormat="1" applyFont="1" applyFill="1" applyBorder="1" applyAlignment="1" applyProtection="1">
      <alignment horizontal="center" vertical="center"/>
    </xf>
    <xf numFmtId="0" fontId="24" fillId="12" borderId="11" xfId="0" applyFont="1" applyFill="1" applyBorder="1" applyAlignment="1" applyProtection="1">
      <alignment horizontal="center" vertical="center"/>
    </xf>
    <xf numFmtId="37" fontId="23" fillId="12" borderId="1" xfId="0" applyNumberFormat="1" applyFont="1" applyFill="1" applyBorder="1" applyAlignment="1" applyProtection="1">
      <alignment horizontal="left" vertical="center"/>
    </xf>
    <xf numFmtId="0" fontId="24" fillId="12" borderId="1" xfId="0" applyFont="1" applyFill="1" applyBorder="1" applyAlignment="1" applyProtection="1">
      <alignment vertical="center"/>
    </xf>
    <xf numFmtId="37" fontId="24" fillId="12" borderId="5" xfId="0" applyNumberFormat="1" applyFont="1" applyFill="1" applyBorder="1" applyAlignment="1" applyProtection="1">
      <alignment horizontal="left" vertical="center"/>
    </xf>
    <xf numFmtId="37" fontId="24" fillId="12" borderId="5" xfId="0" applyNumberFormat="1" applyFont="1" applyFill="1" applyBorder="1" applyAlignment="1" applyProtection="1">
      <alignment horizontal="center" vertical="center"/>
    </xf>
    <xf numFmtId="0" fontId="24" fillId="12" borderId="5" xfId="0" applyFont="1" applyFill="1" applyBorder="1" applyAlignment="1" applyProtection="1">
      <alignment horizontal="center" vertical="center"/>
    </xf>
    <xf numFmtId="0" fontId="24" fillId="12" borderId="8" xfId="0" applyFont="1" applyFill="1" applyBorder="1" applyAlignment="1" applyProtection="1">
      <alignment vertical="center"/>
    </xf>
    <xf numFmtId="37" fontId="24" fillId="12" borderId="3" xfId="0" applyNumberFormat="1" applyFont="1" applyFill="1" applyBorder="1" applyAlignment="1" applyProtection="1">
      <alignment horizontal="left" vertical="center"/>
    </xf>
    <xf numFmtId="0" fontId="24" fillId="12" borderId="4" xfId="0" applyFont="1" applyFill="1" applyBorder="1" applyAlignment="1" applyProtection="1">
      <alignment vertical="center"/>
    </xf>
    <xf numFmtId="0" fontId="24" fillId="12" borderId="11" xfId="0" applyFont="1" applyFill="1" applyBorder="1" applyAlignment="1" applyProtection="1">
      <alignment vertical="center"/>
    </xf>
    <xf numFmtId="37" fontId="24" fillId="12" borderId="12" xfId="0" applyNumberFormat="1" applyFont="1" applyFill="1" applyBorder="1" applyAlignment="1" applyProtection="1">
      <alignment horizontal="left" vertical="center"/>
    </xf>
    <xf numFmtId="37" fontId="24" fillId="12" borderId="8" xfId="0" applyNumberFormat="1" applyFont="1" applyFill="1" applyBorder="1" applyAlignment="1" applyProtection="1">
      <alignment horizontal="left" vertical="center"/>
    </xf>
    <xf numFmtId="37" fontId="26" fillId="12" borderId="10" xfId="0" applyNumberFormat="1" applyFont="1" applyFill="1" applyBorder="1" applyAlignment="1" applyProtection="1">
      <alignment horizontal="left" vertical="center"/>
    </xf>
    <xf numFmtId="37" fontId="26" fillId="12" borderId="8" xfId="0" applyNumberFormat="1" applyFont="1" applyFill="1" applyBorder="1" applyAlignment="1" applyProtection="1">
      <alignment horizontal="center" vertical="center"/>
    </xf>
    <xf numFmtId="0" fontId="24" fillId="12" borderId="3" xfId="0" applyFont="1" applyFill="1" applyBorder="1" applyAlignment="1" applyProtection="1">
      <alignment horizontal="left" vertical="center"/>
    </xf>
    <xf numFmtId="0" fontId="24" fillId="12" borderId="5" xfId="0" applyFont="1" applyFill="1" applyBorder="1" applyAlignment="1" applyProtection="1">
      <alignment vertical="center"/>
    </xf>
    <xf numFmtId="37" fontId="24" fillId="12" borderId="3" xfId="0" applyNumberFormat="1" applyFont="1" applyFill="1" applyBorder="1" applyAlignment="1" applyProtection="1">
      <alignment horizontal="center" vertical="center"/>
    </xf>
    <xf numFmtId="170" fontId="24" fillId="12" borderId="3" xfId="0" applyNumberFormat="1" applyFont="1" applyFill="1" applyBorder="1" applyAlignment="1" applyProtection="1">
      <alignment horizontal="right" vertical="center"/>
    </xf>
    <xf numFmtId="164" fontId="24" fillId="12" borderId="3" xfId="0" applyNumberFormat="1" applyFont="1" applyFill="1" applyBorder="1" applyAlignment="1" applyProtection="1">
      <alignment horizontal="right" vertical="center"/>
    </xf>
    <xf numFmtId="37" fontId="24" fillId="12" borderId="3" xfId="0" applyNumberFormat="1" applyFont="1" applyFill="1" applyBorder="1" applyAlignment="1" applyProtection="1">
      <alignment vertical="center"/>
    </xf>
    <xf numFmtId="0" fontId="24" fillId="12" borderId="3" xfId="0" applyFont="1" applyFill="1" applyBorder="1" applyAlignment="1" applyProtection="1">
      <alignment horizontal="right" vertical="center"/>
    </xf>
    <xf numFmtId="37" fontId="24" fillId="12" borderId="12" xfId="0" applyNumberFormat="1" applyFont="1" applyFill="1" applyBorder="1" applyAlignment="1" applyProtection="1">
      <alignment vertical="center"/>
    </xf>
    <xf numFmtId="0" fontId="24" fillId="12" borderId="7" xfId="0" applyFont="1" applyFill="1" applyBorder="1" applyAlignment="1" applyProtection="1">
      <alignment vertical="center"/>
    </xf>
    <xf numFmtId="37" fontId="24" fillId="12" borderId="8" xfId="0" applyNumberFormat="1" applyFont="1" applyFill="1" applyBorder="1" applyAlignment="1" applyProtection="1">
      <alignment horizontal="center" vertical="center"/>
    </xf>
    <xf numFmtId="37" fontId="23" fillId="12" borderId="12" xfId="0" applyNumberFormat="1" applyFont="1" applyFill="1" applyBorder="1" applyAlignment="1" applyProtection="1">
      <alignment horizontal="left" vertical="center"/>
    </xf>
    <xf numFmtId="37" fontId="24" fillId="12" borderId="3" xfId="0" applyNumberFormat="1" applyFont="1" applyFill="1" applyBorder="1" applyAlignment="1" applyProtection="1">
      <alignment horizontal="fill" vertical="center"/>
    </xf>
    <xf numFmtId="3" fontId="24" fillId="12" borderId="13" xfId="0" applyNumberFormat="1" applyFont="1" applyFill="1" applyBorder="1" applyAlignment="1" applyProtection="1">
      <alignment horizontal="right" vertical="center"/>
    </xf>
    <xf numFmtId="171" fontId="24" fillId="12" borderId="14" xfId="0" applyNumberFormat="1" applyFont="1" applyFill="1" applyBorder="1" applyAlignment="1" applyProtection="1">
      <alignment horizontal="right" vertical="center"/>
    </xf>
    <xf numFmtId="0" fontId="24" fillId="12" borderId="3" xfId="0" applyFont="1" applyFill="1" applyBorder="1" applyAlignment="1" applyProtection="1">
      <alignment vertical="center"/>
    </xf>
    <xf numFmtId="0" fontId="25" fillId="12" borderId="5" xfId="0" applyFont="1" applyFill="1" applyBorder="1" applyAlignment="1" applyProtection="1">
      <alignment vertical="center"/>
    </xf>
    <xf numFmtId="0" fontId="28" fillId="12" borderId="7" xfId="0" applyFont="1" applyFill="1" applyBorder="1" applyAlignment="1" applyProtection="1">
      <alignment horizontal="center" vertical="center"/>
    </xf>
    <xf numFmtId="0" fontId="24" fillId="12" borderId="3" xfId="0" applyFont="1" applyFill="1" applyBorder="1" applyAlignment="1" applyProtection="1">
      <alignment vertical="center" shrinkToFit="1"/>
    </xf>
    <xf numFmtId="0" fontId="24" fillId="12" borderId="0" xfId="0" applyFont="1" applyFill="1" applyBorder="1" applyAlignment="1" applyProtection="1">
      <alignment vertical="center" shrinkToFit="1"/>
    </xf>
    <xf numFmtId="172" fontId="24" fillId="12" borderId="3" xfId="1" applyNumberFormat="1" applyFont="1" applyFill="1" applyBorder="1" applyAlignment="1" applyProtection="1">
      <alignment vertical="center"/>
      <protection locked="0"/>
    </xf>
    <xf numFmtId="37" fontId="24" fillId="12" borderId="0" xfId="0" applyNumberFormat="1" applyFont="1" applyFill="1" applyBorder="1" applyAlignment="1" applyProtection="1">
      <alignment horizontal="left" vertical="center"/>
    </xf>
    <xf numFmtId="0" fontId="24" fillId="12" borderId="0" xfId="0" applyFont="1" applyFill="1" applyBorder="1" applyAlignment="1" applyProtection="1">
      <alignment vertical="center"/>
    </xf>
    <xf numFmtId="37" fontId="24" fillId="12" borderId="0" xfId="0" applyNumberFormat="1" applyFont="1" applyFill="1" applyBorder="1" applyAlignment="1" applyProtection="1">
      <alignment vertical="center"/>
    </xf>
    <xf numFmtId="0" fontId="25" fillId="12" borderId="0" xfId="0" applyFont="1" applyFill="1" applyBorder="1" applyAlignment="1" applyProtection="1">
      <alignment vertical="center"/>
    </xf>
    <xf numFmtId="0" fontId="28" fillId="12" borderId="0" xfId="0" applyFont="1" applyFill="1" applyBorder="1" applyAlignment="1" applyProtection="1">
      <alignment horizontal="center" vertical="center"/>
    </xf>
    <xf numFmtId="0" fontId="24" fillId="12" borderId="0" xfId="0" applyFont="1" applyFill="1" applyAlignment="1" applyProtection="1">
      <alignment vertical="center" shrinkToFit="1"/>
    </xf>
    <xf numFmtId="0" fontId="24" fillId="12" borderId="2" xfId="0" applyFont="1" applyFill="1" applyBorder="1" applyAlignment="1" applyProtection="1">
      <alignment vertical="center"/>
      <protection locked="0"/>
    </xf>
    <xf numFmtId="172" fontId="24" fillId="12" borderId="0" xfId="1" applyNumberFormat="1" applyFont="1" applyFill="1" applyBorder="1" applyAlignment="1" applyProtection="1">
      <alignment vertical="center"/>
    </xf>
    <xf numFmtId="0" fontId="24" fillId="12" borderId="1" xfId="0" applyFont="1" applyFill="1" applyBorder="1" applyAlignment="1" applyProtection="1">
      <alignment vertical="center"/>
      <protection locked="0"/>
    </xf>
    <xf numFmtId="37" fontId="24" fillId="12" borderId="0" xfId="0" applyNumberFormat="1" applyFont="1" applyFill="1" applyBorder="1" applyAlignment="1" applyProtection="1">
      <alignment horizontal="fill" vertical="center"/>
    </xf>
    <xf numFmtId="0" fontId="25" fillId="12" borderId="0" xfId="0" applyFont="1" applyFill="1" applyBorder="1" applyAlignment="1" applyProtection="1">
      <alignment vertical="center" wrapText="1"/>
    </xf>
    <xf numFmtId="37" fontId="24" fillId="12" borderId="0" xfId="0" applyNumberFormat="1" applyFont="1" applyFill="1" applyAlignment="1" applyProtection="1">
      <alignment horizontal="right" vertical="center"/>
    </xf>
    <xf numFmtId="37" fontId="24" fillId="12" borderId="0" xfId="0" applyNumberFormat="1" applyFont="1" applyFill="1" applyAlignment="1" applyProtection="1">
      <alignment horizontal="left" vertical="center"/>
      <protection locked="0"/>
    </xf>
    <xf numFmtId="0" fontId="24" fillId="12" borderId="0" xfId="0" applyFont="1" applyFill="1" applyAlignment="1" applyProtection="1">
      <alignment horizontal="left" vertical="center"/>
    </xf>
    <xf numFmtId="37" fontId="24" fillId="12" borderId="0" xfId="0" applyNumberFormat="1" applyFont="1" applyFill="1" applyAlignment="1" applyProtection="1">
      <alignment horizontal="center" vertical="center"/>
    </xf>
    <xf numFmtId="0" fontId="3" fillId="12" borderId="0" xfId="0" applyNumberFormat="1" applyFont="1" applyFill="1" applyAlignment="1" applyProtection="1">
      <alignment horizontal="right" vertical="center"/>
    </xf>
    <xf numFmtId="37" fontId="3" fillId="12" borderId="0" xfId="0" applyNumberFormat="1" applyFont="1" applyFill="1" applyBorder="1" applyAlignment="1" applyProtection="1">
      <alignment horizontal="fill" vertical="center"/>
    </xf>
    <xf numFmtId="1" fontId="3" fillId="12" borderId="5" xfId="0" applyNumberFormat="1" applyFont="1" applyFill="1" applyBorder="1" applyAlignment="1" applyProtection="1">
      <alignment horizontal="center" vertical="center"/>
    </xf>
    <xf numFmtId="37" fontId="3" fillId="12" borderId="10" xfId="0" applyNumberFormat="1" applyFont="1" applyFill="1" applyBorder="1" applyAlignment="1" applyProtection="1">
      <alignment horizontal="right" vertical="center"/>
      <protection locked="0"/>
    </xf>
    <xf numFmtId="37" fontId="3" fillId="12" borderId="12" xfId="0" applyNumberFormat="1" applyFont="1" applyFill="1" applyBorder="1" applyAlignment="1" applyProtection="1">
      <alignment horizontal="left" vertical="center"/>
    </xf>
    <xf numFmtId="3" fontId="9" fillId="12" borderId="10" xfId="0" applyNumberFormat="1" applyFont="1" applyFill="1" applyBorder="1" applyAlignment="1" applyProtection="1">
      <alignment horizontal="center" vertical="center"/>
    </xf>
    <xf numFmtId="0" fontId="3" fillId="12" borderId="0" xfId="7" applyNumberFormat="1" applyFont="1" applyFill="1" applyBorder="1" applyAlignment="1" applyProtection="1">
      <alignment horizontal="right" vertical="center"/>
    </xf>
    <xf numFmtId="178" fontId="3" fillId="12" borderId="0" xfId="0" applyNumberFormat="1" applyFont="1" applyFill="1" applyAlignment="1" applyProtection="1">
      <alignment horizontal="center" vertical="center"/>
      <protection locked="0"/>
    </xf>
    <xf numFmtId="0" fontId="3" fillId="12" borderId="0" xfId="0" applyFont="1" applyFill="1" applyAlignment="1" applyProtection="1">
      <alignment vertical="center"/>
      <protection locked="0"/>
    </xf>
    <xf numFmtId="37" fontId="20" fillId="12" borderId="0" xfId="0" applyNumberFormat="1" applyFont="1" applyFill="1" applyAlignment="1" applyProtection="1">
      <alignment vertical="center"/>
    </xf>
    <xf numFmtId="0" fontId="20" fillId="12" borderId="0" xfId="0" applyFont="1" applyFill="1" applyAlignment="1" applyProtection="1">
      <alignment vertical="center"/>
    </xf>
    <xf numFmtId="0" fontId="20" fillId="12" borderId="0" xfId="0" applyNumberFormat="1" applyFont="1" applyFill="1" applyAlignment="1" applyProtection="1">
      <alignment horizontal="right" vertical="center"/>
    </xf>
    <xf numFmtId="37" fontId="20" fillId="12" borderId="0" xfId="0" applyNumberFormat="1" applyFont="1" applyFill="1" applyAlignment="1" applyProtection="1">
      <alignment horizontal="right" vertical="center"/>
    </xf>
    <xf numFmtId="0" fontId="30" fillId="12" borderId="0" xfId="0" applyFont="1" applyFill="1" applyAlignment="1" applyProtection="1">
      <alignment vertical="center"/>
    </xf>
    <xf numFmtId="37" fontId="20" fillId="12" borderId="0" xfId="0" applyNumberFormat="1" applyFont="1" applyFill="1" applyBorder="1" applyAlignment="1" applyProtection="1">
      <alignment horizontal="fill" vertical="center"/>
    </xf>
    <xf numFmtId="37" fontId="20" fillId="12" borderId="0" xfId="0" applyNumberFormat="1" applyFont="1" applyFill="1" applyAlignment="1" applyProtection="1">
      <alignment horizontal="left" vertical="center"/>
    </xf>
    <xf numFmtId="1" fontId="20" fillId="12" borderId="17" xfId="0" applyNumberFormat="1" applyFont="1" applyFill="1" applyBorder="1" applyAlignment="1" applyProtection="1">
      <alignment horizontal="center" vertical="center"/>
    </xf>
    <xf numFmtId="37" fontId="20" fillId="12" borderId="17" xfId="0" applyNumberFormat="1" applyFont="1" applyFill="1" applyBorder="1" applyAlignment="1" applyProtection="1">
      <alignment horizontal="center" vertical="center"/>
    </xf>
    <xf numFmtId="37" fontId="20" fillId="12" borderId="4" xfId="0" applyNumberFormat="1" applyFont="1" applyFill="1" applyBorder="1" applyAlignment="1" applyProtection="1">
      <alignment horizontal="center" vertical="center"/>
    </xf>
    <xf numFmtId="37" fontId="30" fillId="12" borderId="0" xfId="0" applyNumberFormat="1" applyFont="1" applyFill="1" applyBorder="1" applyAlignment="1" applyProtection="1">
      <alignment vertical="center"/>
    </xf>
    <xf numFmtId="0" fontId="20" fillId="12" borderId="12" xfId="0" applyNumberFormat="1" applyFont="1" applyFill="1" applyBorder="1" applyAlignment="1" applyProtection="1">
      <alignment horizontal="center" vertical="center"/>
    </xf>
    <xf numFmtId="0" fontId="20" fillId="12" borderId="5" xfId="0" applyNumberFormat="1" applyFont="1" applyFill="1" applyBorder="1" applyAlignment="1" applyProtection="1">
      <alignment horizontal="center" vertical="center"/>
    </xf>
    <xf numFmtId="0" fontId="20" fillId="12" borderId="10" xfId="0" applyFont="1" applyFill="1" applyBorder="1" applyAlignment="1" applyProtection="1">
      <alignment horizontal="left" vertical="center"/>
    </xf>
    <xf numFmtId="3" fontId="20" fillId="12" borderId="3" xfId="0" applyNumberFormat="1" applyFont="1" applyFill="1" applyBorder="1" applyAlignment="1" applyProtection="1">
      <alignment vertical="center"/>
      <protection locked="0"/>
    </xf>
    <xf numFmtId="3" fontId="20" fillId="12" borderId="3" xfId="0" applyNumberFormat="1" applyFont="1" applyFill="1" applyBorder="1" applyAlignment="1" applyProtection="1">
      <alignment vertical="center"/>
    </xf>
    <xf numFmtId="0" fontId="20" fillId="12" borderId="12" xfId="0" applyFont="1" applyFill="1" applyBorder="1" applyAlignment="1" applyProtection="1">
      <alignment horizontal="left" vertical="center"/>
    </xf>
    <xf numFmtId="37" fontId="20" fillId="12" borderId="3" xfId="0" applyNumberFormat="1" applyFont="1" applyFill="1" applyBorder="1" applyAlignment="1" applyProtection="1">
      <alignment vertical="center"/>
    </xf>
    <xf numFmtId="0" fontId="20" fillId="12" borderId="10" xfId="0" applyFont="1" applyFill="1" applyBorder="1" applyAlignment="1" applyProtection="1">
      <alignment vertical="center"/>
      <protection locked="0"/>
    </xf>
    <xf numFmtId="0" fontId="20" fillId="12" borderId="10" xfId="0" applyFont="1" applyFill="1" applyBorder="1" applyAlignment="1" applyProtection="1">
      <alignment horizontal="left" vertical="center"/>
      <protection locked="0"/>
    </xf>
    <xf numFmtId="37" fontId="20" fillId="12" borderId="10" xfId="0" applyNumberFormat="1" applyFont="1" applyFill="1" applyBorder="1" applyAlignment="1" applyProtection="1">
      <alignment vertical="center"/>
    </xf>
    <xf numFmtId="3" fontId="20" fillId="12" borderId="8" xfId="0" applyNumberFormat="1" applyFont="1" applyFill="1" applyBorder="1" applyAlignment="1" applyProtection="1">
      <alignment vertical="center"/>
      <protection locked="0"/>
    </xf>
    <xf numFmtId="3" fontId="31" fillId="12" borderId="3" xfId="0" applyNumberFormat="1" applyFont="1" applyFill="1" applyBorder="1" applyAlignment="1" applyProtection="1">
      <alignment horizontal="center" vertical="center"/>
    </xf>
    <xf numFmtId="3" fontId="31" fillId="12" borderId="8" xfId="0" applyNumberFormat="1" applyFont="1" applyFill="1" applyBorder="1" applyAlignment="1" applyProtection="1">
      <alignment horizontal="center" vertical="center"/>
    </xf>
    <xf numFmtId="37" fontId="30" fillId="12" borderId="10" xfId="0" applyNumberFormat="1" applyFont="1" applyFill="1" applyBorder="1" applyAlignment="1" applyProtection="1">
      <alignment horizontal="left" vertical="center"/>
    </xf>
    <xf numFmtId="3" fontId="30" fillId="12" borderId="3" xfId="0" applyNumberFormat="1" applyFont="1" applyFill="1" applyBorder="1" applyAlignment="1" applyProtection="1">
      <alignment vertical="center"/>
    </xf>
    <xf numFmtId="37" fontId="20" fillId="12" borderId="10" xfId="0" applyNumberFormat="1" applyFont="1" applyFill="1" applyBorder="1" applyAlignment="1" applyProtection="1">
      <alignment horizontal="left" vertical="center"/>
    </xf>
    <xf numFmtId="0" fontId="20" fillId="12" borderId="10" xfId="0" applyFont="1" applyFill="1" applyBorder="1" applyAlignment="1" applyProtection="1">
      <alignment vertical="center"/>
    </xf>
    <xf numFmtId="0" fontId="20" fillId="12" borderId="0" xfId="0" applyFont="1" applyFill="1" applyAlignment="1" applyProtection="1">
      <alignment horizontal="right" vertical="center"/>
    </xf>
    <xf numFmtId="3" fontId="20" fillId="12" borderId="3" xfId="0" applyNumberFormat="1" applyFont="1" applyFill="1" applyBorder="1" applyAlignment="1" applyProtection="1">
      <alignment horizontal="center" vertical="center"/>
    </xf>
    <xf numFmtId="37" fontId="32" fillId="12" borderId="3" xfId="0" applyNumberFormat="1" applyFont="1" applyFill="1" applyBorder="1" applyAlignment="1" applyProtection="1">
      <alignment horizontal="center" vertical="center"/>
    </xf>
    <xf numFmtId="0" fontId="32" fillId="12" borderId="0" xfId="0" applyFont="1" applyFill="1" applyAlignment="1" applyProtection="1">
      <alignment horizontal="center" vertical="center"/>
    </xf>
    <xf numFmtId="3" fontId="20" fillId="12" borderId="0" xfId="0" applyNumberFormat="1" applyFont="1" applyFill="1" applyAlignment="1" applyProtection="1">
      <alignment vertical="center"/>
    </xf>
    <xf numFmtId="3" fontId="20" fillId="12" borderId="1" xfId="0" applyNumberFormat="1" applyFont="1" applyFill="1" applyBorder="1" applyAlignment="1" applyProtection="1">
      <alignment horizontal="fill" vertical="center"/>
    </xf>
    <xf numFmtId="1" fontId="20" fillId="12" borderId="4" xfId="0" applyNumberFormat="1" applyFont="1" applyFill="1" applyBorder="1" applyAlignment="1" applyProtection="1">
      <alignment horizontal="center" vertical="center"/>
    </xf>
    <xf numFmtId="37" fontId="30" fillId="12" borderId="1" xfId="0" applyNumberFormat="1" applyFont="1" applyFill="1" applyBorder="1" applyAlignment="1" applyProtection="1">
      <alignment vertical="center"/>
    </xf>
    <xf numFmtId="0" fontId="20" fillId="12" borderId="0" xfId="0" applyFont="1" applyFill="1" applyAlignment="1" applyProtection="1">
      <alignment horizontal="left" vertical="center"/>
      <protection locked="0"/>
    </xf>
    <xf numFmtId="0" fontId="14" fillId="2" borderId="0" xfId="0" applyFont="1" applyFill="1" applyAlignment="1">
      <alignment vertical="center"/>
    </xf>
    <xf numFmtId="0" fontId="14" fillId="2" borderId="0" xfId="0" applyFont="1" applyFill="1" applyAlignment="1" applyProtection="1">
      <alignment vertical="center"/>
    </xf>
    <xf numFmtId="37" fontId="33" fillId="2" borderId="0" xfId="0" applyNumberFormat="1" applyFont="1" applyFill="1" applyAlignment="1" applyProtection="1">
      <alignment horizontal="centerContinuous" vertical="center"/>
    </xf>
    <xf numFmtId="0" fontId="14" fillId="2" borderId="0" xfId="0" applyFont="1" applyFill="1" applyAlignment="1" applyProtection="1">
      <alignment horizontal="centerContinuous" vertical="center"/>
    </xf>
    <xf numFmtId="37" fontId="14" fillId="2" borderId="0" xfId="0" applyNumberFormat="1" applyFont="1" applyFill="1" applyAlignment="1" applyProtection="1">
      <alignment horizontal="centerContinuous" vertical="center"/>
    </xf>
    <xf numFmtId="37" fontId="14" fillId="2" borderId="0" xfId="0" applyNumberFormat="1" applyFont="1" applyFill="1" applyBorder="1" applyAlignment="1" applyProtection="1">
      <alignment horizontal="fill" vertical="center"/>
    </xf>
    <xf numFmtId="1" fontId="24" fillId="2" borderId="10" xfId="0" applyNumberFormat="1" applyFont="1" applyFill="1" applyBorder="1" applyAlignment="1" applyProtection="1">
      <alignment horizontal="centerContinuous" vertical="center"/>
    </xf>
    <xf numFmtId="37" fontId="24" fillId="2" borderId="4" xfId="5" applyNumberFormat="1" applyFont="1" applyFill="1" applyBorder="1" applyAlignment="1" applyProtection="1">
      <alignment horizontal="center"/>
    </xf>
    <xf numFmtId="37" fontId="24" fillId="2" borderId="5" xfId="5" applyNumberFormat="1" applyFont="1" applyFill="1" applyBorder="1" applyAlignment="1" applyProtection="1">
      <alignment horizontal="center"/>
    </xf>
    <xf numFmtId="165" fontId="24" fillId="2" borderId="3" xfId="0" applyNumberFormat="1" applyFont="1" applyFill="1" applyBorder="1" applyAlignment="1" applyProtection="1">
      <alignment vertical="center"/>
    </xf>
    <xf numFmtId="0" fontId="24" fillId="2" borderId="3" xfId="0" applyFont="1" applyFill="1" applyBorder="1" applyAlignment="1" applyProtection="1">
      <alignment vertical="center"/>
    </xf>
    <xf numFmtId="3" fontId="24" fillId="11" borderId="3" xfId="0" applyNumberFormat="1" applyFont="1" applyFill="1" applyBorder="1" applyAlignment="1" applyProtection="1">
      <alignment vertical="center"/>
    </xf>
    <xf numFmtId="165" fontId="24" fillId="11" borderId="3" xfId="0" applyNumberFormat="1" applyFont="1" applyFill="1" applyBorder="1" applyAlignment="1" applyProtection="1">
      <alignment vertical="center"/>
    </xf>
    <xf numFmtId="164" fontId="24" fillId="11" borderId="3" xfId="0" applyNumberFormat="1" applyFont="1" applyFill="1" applyBorder="1" applyAlignment="1" applyProtection="1">
      <alignment vertical="center"/>
    </xf>
    <xf numFmtId="3" fontId="24" fillId="2" borderId="5" xfId="0" applyNumberFormat="1" applyFont="1" applyFill="1" applyBorder="1" applyAlignment="1" applyProtection="1">
      <alignment vertical="center"/>
    </xf>
    <xf numFmtId="165" fontId="24" fillId="2" borderId="0" xfId="0" applyNumberFormat="1" applyFont="1" applyFill="1" applyBorder="1" applyAlignment="1" applyProtection="1">
      <alignment vertical="center"/>
    </xf>
    <xf numFmtId="164" fontId="24" fillId="2" borderId="0" xfId="0" applyNumberFormat="1" applyFont="1" applyFill="1" applyBorder="1" applyAlignment="1" applyProtection="1">
      <alignment vertical="center"/>
    </xf>
    <xf numFmtId="3" fontId="24" fillId="11" borderId="19" xfId="0" applyNumberFormat="1" applyFont="1" applyFill="1" applyBorder="1" applyAlignment="1" applyProtection="1">
      <alignment vertical="center"/>
    </xf>
    <xf numFmtId="37" fontId="24" fillId="2" borderId="5" xfId="0" applyNumberFormat="1" applyFont="1" applyFill="1" applyBorder="1" applyAlignment="1" applyProtection="1">
      <alignment horizontal="fill" vertical="center"/>
    </xf>
    <xf numFmtId="3" fontId="24" fillId="2" borderId="4" xfId="0" applyNumberFormat="1" applyFont="1" applyFill="1" applyBorder="1" applyAlignment="1" applyProtection="1">
      <alignment vertical="center"/>
    </xf>
    <xf numFmtId="174" fontId="24" fillId="2" borderId="0" xfId="0" applyNumberFormat="1" applyFont="1" applyFill="1" applyAlignment="1" applyProtection="1">
      <alignment vertical="center"/>
    </xf>
    <xf numFmtId="1" fontId="36" fillId="2" borderId="0" xfId="0" applyNumberFormat="1" applyFont="1" applyFill="1" applyAlignment="1" applyProtection="1">
      <alignment horizontal="center" vertical="center"/>
    </xf>
    <xf numFmtId="3" fontId="24" fillId="11" borderId="19" xfId="0" applyNumberFormat="1" applyFont="1" applyFill="1" applyBorder="1" applyAlignment="1" applyProtection="1">
      <alignment horizontal="center" vertical="center"/>
    </xf>
    <xf numFmtId="49" fontId="24" fillId="2" borderId="0" xfId="0" applyNumberFormat="1" applyFont="1" applyFill="1" applyAlignment="1" applyProtection="1">
      <alignment horizontal="center" vertical="center"/>
    </xf>
    <xf numFmtId="0" fontId="25" fillId="9" borderId="0" xfId="0" applyFont="1" applyFill="1" applyAlignment="1" applyProtection="1">
      <alignment vertical="center"/>
      <protection locked="0"/>
    </xf>
    <xf numFmtId="0" fontId="35" fillId="0" borderId="0" xfId="0" applyFont="1"/>
    <xf numFmtId="37" fontId="5" fillId="2" borderId="0" xfId="0" applyNumberFormat="1" applyFont="1" applyFill="1" applyAlignment="1" applyProtection="1">
      <alignment horizontal="center" vertical="center"/>
    </xf>
    <xf numFmtId="0" fontId="6" fillId="0" borderId="0" xfId="0" applyFont="1" applyAlignment="1">
      <alignment horizontal="center" vertical="center"/>
    </xf>
    <xf numFmtId="37" fontId="2" fillId="2"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3" fillId="10" borderId="9" xfId="0" applyFont="1" applyFill="1" applyBorder="1" applyAlignment="1">
      <alignment vertical="center" wrapText="1"/>
    </xf>
    <xf numFmtId="0" fontId="0" fillId="0" borderId="9" xfId="0" applyBorder="1" applyAlignment="1">
      <alignment vertical="center" wrapText="1"/>
    </xf>
    <xf numFmtId="0" fontId="4" fillId="6" borderId="0" xfId="0" applyFont="1" applyFill="1" applyBorder="1" applyAlignment="1">
      <alignment horizontal="center" vertical="center"/>
    </xf>
    <xf numFmtId="0" fontId="10" fillId="6" borderId="0" xfId="0" applyFont="1" applyFill="1" applyBorder="1" applyAlignment="1">
      <alignment horizontal="center" vertical="center"/>
    </xf>
    <xf numFmtId="0" fontId="9" fillId="2" borderId="0" xfId="0" applyFont="1" applyFill="1" applyBorder="1" applyAlignment="1">
      <alignment vertical="center"/>
    </xf>
    <xf numFmtId="0" fontId="11" fillId="0" borderId="0" xfId="0" applyFont="1" applyAlignment="1">
      <alignment vertical="center"/>
    </xf>
    <xf numFmtId="0" fontId="3" fillId="0" borderId="0" xfId="2" applyFont="1" applyAlignment="1">
      <alignment horizontal="left" vertical="center" wrapText="1"/>
    </xf>
    <xf numFmtId="0" fontId="12" fillId="0" borderId="0" xfId="2" applyAlignment="1">
      <alignment horizontal="left" vertical="center" wrapText="1"/>
    </xf>
    <xf numFmtId="0" fontId="2" fillId="0" borderId="0" xfId="2" applyFont="1" applyAlignment="1">
      <alignment horizontal="left" vertical="center"/>
    </xf>
    <xf numFmtId="37" fontId="24" fillId="12" borderId="0" xfId="0" applyNumberFormat="1" applyFont="1" applyFill="1" applyAlignment="1" applyProtection="1">
      <alignment horizontal="center" vertical="center"/>
    </xf>
    <xf numFmtId="0" fontId="25" fillId="12" borderId="0" xfId="0" applyFont="1" applyFill="1" applyAlignment="1" applyProtection="1">
      <alignment horizontal="center" vertical="center"/>
    </xf>
    <xf numFmtId="37" fontId="26" fillId="12" borderId="0" xfId="0" applyNumberFormat="1" applyFont="1" applyFill="1" applyAlignment="1" applyProtection="1">
      <alignment horizontal="center" vertical="center"/>
    </xf>
    <xf numFmtId="0" fontId="27" fillId="12" borderId="0" xfId="0" applyFont="1" applyFill="1" applyAlignment="1" applyProtection="1">
      <alignment horizontal="center" vertical="center"/>
    </xf>
    <xf numFmtId="0" fontId="24" fillId="12" borderId="4" xfId="0" applyFont="1" applyFill="1" applyBorder="1" applyAlignment="1" applyProtection="1">
      <alignment horizontal="center" vertical="center" wrapText="1" shrinkToFit="1"/>
    </xf>
    <xf numFmtId="0" fontId="25" fillId="12" borderId="5" xfId="0" applyFont="1" applyFill="1" applyBorder="1" applyAlignment="1">
      <alignment horizontal="center" vertical="center" wrapText="1"/>
    </xf>
    <xf numFmtId="0" fontId="24" fillId="12" borderId="0" xfId="0" applyFont="1" applyFill="1" applyAlignment="1" applyProtection="1">
      <alignment horizontal="center" vertical="center"/>
    </xf>
    <xf numFmtId="0" fontId="25" fillId="12" borderId="0" xfId="0" applyFont="1" applyFill="1" applyAlignment="1">
      <alignment vertical="center"/>
    </xf>
    <xf numFmtId="37" fontId="23" fillId="2" borderId="0" xfId="0" applyNumberFormat="1" applyFont="1" applyFill="1" applyAlignment="1" applyProtection="1">
      <alignment horizontal="center" vertical="center"/>
    </xf>
    <xf numFmtId="0" fontId="23"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4" fillId="2" borderId="0" xfId="0" applyFont="1" applyFill="1" applyAlignment="1" applyProtection="1">
      <alignment horizontal="center" vertical="center" wrapText="1"/>
    </xf>
    <xf numFmtId="0" fontId="24" fillId="0" borderId="0" xfId="0" applyFont="1" applyAlignment="1" applyProtection="1">
      <alignment horizontal="center" vertical="center"/>
    </xf>
    <xf numFmtId="37" fontId="4" fillId="2" borderId="0" xfId="0" applyNumberFormat="1" applyFont="1" applyFill="1" applyAlignment="1" applyProtection="1">
      <alignment horizontal="center" vertical="center"/>
    </xf>
    <xf numFmtId="37" fontId="3" fillId="2" borderId="10" xfId="0" applyNumberFormat="1" applyFont="1" applyFill="1" applyBorder="1" applyAlignment="1" applyProtection="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4" fillId="2" borderId="0" xfId="0" applyFont="1" applyFill="1" applyAlignment="1" applyProtection="1">
      <alignment horizontal="center" vertical="center"/>
    </xf>
    <xf numFmtId="0" fontId="3" fillId="2" borderId="12" xfId="0" applyFont="1" applyFill="1" applyBorder="1" applyAlignment="1" applyProtection="1">
      <alignment horizontal="center" vertical="center"/>
    </xf>
    <xf numFmtId="0" fontId="0" fillId="0" borderId="7" xfId="0" applyBorder="1" applyAlignment="1" applyProtection="1">
      <alignment vertical="center"/>
    </xf>
    <xf numFmtId="1" fontId="3" fillId="2" borderId="12" xfId="0" applyNumberFormat="1" applyFont="1" applyFill="1" applyBorder="1" applyAlignment="1" applyProtection="1">
      <alignment horizontal="center" vertical="center"/>
    </xf>
    <xf numFmtId="0" fontId="0" fillId="0" borderId="7" xfId="0" applyBorder="1" applyAlignment="1" applyProtection="1">
      <alignment horizontal="center" vertical="center"/>
    </xf>
    <xf numFmtId="3" fontId="3" fillId="12" borderId="9" xfId="5" applyNumberFormat="1" applyFont="1" applyFill="1" applyBorder="1" applyAlignment="1" applyProtection="1">
      <alignment horizontal="right" vertical="center"/>
    </xf>
    <xf numFmtId="0" fontId="13" fillId="12" borderId="16" xfId="5" applyFill="1" applyBorder="1" applyAlignment="1">
      <alignment horizontal="right" vertical="center"/>
    </xf>
    <xf numFmtId="0" fontId="3" fillId="12" borderId="0" xfId="5" applyFont="1" applyFill="1" applyAlignment="1" applyProtection="1">
      <alignment horizontal="right" vertical="center"/>
    </xf>
    <xf numFmtId="0" fontId="3" fillId="12" borderId="18" xfId="5" applyFont="1" applyFill="1" applyBorder="1" applyAlignment="1">
      <alignment horizontal="right" vertical="center"/>
    </xf>
    <xf numFmtId="0" fontId="3" fillId="12" borderId="0" xfId="0" applyNumberFormat="1" applyFont="1" applyFill="1" applyBorder="1" applyAlignment="1" applyProtection="1">
      <alignment horizontal="right" vertical="center"/>
    </xf>
    <xf numFmtId="0" fontId="0" fillId="12" borderId="0" xfId="0" applyFill="1" applyAlignment="1">
      <alignment horizontal="right" vertical="center"/>
    </xf>
    <xf numFmtId="0" fontId="0" fillId="12" borderId="0" xfId="0" applyFill="1" applyBorder="1" applyAlignment="1">
      <alignment horizontal="right" vertical="center"/>
    </xf>
    <xf numFmtId="0" fontId="3" fillId="12" borderId="0" xfId="7" applyNumberFormat="1" applyFont="1" applyFill="1" applyBorder="1" applyAlignment="1" applyProtection="1">
      <alignment horizontal="right" vertical="center"/>
    </xf>
    <xf numFmtId="0" fontId="3" fillId="12" borderId="0" xfId="7" applyFont="1" applyFill="1" applyAlignment="1" applyProtection="1">
      <alignment horizontal="right" vertical="center"/>
    </xf>
    <xf numFmtId="49" fontId="23" fillId="2" borderId="1" xfId="0" applyNumberFormat="1" applyFont="1" applyFill="1" applyBorder="1" applyAlignment="1" applyProtection="1">
      <alignment horizontal="center" vertical="center"/>
      <protection locked="0"/>
    </xf>
    <xf numFmtId="0" fontId="23" fillId="2" borderId="1" xfId="0" applyNumberFormat="1" applyFont="1" applyFill="1" applyBorder="1" applyAlignment="1" applyProtection="1">
      <alignment horizontal="center" vertical="center"/>
      <protection locked="0"/>
    </xf>
    <xf numFmtId="37" fontId="33" fillId="2" borderId="0" xfId="0" applyNumberFormat="1" applyFont="1" applyFill="1" applyAlignment="1" applyProtection="1">
      <alignment horizontal="center" vertical="center"/>
    </xf>
    <xf numFmtId="37" fontId="14" fillId="2" borderId="0" xfId="0" applyNumberFormat="1" applyFont="1" applyFill="1" applyAlignment="1" applyProtection="1">
      <alignment horizontal="center" vertical="center"/>
    </xf>
    <xf numFmtId="37" fontId="34" fillId="2" borderId="0" xfId="0" applyNumberFormat="1" applyFont="1" applyFill="1" applyAlignment="1" applyProtection="1">
      <alignment horizontal="center" vertical="center"/>
    </xf>
    <xf numFmtId="37" fontId="14" fillId="9" borderId="0" xfId="8" applyNumberFormat="1" applyFont="1" applyFill="1" applyAlignment="1" applyProtection="1">
      <alignment horizontal="center"/>
    </xf>
    <xf numFmtId="37" fontId="14" fillId="9" borderId="0" xfId="0" applyNumberFormat="1" applyFont="1" applyFill="1" applyAlignment="1" applyProtection="1">
      <alignment horizontal="center" vertical="center"/>
    </xf>
  </cellXfs>
  <cellStyles count="9">
    <cellStyle name="Comma" xfId="1" builtinId="3"/>
    <cellStyle name="Hyperlink" xfId="7" builtinId="8"/>
    <cellStyle name="Normal" xfId="0" builtinId="0"/>
    <cellStyle name="Normal 10" xfId="3"/>
    <cellStyle name="Normal 10 5" xfId="6"/>
    <cellStyle name="Normal 12 2" xfId="5"/>
    <cellStyle name="Normal 14" xfId="8"/>
    <cellStyle name="Normal 7 2" xfId="2"/>
    <cellStyle name="Normal_lpform" xfId="4"/>
  </cellStyles>
  <dxfs count="97">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61</xdr:row>
      <xdr:rowOff>0</xdr:rowOff>
    </xdr:from>
    <xdr:to>
      <xdr:col>7</xdr:col>
      <xdr:colOff>396240</xdr:colOff>
      <xdr:row>96</xdr:row>
      <xdr:rowOff>22860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1155680"/>
          <a:ext cx="4663440" cy="642366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396240</xdr:colOff>
      <xdr:row>35</xdr:row>
      <xdr:rowOff>22860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663440" cy="642366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pa/Local%20Settings/Temporary%20Internet%20Files/Content.IE5/MSLX9JN4/2013%20Budge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Statutes"/>
      <sheetName val="debt"/>
      <sheetName val="lpform"/>
      <sheetName val="Library Grant "/>
      <sheetName val="general"/>
      <sheetName val="DebtSvs-Library"/>
      <sheetName val="levy page9"/>
      <sheetName val="levy page10"/>
      <sheetName val="levy page11"/>
      <sheetName val="levy page12"/>
      <sheetName val="levy page13"/>
      <sheetName val="Sp Hiway"/>
      <sheetName val="nolevypage15"/>
      <sheetName val="nolevypage16"/>
      <sheetName val="nolevypage17"/>
      <sheetName val="SinNoLevy18"/>
      <sheetName val="SinNoLevy19"/>
      <sheetName val="SinNoLevy20"/>
      <sheetName val="SinNoLevy21"/>
      <sheetName val="NonBudA"/>
      <sheetName val="NonBudB"/>
      <sheetName val="NonBudFunds"/>
      <sheetName val="summ"/>
      <sheetName val="nhood"/>
      <sheetName val="Ordinance"/>
      <sheetName val="Tab A"/>
      <sheetName val="Tab B"/>
      <sheetName val="Tab C"/>
      <sheetName val="Tab D"/>
      <sheetName val="Tab E"/>
      <sheetName val="Mill Rate Computation"/>
      <sheetName val="Helpful Links"/>
      <sheetName val="Legend"/>
      <sheetName val="GenDetail"/>
    </sheetNames>
    <sheetDataSet>
      <sheetData sheetId="0"/>
      <sheetData sheetId="1">
        <row r="2">
          <cell r="D2" t="str">
            <v>City of Delphos</v>
          </cell>
        </row>
        <row r="5">
          <cell r="C5">
            <v>2013</v>
          </cell>
        </row>
        <row r="17">
          <cell r="B17" t="str">
            <v>General</v>
          </cell>
          <cell r="C17" t="str">
            <v>12-101a</v>
          </cell>
          <cell r="E17">
            <v>77168</v>
          </cell>
        </row>
        <row r="18">
          <cell r="B18" t="str">
            <v>Debt Service</v>
          </cell>
        </row>
        <row r="19">
          <cell r="B19" t="str">
            <v>Library</v>
          </cell>
          <cell r="C19" t="str">
            <v>12-1220</v>
          </cell>
          <cell r="E19">
            <v>4534</v>
          </cell>
        </row>
        <row r="31">
          <cell r="E31">
            <v>81702</v>
          </cell>
        </row>
        <row r="34">
          <cell r="B34" t="str">
            <v>Special Highway</v>
          </cell>
        </row>
        <row r="35">
          <cell r="B35" t="str">
            <v>Special Park &amp; Rec</v>
          </cell>
        </row>
        <row r="36">
          <cell r="B36" t="str">
            <v>Equipment Reserve</v>
          </cell>
          <cell r="D36">
            <v>0</v>
          </cell>
        </row>
        <row r="37">
          <cell r="B37" t="str">
            <v>Water Utility</v>
          </cell>
        </row>
        <row r="38">
          <cell r="B38" t="str">
            <v>Sewer Utility</v>
          </cell>
        </row>
        <row r="39">
          <cell r="B39" t="str">
            <v>Refuse</v>
          </cell>
        </row>
        <row r="40">
          <cell r="B40" t="str">
            <v>Community Improvement</v>
          </cell>
        </row>
        <row r="41">
          <cell r="B41" t="str">
            <v>Water Reserve</v>
          </cell>
        </row>
        <row r="44">
          <cell r="B44" t="str">
            <v>Sewer Reserve</v>
          </cell>
        </row>
        <row r="45">
          <cell r="B45" t="str">
            <v>Sewer Project P &amp; I</v>
          </cell>
        </row>
        <row r="64">
          <cell r="D64">
            <v>51.411999999999999</v>
          </cell>
        </row>
        <row r="66">
          <cell r="D66">
            <v>2.8519999999999999</v>
          </cell>
        </row>
        <row r="79">
          <cell r="E79">
            <v>81361</v>
          </cell>
        </row>
        <row r="80">
          <cell r="E80">
            <v>1500145</v>
          </cell>
        </row>
        <row r="85">
          <cell r="D85">
            <v>156669</v>
          </cell>
          <cell r="E85">
            <v>137947</v>
          </cell>
        </row>
      </sheetData>
      <sheetData sheetId="2">
        <row r="7">
          <cell r="E7">
            <v>1549203</v>
          </cell>
        </row>
        <row r="8">
          <cell r="E8">
            <v>1425</v>
          </cell>
        </row>
        <row r="9">
          <cell r="E9">
            <v>88241</v>
          </cell>
        </row>
        <row r="14">
          <cell r="E14">
            <v>1968</v>
          </cell>
        </row>
        <row r="15">
          <cell r="E15">
            <v>68403</v>
          </cell>
        </row>
        <row r="21">
          <cell r="D21">
            <v>51.158999999999999</v>
          </cell>
        </row>
        <row r="23">
          <cell r="D23">
            <v>3.0059999999999998</v>
          </cell>
        </row>
        <row r="36">
          <cell r="E36">
            <v>1508393</v>
          </cell>
        </row>
        <row r="39">
          <cell r="E39">
            <v>15839.29</v>
          </cell>
        </row>
        <row r="40">
          <cell r="E40">
            <v>304</v>
          </cell>
        </row>
        <row r="41">
          <cell r="E41">
            <v>703</v>
          </cell>
        </row>
        <row r="61">
          <cell r="A61" t="str">
            <v>General</v>
          </cell>
        </row>
        <row r="75">
          <cell r="A75" t="str">
            <v>Special Park &amp; Rec</v>
          </cell>
        </row>
        <row r="81">
          <cell r="A81" t="str">
            <v>Water Reserve</v>
          </cell>
        </row>
      </sheetData>
      <sheetData sheetId="3">
        <row r="3">
          <cell r="B3" t="str">
            <v>Karen K. Kiser</v>
          </cell>
        </row>
        <row r="5">
          <cell r="B5" t="str">
            <v>City Clerk</v>
          </cell>
        </row>
        <row r="7">
          <cell r="B7" t="str">
            <v>August 13, 2012</v>
          </cell>
        </row>
        <row r="9">
          <cell r="B9" t="str">
            <v>6:30pm</v>
          </cell>
        </row>
        <row r="11">
          <cell r="B11" t="str">
            <v>City Hall</v>
          </cell>
        </row>
        <row r="14">
          <cell r="B14" t="str">
            <v>City Hall</v>
          </cell>
        </row>
      </sheetData>
      <sheetData sheetId="4"/>
      <sheetData sheetId="5"/>
      <sheetData sheetId="6">
        <row r="7">
          <cell r="C7">
            <v>77168</v>
          </cell>
        </row>
      </sheetData>
      <sheetData sheetId="7">
        <row r="28">
          <cell r="C28">
            <v>0</v>
          </cell>
          <cell r="D28">
            <v>60475</v>
          </cell>
        </row>
      </sheetData>
      <sheetData sheetId="8"/>
      <sheetData sheetId="9">
        <row r="20">
          <cell r="G20">
            <v>200000</v>
          </cell>
        </row>
        <row r="32">
          <cell r="G32">
            <v>0</v>
          </cell>
        </row>
        <row r="42">
          <cell r="G42">
            <v>118598</v>
          </cell>
        </row>
      </sheetData>
      <sheetData sheetId="10">
        <row r="28">
          <cell r="G28">
            <v>0</v>
          </cell>
        </row>
      </sheetData>
      <sheetData sheetId="11">
        <row r="40">
          <cell r="E40" t="str">
            <v xml:space="preserve">Page No. </v>
          </cell>
        </row>
      </sheetData>
      <sheetData sheetId="12">
        <row r="59">
          <cell r="C59" t="str">
            <v>Page No.</v>
          </cell>
        </row>
        <row r="111">
          <cell r="C111">
            <v>168874</v>
          </cell>
          <cell r="D111">
            <v>189910</v>
          </cell>
          <cell r="E111">
            <v>199198</v>
          </cell>
        </row>
        <row r="118">
          <cell r="E118">
            <v>78298.709999999992</v>
          </cell>
        </row>
      </sheetData>
      <sheetData sheetId="13">
        <row r="33">
          <cell r="C33">
            <v>0</v>
          </cell>
          <cell r="D33">
            <v>0</v>
          </cell>
          <cell r="E33">
            <v>0</v>
          </cell>
        </row>
        <row r="40">
          <cell r="E40">
            <v>0</v>
          </cell>
        </row>
        <row r="73">
          <cell r="C73">
            <v>9959</v>
          </cell>
          <cell r="D73">
            <v>10000</v>
          </cell>
          <cell r="E73">
            <v>10082</v>
          </cell>
        </row>
        <row r="80">
          <cell r="E80">
            <v>4647</v>
          </cell>
        </row>
      </sheetData>
      <sheetData sheetId="14">
        <row r="33">
          <cell r="C33">
            <v>0</v>
          </cell>
          <cell r="D33">
            <v>0</v>
          </cell>
          <cell r="E33">
            <v>0</v>
          </cell>
        </row>
        <row r="40">
          <cell r="E40">
            <v>0</v>
          </cell>
        </row>
      </sheetData>
      <sheetData sheetId="15">
        <row r="33">
          <cell r="C33">
            <v>0</v>
          </cell>
        </row>
      </sheetData>
      <sheetData sheetId="16">
        <row r="33">
          <cell r="C33">
            <v>0</v>
          </cell>
        </row>
      </sheetData>
      <sheetData sheetId="17">
        <row r="33">
          <cell r="C33">
            <v>0</v>
          </cell>
        </row>
      </sheetData>
      <sheetData sheetId="18">
        <row r="33">
          <cell r="C33">
            <v>0</v>
          </cell>
        </row>
      </sheetData>
      <sheetData sheetId="19">
        <row r="28">
          <cell r="C28">
            <v>4305</v>
          </cell>
          <cell r="D28">
            <v>10000</v>
          </cell>
          <cell r="E28">
            <v>26899</v>
          </cell>
        </row>
        <row r="59">
          <cell r="C59">
            <v>5159</v>
          </cell>
          <cell r="D59">
            <v>5600</v>
          </cell>
          <cell r="E59">
            <v>7285</v>
          </cell>
        </row>
      </sheetData>
      <sheetData sheetId="20">
        <row r="28">
          <cell r="C28">
            <v>0</v>
          </cell>
          <cell r="D28">
            <v>5460</v>
          </cell>
        </row>
        <row r="59">
          <cell r="C59">
            <v>49004</v>
          </cell>
          <cell r="D59">
            <v>54400</v>
          </cell>
          <cell r="E59">
            <v>95370</v>
          </cell>
        </row>
      </sheetData>
      <sheetData sheetId="21">
        <row r="28">
          <cell r="C28">
            <v>42346</v>
          </cell>
          <cell r="D28">
            <v>42689</v>
          </cell>
        </row>
        <row r="59">
          <cell r="C59">
            <v>17913</v>
          </cell>
          <cell r="D59">
            <v>18000</v>
          </cell>
        </row>
      </sheetData>
      <sheetData sheetId="22">
        <row r="28">
          <cell r="C28">
            <v>0</v>
          </cell>
          <cell r="D28">
            <v>0</v>
          </cell>
          <cell r="E28">
            <v>2916</v>
          </cell>
        </row>
        <row r="60">
          <cell r="C60">
            <v>6572</v>
          </cell>
          <cell r="D60">
            <v>10000</v>
          </cell>
        </row>
      </sheetData>
      <sheetData sheetId="23">
        <row r="47">
          <cell r="C47">
            <v>6018</v>
          </cell>
          <cell r="D47">
            <v>6475</v>
          </cell>
        </row>
        <row r="53">
          <cell r="C53">
            <v>14</v>
          </cell>
        </row>
      </sheetData>
      <sheetData sheetId="24">
        <row r="47">
          <cell r="C47">
            <v>23770</v>
          </cell>
          <cell r="D47">
            <v>23770</v>
          </cell>
        </row>
        <row r="53">
          <cell r="C53">
            <v>15</v>
          </cell>
        </row>
      </sheetData>
      <sheetData sheetId="25">
        <row r="47">
          <cell r="C47">
            <v>0</v>
          </cell>
          <cell r="D47">
            <v>0</v>
          </cell>
          <cell r="E47">
            <v>0</v>
          </cell>
        </row>
      </sheetData>
      <sheetData sheetId="26">
        <row r="47">
          <cell r="C47">
            <v>0</v>
          </cell>
          <cell r="E47">
            <v>0</v>
          </cell>
        </row>
      </sheetData>
      <sheetData sheetId="27">
        <row r="3">
          <cell r="A3" t="str">
            <v>Non-Budgeted Funds-A</v>
          </cell>
        </row>
      </sheetData>
      <sheetData sheetId="28">
        <row r="3">
          <cell r="A3" t="str">
            <v>Non-Budgeted Funds-B</v>
          </cell>
        </row>
      </sheetData>
      <sheetData sheetId="29"/>
      <sheetData sheetId="30">
        <row r="61">
          <cell r="C61" t="str">
            <v xml:space="preserve">Page No. </v>
          </cell>
        </row>
      </sheetData>
      <sheetData sheetId="31">
        <row r="6">
          <cell r="D6" t="str">
            <v/>
          </cell>
        </row>
      </sheetData>
      <sheetData sheetId="32"/>
      <sheetData sheetId="33"/>
      <sheetData sheetId="34"/>
      <sheetData sheetId="35"/>
      <sheetData sheetId="36"/>
      <sheetData sheetId="37"/>
      <sheetData sheetId="38"/>
      <sheetData sheetId="39"/>
      <sheetData sheetId="40"/>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F86"/>
  <sheetViews>
    <sheetView topLeftCell="A55" workbookViewId="0">
      <selection activeCell="A62" sqref="A62"/>
    </sheetView>
  </sheetViews>
  <sheetFormatPr defaultRowHeight="15"/>
  <cols>
    <col min="1" max="1" width="36.85546875" customWidth="1"/>
    <col min="2" max="2" width="23.28515625" customWidth="1"/>
    <col min="3" max="3" width="0.140625" customWidth="1"/>
    <col min="4" max="4" width="14.7109375" customWidth="1"/>
    <col min="5" max="5" width="10.140625" customWidth="1"/>
  </cols>
  <sheetData>
    <row r="1" spans="1:6" ht="15.75">
      <c r="A1" s="1" t="s">
        <v>0</v>
      </c>
      <c r="B1" s="2"/>
      <c r="C1" s="2"/>
      <c r="D1" s="2"/>
      <c r="E1" s="2"/>
    </row>
    <row r="2" spans="1:6" ht="15.75">
      <c r="A2" s="3" t="s">
        <v>1</v>
      </c>
      <c r="B2" s="2"/>
      <c r="C2" s="2"/>
      <c r="D2" s="4" t="s">
        <v>2</v>
      </c>
      <c r="E2" s="5"/>
    </row>
    <row r="3" spans="1:6" ht="15.75">
      <c r="A3" s="3" t="s">
        <v>3</v>
      </c>
      <c r="B3" s="2"/>
      <c r="C3" s="2"/>
      <c r="D3" s="6" t="s">
        <v>4</v>
      </c>
      <c r="E3" s="7"/>
    </row>
    <row r="4" spans="1:6" ht="15.75">
      <c r="A4" s="8"/>
      <c r="B4" s="2"/>
      <c r="C4" s="2"/>
      <c r="D4" s="9"/>
      <c r="E4" s="2"/>
    </row>
    <row r="5" spans="1:6" ht="15.75">
      <c r="A5" s="3" t="s">
        <v>5</v>
      </c>
      <c r="B5" s="2"/>
      <c r="C5" s="10">
        <v>2013</v>
      </c>
      <c r="D5" s="9"/>
      <c r="E5" s="2"/>
    </row>
    <row r="6" spans="1:6" ht="15.75">
      <c r="A6" s="2"/>
      <c r="B6" s="2"/>
      <c r="C6" s="2"/>
      <c r="D6" s="2"/>
      <c r="E6" s="2"/>
    </row>
    <row r="7" spans="1:6">
      <c r="A7" s="179" t="s">
        <v>6</v>
      </c>
      <c r="B7" s="180"/>
      <c r="C7" s="180"/>
      <c r="D7" s="180"/>
      <c r="E7" s="180"/>
      <c r="F7" s="181"/>
    </row>
    <row r="8" spans="1:6">
      <c r="A8" s="179" t="s">
        <v>7</v>
      </c>
      <c r="B8" s="180"/>
      <c r="C8" s="180"/>
      <c r="D8" s="180"/>
      <c r="E8" s="180"/>
      <c r="F8" s="181"/>
    </row>
    <row r="9" spans="1:6" ht="15.75">
      <c r="A9" s="12"/>
      <c r="B9" s="11"/>
      <c r="C9" s="11"/>
      <c r="D9" s="11"/>
      <c r="E9" s="11"/>
    </row>
    <row r="10" spans="1:6" ht="15.75">
      <c r="A10" s="480" t="s">
        <v>8</v>
      </c>
      <c r="B10" s="481"/>
      <c r="C10" s="481"/>
      <c r="D10" s="481"/>
      <c r="E10" s="481"/>
    </row>
    <row r="11" spans="1:6" ht="15.75">
      <c r="A11" s="13"/>
      <c r="B11" s="13"/>
      <c r="C11" s="13"/>
      <c r="D11" s="13"/>
      <c r="E11" s="13"/>
    </row>
    <row r="12" spans="1:6" ht="15.75">
      <c r="A12" s="14" t="s">
        <v>9</v>
      </c>
      <c r="B12" s="15"/>
      <c r="C12" s="2"/>
      <c r="D12" s="2"/>
      <c r="E12" s="2"/>
    </row>
    <row r="13" spans="1:6" ht="15.75">
      <c r="A13" s="16" t="str">
        <f>CONCATENATE("the ",C5-1," Budget, Certificate Page:")</f>
        <v>the 2012 Budget, Certificate Page:</v>
      </c>
      <c r="B13" s="17"/>
      <c r="C13" s="18"/>
      <c r="D13" s="2"/>
      <c r="E13" s="2"/>
    </row>
    <row r="14" spans="1:6" ht="15.75">
      <c r="A14" s="16" t="s">
        <v>10</v>
      </c>
      <c r="B14" s="17"/>
      <c r="C14" s="18"/>
      <c r="D14" s="2"/>
      <c r="E14" s="2"/>
    </row>
    <row r="15" spans="1:6" ht="15.75">
      <c r="A15" s="19"/>
      <c r="B15" s="2"/>
      <c r="C15" s="2"/>
      <c r="D15" s="20">
        <f>C5-1</f>
        <v>2012</v>
      </c>
      <c r="E15" s="21">
        <f>$C$5-2</f>
        <v>2011</v>
      </c>
    </row>
    <row r="16" spans="1:6" ht="47.25">
      <c r="A16" s="8" t="s">
        <v>11</v>
      </c>
      <c r="B16" s="2"/>
      <c r="C16" s="22" t="s">
        <v>12</v>
      </c>
      <c r="D16" s="23" t="s">
        <v>13</v>
      </c>
      <c r="E16" s="24" t="s">
        <v>14</v>
      </c>
    </row>
    <row r="17" spans="1:5" ht="15.75">
      <c r="A17" s="2"/>
      <c r="B17" s="25" t="s">
        <v>15</v>
      </c>
      <c r="C17" s="26" t="s">
        <v>16</v>
      </c>
      <c r="D17" s="27">
        <v>189910</v>
      </c>
      <c r="E17" s="28">
        <v>77168</v>
      </c>
    </row>
    <row r="18" spans="1:5" ht="15.75">
      <c r="A18" s="2"/>
      <c r="B18" s="25" t="s">
        <v>17</v>
      </c>
      <c r="C18" s="26" t="s">
        <v>18</v>
      </c>
      <c r="D18" s="27"/>
      <c r="E18" s="28"/>
    </row>
    <row r="19" spans="1:5" ht="15.75">
      <c r="A19" s="2"/>
      <c r="B19" s="25" t="s">
        <v>19</v>
      </c>
      <c r="C19" s="26" t="s">
        <v>20</v>
      </c>
      <c r="D19" s="27">
        <v>10000</v>
      </c>
      <c r="E19" s="28">
        <v>4534</v>
      </c>
    </row>
    <row r="20" spans="1:5" ht="15.75">
      <c r="A20" s="8" t="s">
        <v>21</v>
      </c>
      <c r="B20" s="2"/>
      <c r="C20" s="2"/>
      <c r="D20" s="29"/>
      <c r="E20" s="30"/>
    </row>
    <row r="21" spans="1:5" ht="15.75">
      <c r="A21" s="2"/>
      <c r="B21" s="31"/>
      <c r="C21" s="32"/>
      <c r="D21" s="28"/>
      <c r="E21" s="28"/>
    </row>
    <row r="22" spans="1:5" ht="15.75">
      <c r="A22" s="2"/>
      <c r="B22" s="33"/>
      <c r="C22" s="34"/>
      <c r="D22" s="28"/>
      <c r="E22" s="28"/>
    </row>
    <row r="23" spans="1:5" ht="15.75">
      <c r="A23" s="2"/>
      <c r="B23" s="33"/>
      <c r="C23" s="34"/>
      <c r="D23" s="28"/>
      <c r="E23" s="28"/>
    </row>
    <row r="24" spans="1:5" ht="15.75">
      <c r="A24" s="2"/>
      <c r="B24" s="33"/>
      <c r="C24" s="34"/>
      <c r="D24" s="28"/>
      <c r="E24" s="28"/>
    </row>
    <row r="25" spans="1:5" ht="15.75">
      <c r="A25" s="2"/>
      <c r="B25" s="33"/>
      <c r="C25" s="34"/>
      <c r="D25" s="28"/>
      <c r="E25" s="28"/>
    </row>
    <row r="26" spans="1:5" ht="15.75">
      <c r="A26" s="2"/>
      <c r="B26" s="33"/>
      <c r="C26" s="34"/>
      <c r="D26" s="28"/>
      <c r="E26" s="28"/>
    </row>
    <row r="27" spans="1:5" ht="15.75">
      <c r="A27" s="2"/>
      <c r="B27" s="33"/>
      <c r="C27" s="34"/>
      <c r="D27" s="28"/>
      <c r="E27" s="28"/>
    </row>
    <row r="28" spans="1:5" ht="15.75">
      <c r="A28" s="2"/>
      <c r="B28" s="33"/>
      <c r="C28" s="34"/>
      <c r="D28" s="28"/>
      <c r="E28" s="28"/>
    </row>
    <row r="29" spans="1:5" ht="15.75">
      <c r="A29" s="2"/>
      <c r="B29" s="33"/>
      <c r="C29" s="34"/>
      <c r="D29" s="28"/>
      <c r="E29" s="28"/>
    </row>
    <row r="30" spans="1:5" ht="15.75">
      <c r="A30" s="2"/>
      <c r="B30" s="33"/>
      <c r="C30" s="34"/>
      <c r="D30" s="28"/>
      <c r="E30" s="28"/>
    </row>
    <row r="31" spans="1:5" ht="15.75">
      <c r="A31" s="35" t="str">
        <f>CONCATENATE("Total Tax Levy Funds for ",C5-1," Budgeted Year")</f>
        <v>Total Tax Levy Funds for 2012 Budgeted Year</v>
      </c>
      <c r="B31" s="36"/>
      <c r="C31" s="36"/>
      <c r="D31" s="37"/>
      <c r="E31" s="38">
        <f>SUM(E17:E30)</f>
        <v>81702</v>
      </c>
    </row>
    <row r="32" spans="1:5" ht="15.75">
      <c r="A32" s="8"/>
      <c r="B32" s="2"/>
      <c r="C32" s="2"/>
      <c r="D32" s="39"/>
      <c r="E32" s="30"/>
    </row>
    <row r="33" spans="1:5" ht="15.75">
      <c r="A33" s="8" t="s">
        <v>22</v>
      </c>
      <c r="B33" s="2"/>
      <c r="C33" s="2"/>
      <c r="D33" s="2"/>
      <c r="E33" s="2"/>
    </row>
    <row r="34" spans="1:5" ht="15.75">
      <c r="A34" s="2"/>
      <c r="B34" s="40" t="s">
        <v>23</v>
      </c>
      <c r="C34" s="41"/>
      <c r="D34" s="27">
        <v>10000</v>
      </c>
      <c r="E34" s="41"/>
    </row>
    <row r="35" spans="1:5" ht="15.75">
      <c r="A35" s="2"/>
      <c r="B35" s="42" t="s">
        <v>24</v>
      </c>
      <c r="C35" s="41"/>
      <c r="D35" s="27">
        <v>5600</v>
      </c>
      <c r="E35" s="41"/>
    </row>
    <row r="36" spans="1:5" ht="15.75">
      <c r="A36" s="2"/>
      <c r="B36" s="42" t="s">
        <v>25</v>
      </c>
      <c r="C36" s="41"/>
      <c r="D36" s="27">
        <v>0</v>
      </c>
      <c r="E36" s="41"/>
    </row>
    <row r="37" spans="1:5" ht="15.75">
      <c r="A37" s="2"/>
      <c r="B37" s="42" t="s">
        <v>26</v>
      </c>
      <c r="C37" s="41"/>
      <c r="D37" s="27">
        <v>54400</v>
      </c>
      <c r="E37" s="41"/>
    </row>
    <row r="38" spans="1:5" ht="15.75">
      <c r="A38" s="2"/>
      <c r="B38" s="42" t="s">
        <v>27</v>
      </c>
      <c r="C38" s="41"/>
      <c r="D38" s="27">
        <v>42689</v>
      </c>
      <c r="E38" s="41"/>
    </row>
    <row r="39" spans="1:5" ht="15.75">
      <c r="A39" s="2"/>
      <c r="B39" s="42" t="s">
        <v>28</v>
      </c>
      <c r="C39" s="41"/>
      <c r="D39" s="27">
        <v>18000</v>
      </c>
      <c r="E39" s="41"/>
    </row>
    <row r="40" spans="1:5" ht="15.75">
      <c r="A40" s="43"/>
      <c r="B40" s="31" t="s">
        <v>29</v>
      </c>
      <c r="C40" s="44"/>
      <c r="D40" s="27">
        <v>0</v>
      </c>
      <c r="E40" s="45"/>
    </row>
    <row r="41" spans="1:5" ht="15.75">
      <c r="A41" s="43"/>
      <c r="B41" s="31" t="s">
        <v>30</v>
      </c>
      <c r="C41" s="41"/>
      <c r="D41" s="27">
        <v>10000</v>
      </c>
      <c r="E41" s="45"/>
    </row>
    <row r="42" spans="1:5" ht="15.75">
      <c r="A42" s="43"/>
      <c r="B42" s="45"/>
      <c r="C42" s="41"/>
      <c r="D42" s="45"/>
      <c r="E42" s="45"/>
    </row>
    <row r="43" spans="1:5" ht="15.75">
      <c r="A43" s="43" t="s">
        <v>31</v>
      </c>
      <c r="B43" s="41"/>
      <c r="C43" s="41"/>
      <c r="D43" s="41"/>
      <c r="E43" s="45"/>
    </row>
    <row r="44" spans="1:5" ht="15.75">
      <c r="A44" s="46">
        <v>1</v>
      </c>
      <c r="B44" s="31" t="s">
        <v>32</v>
      </c>
      <c r="C44" s="41"/>
      <c r="D44" s="27">
        <v>6475</v>
      </c>
      <c r="E44" s="45"/>
    </row>
    <row r="45" spans="1:5" ht="15.75">
      <c r="A45" s="46">
        <v>2</v>
      </c>
      <c r="B45" s="31" t="s">
        <v>33</v>
      </c>
      <c r="C45" s="41"/>
      <c r="D45" s="27">
        <v>23770</v>
      </c>
      <c r="E45" s="45"/>
    </row>
    <row r="46" spans="1:5" ht="15.75">
      <c r="A46" s="46">
        <v>3</v>
      </c>
      <c r="B46" s="31"/>
      <c r="C46" s="41"/>
      <c r="D46" s="27"/>
      <c r="E46" s="45"/>
    </row>
    <row r="47" spans="1:5" ht="15.75">
      <c r="A47" s="46">
        <v>4</v>
      </c>
      <c r="B47" s="31"/>
      <c r="C47" s="41"/>
      <c r="D47" s="27"/>
      <c r="E47" s="45"/>
    </row>
    <row r="48" spans="1:5" ht="15.75">
      <c r="A48" s="35" t="str">
        <f>CONCATENATE("Total Expenditures for ",C5-1," Budgeted Year")</f>
        <v>Total Expenditures for 2012 Budgeted Year</v>
      </c>
      <c r="B48" s="36"/>
      <c r="C48" s="36"/>
      <c r="D48" s="38">
        <f>SUM(D17:D19,D21:D30,D34:D41,D44:D47)</f>
        <v>370844</v>
      </c>
      <c r="E48" s="2"/>
    </row>
    <row r="49" spans="1:5" ht="15.75">
      <c r="A49" s="43"/>
      <c r="B49" s="41"/>
      <c r="C49" s="41"/>
      <c r="D49" s="2"/>
      <c r="E49" s="2"/>
    </row>
    <row r="50" spans="1:5" ht="15.75">
      <c r="A50" s="43" t="s">
        <v>34</v>
      </c>
      <c r="B50" s="41"/>
      <c r="C50" s="41"/>
      <c r="D50" s="41"/>
      <c r="E50" s="2"/>
    </row>
    <row r="51" spans="1:5" ht="15.75">
      <c r="A51" s="46">
        <v>1</v>
      </c>
      <c r="B51" s="31"/>
      <c r="C51" s="41"/>
      <c r="D51" s="41"/>
      <c r="E51" s="2"/>
    </row>
    <row r="52" spans="1:5" ht="15.75">
      <c r="A52" s="46">
        <v>2</v>
      </c>
      <c r="B52" s="31"/>
      <c r="C52" s="41"/>
      <c r="D52" s="41"/>
      <c r="E52" s="2"/>
    </row>
    <row r="53" spans="1:5" ht="15.75">
      <c r="A53" s="46">
        <v>3</v>
      </c>
      <c r="B53" s="31"/>
      <c r="C53" s="41"/>
      <c r="D53" s="41"/>
      <c r="E53" s="2"/>
    </row>
    <row r="54" spans="1:5" ht="15.75">
      <c r="A54" s="46">
        <v>4</v>
      </c>
      <c r="B54" s="31"/>
      <c r="C54" s="41"/>
      <c r="D54" s="41"/>
      <c r="E54" s="2"/>
    </row>
    <row r="55" spans="1:5" ht="15.75">
      <c r="A55" s="46">
        <v>5</v>
      </c>
      <c r="B55" s="31"/>
      <c r="C55" s="41"/>
      <c r="D55" s="41"/>
      <c r="E55" s="2"/>
    </row>
    <row r="56" spans="1:5" ht="15.75">
      <c r="A56" s="43" t="s">
        <v>35</v>
      </c>
      <c r="B56" s="41"/>
      <c r="C56" s="41"/>
      <c r="D56" s="41"/>
      <c r="E56" s="2"/>
    </row>
    <row r="57" spans="1:5" ht="15.75">
      <c r="A57" s="46">
        <v>1</v>
      </c>
      <c r="B57" s="31"/>
      <c r="C57" s="41"/>
      <c r="D57" s="41"/>
      <c r="E57" s="2"/>
    </row>
    <row r="58" spans="1:5" ht="15.75">
      <c r="A58" s="46">
        <v>2</v>
      </c>
      <c r="B58" s="31"/>
      <c r="C58" s="41"/>
      <c r="D58" s="41"/>
      <c r="E58" s="2"/>
    </row>
    <row r="59" spans="1:5" ht="15.75">
      <c r="A59" s="46">
        <v>3</v>
      </c>
      <c r="B59" s="31"/>
      <c r="C59" s="41"/>
      <c r="D59" s="41"/>
      <c r="E59" s="2"/>
    </row>
    <row r="60" spans="1:5" ht="15.75">
      <c r="A60" s="46">
        <v>4</v>
      </c>
      <c r="B60" s="31"/>
      <c r="C60" s="41"/>
      <c r="D60" s="41"/>
      <c r="E60" s="2"/>
    </row>
    <row r="61" spans="1:5" ht="15.75">
      <c r="A61" s="46">
        <v>5</v>
      </c>
      <c r="B61" s="31"/>
      <c r="C61" s="2"/>
      <c r="D61" s="2"/>
      <c r="E61" s="2"/>
    </row>
    <row r="62" spans="1:5" ht="15.75">
      <c r="A62" s="2"/>
      <c r="B62" s="2"/>
      <c r="C62" s="2"/>
      <c r="D62" s="47" t="str">
        <f>CONCATENATE("",C5-3," Tax Rate")</f>
        <v>2010 Tax Rate</v>
      </c>
      <c r="E62" s="2"/>
    </row>
    <row r="63" spans="1:5" ht="15.75">
      <c r="A63" s="48" t="str">
        <f>CONCATENATE("From the ",C5-1," Budget, Budget Summary Page")</f>
        <v>From the 2012 Budget, Budget Summary Page</v>
      </c>
      <c r="B63" s="15"/>
      <c r="C63" s="2"/>
      <c r="D63" s="49" t="str">
        <f>CONCATENATE("(",C5-2," Column)")</f>
        <v>(2011 Column)</v>
      </c>
      <c r="E63" s="2"/>
    </row>
    <row r="64" spans="1:5" ht="15.75">
      <c r="A64" s="2"/>
      <c r="B64" s="50" t="str">
        <f>B17</f>
        <v>General</v>
      </c>
      <c r="C64" s="51"/>
      <c r="D64" s="52">
        <v>51.411999999999999</v>
      </c>
      <c r="E64" s="2"/>
    </row>
    <row r="65" spans="1:5" ht="15.75">
      <c r="A65" s="2"/>
      <c r="B65" s="50" t="str">
        <f>B18</f>
        <v>Debt Service</v>
      </c>
      <c r="C65" s="51"/>
      <c r="D65" s="52"/>
      <c r="E65" s="2"/>
    </row>
    <row r="66" spans="1:5" ht="15.75">
      <c r="A66" s="2"/>
      <c r="B66" s="50" t="str">
        <f>B19</f>
        <v>Library</v>
      </c>
      <c r="C66" s="53"/>
      <c r="D66" s="52">
        <v>2.8519999999999999</v>
      </c>
      <c r="E66" s="2"/>
    </row>
    <row r="67" spans="1:5" ht="15.75">
      <c r="A67" s="2"/>
      <c r="B67" s="50">
        <f t="shared" ref="B67:B76" si="0">B21</f>
        <v>0</v>
      </c>
      <c r="C67" s="53"/>
      <c r="D67" s="52"/>
      <c r="E67" s="2"/>
    </row>
    <row r="68" spans="1:5" ht="15.75">
      <c r="A68" s="2"/>
      <c r="B68" s="50">
        <f t="shared" si="0"/>
        <v>0</v>
      </c>
      <c r="C68" s="53"/>
      <c r="D68" s="52"/>
      <c r="E68" s="2"/>
    </row>
    <row r="69" spans="1:5" ht="15.75">
      <c r="A69" s="2"/>
      <c r="B69" s="50">
        <f t="shared" si="0"/>
        <v>0</v>
      </c>
      <c r="C69" s="53"/>
      <c r="D69" s="52"/>
      <c r="E69" s="2"/>
    </row>
    <row r="70" spans="1:5" ht="15.75">
      <c r="A70" s="2"/>
      <c r="B70" s="50">
        <f t="shared" si="0"/>
        <v>0</v>
      </c>
      <c r="C70" s="53"/>
      <c r="D70" s="52"/>
      <c r="E70" s="2"/>
    </row>
    <row r="71" spans="1:5" ht="15.75">
      <c r="A71" s="2"/>
      <c r="B71" s="50">
        <f t="shared" si="0"/>
        <v>0</v>
      </c>
      <c r="C71" s="53"/>
      <c r="D71" s="52"/>
      <c r="E71" s="2"/>
    </row>
    <row r="72" spans="1:5" ht="15.75">
      <c r="A72" s="2"/>
      <c r="B72" s="50">
        <f t="shared" si="0"/>
        <v>0</v>
      </c>
      <c r="C72" s="53"/>
      <c r="D72" s="52"/>
      <c r="E72" s="2"/>
    </row>
    <row r="73" spans="1:5" ht="15.75">
      <c r="A73" s="2"/>
      <c r="B73" s="50">
        <f t="shared" si="0"/>
        <v>0</v>
      </c>
      <c r="C73" s="53"/>
      <c r="D73" s="52"/>
      <c r="E73" s="2"/>
    </row>
    <row r="74" spans="1:5" ht="15.75">
      <c r="A74" s="2"/>
      <c r="B74" s="50">
        <f t="shared" si="0"/>
        <v>0</v>
      </c>
      <c r="C74" s="53"/>
      <c r="D74" s="52"/>
      <c r="E74" s="2"/>
    </row>
    <row r="75" spans="1:5" ht="15.75">
      <c r="A75" s="2"/>
      <c r="B75" s="50">
        <f t="shared" si="0"/>
        <v>0</v>
      </c>
      <c r="C75" s="53"/>
      <c r="D75" s="52"/>
      <c r="E75" s="2"/>
    </row>
    <row r="76" spans="1:5" ht="15.75">
      <c r="A76" s="2"/>
      <c r="B76" s="50">
        <f t="shared" si="0"/>
        <v>0</v>
      </c>
      <c r="C76" s="53"/>
      <c r="D76" s="52"/>
      <c r="E76" s="2"/>
    </row>
    <row r="77" spans="1:5" ht="15.75">
      <c r="A77" s="8" t="s">
        <v>36</v>
      </c>
      <c r="B77" s="2"/>
      <c r="C77" s="2"/>
      <c r="D77" s="54">
        <f>SUM(D64:D76)</f>
        <v>54.263999999999996</v>
      </c>
      <c r="E77" s="2"/>
    </row>
    <row r="78" spans="1:5" ht="15.75">
      <c r="A78" s="2"/>
      <c r="B78" s="2"/>
      <c r="C78" s="2"/>
      <c r="D78" s="2"/>
      <c r="E78" s="2"/>
    </row>
    <row r="79" spans="1:5" ht="15.75">
      <c r="A79" s="55" t="str">
        <f>CONCATENATE("Total Tax Levied (",C5-2," budget column)")</f>
        <v>Total Tax Levied (2011 budget column)</v>
      </c>
      <c r="B79" s="56"/>
      <c r="C79" s="36"/>
      <c r="D79" s="57"/>
      <c r="E79" s="28">
        <v>81361</v>
      </c>
    </row>
    <row r="80" spans="1:5" ht="15.75">
      <c r="A80" s="55" t="str">
        <f>CONCATENATE("Assessed Valuation  (",C5-2," budget column)")</f>
        <v>Assessed Valuation  (2011 budget column)</v>
      </c>
      <c r="B80" s="58"/>
      <c r="C80" s="59"/>
      <c r="D80" s="60"/>
      <c r="E80" s="28">
        <v>1500145</v>
      </c>
    </row>
    <row r="81" spans="1:5" ht="15.75">
      <c r="A81" s="2"/>
      <c r="B81" s="2"/>
      <c r="C81" s="2"/>
      <c r="D81" s="18"/>
      <c r="E81" s="29"/>
    </row>
    <row r="82" spans="1:5" ht="15.75">
      <c r="A82" s="15" t="s">
        <v>37</v>
      </c>
      <c r="B82" s="15"/>
      <c r="C82" s="61"/>
      <c r="D82" s="62">
        <f>C5-3</f>
        <v>2010</v>
      </c>
      <c r="E82" s="63">
        <f>C5-2</f>
        <v>2011</v>
      </c>
    </row>
    <row r="83" spans="1:5" ht="15.75">
      <c r="A83" s="56" t="s">
        <v>38</v>
      </c>
      <c r="B83" s="56"/>
      <c r="C83" s="64"/>
      <c r="D83" s="27"/>
      <c r="E83" s="27"/>
    </row>
    <row r="84" spans="1:5" ht="15.75">
      <c r="A84" s="58" t="s">
        <v>39</v>
      </c>
      <c r="B84" s="58"/>
      <c r="C84" s="65"/>
      <c r="D84" s="27"/>
      <c r="E84" s="27"/>
    </row>
    <row r="85" spans="1:5" ht="15.75">
      <c r="A85" s="58" t="s">
        <v>40</v>
      </c>
      <c r="B85" s="58"/>
      <c r="C85" s="65"/>
      <c r="D85" s="27">
        <v>156669</v>
      </c>
      <c r="E85" s="27">
        <v>137947</v>
      </c>
    </row>
    <row r="86" spans="1:5" ht="15.75">
      <c r="A86" s="58" t="s">
        <v>41</v>
      </c>
      <c r="B86" s="58"/>
      <c r="C86" s="65"/>
      <c r="D86" s="27"/>
      <c r="E86" s="27"/>
    </row>
  </sheetData>
  <mergeCells count="1">
    <mergeCell ref="A10:E10"/>
  </mergeCells>
  <pageMargins left="0.2" right="0.2" top="0.25" bottom="0.25" header="0.3" footer="0.3"/>
  <pageSetup orientation="portrait" r:id="rId1"/>
</worksheet>
</file>

<file path=xl/worksheets/sheet10.xml><?xml version="1.0" encoding="utf-8"?>
<worksheet xmlns="http://schemas.openxmlformats.org/spreadsheetml/2006/main" xmlns:r="http://schemas.openxmlformats.org/officeDocument/2006/relationships">
  <dimension ref="A1:D42"/>
  <sheetViews>
    <sheetView workbookViewId="0">
      <selection activeCell="F8" sqref="F8"/>
    </sheetView>
  </sheetViews>
  <sheetFormatPr defaultRowHeight="15"/>
  <cols>
    <col min="1" max="1" width="41.5703125" customWidth="1"/>
    <col min="2" max="2" width="21.5703125" customWidth="1"/>
    <col min="3" max="3" width="13.5703125" customWidth="1"/>
    <col min="4" max="4" width="12.28515625" customWidth="1"/>
  </cols>
  <sheetData>
    <row r="1" spans="1:4" ht="15.75">
      <c r="A1" s="250" t="s">
        <v>2</v>
      </c>
      <c r="B1" s="250"/>
      <c r="C1" s="251"/>
      <c r="D1" s="252">
        <f>[1]inputPrYr!$C$5</f>
        <v>2013</v>
      </c>
    </row>
    <row r="2" spans="1:4" ht="15.75">
      <c r="A2" s="250"/>
      <c r="B2" s="250"/>
      <c r="C2" s="251"/>
      <c r="D2" s="252"/>
    </row>
    <row r="3" spans="1:4" ht="15.75">
      <c r="A3" s="257" t="s">
        <v>213</v>
      </c>
      <c r="B3" s="258" t="s">
        <v>262</v>
      </c>
      <c r="C3" s="259" t="s">
        <v>264</v>
      </c>
      <c r="D3" s="260" t="s">
        <v>171</v>
      </c>
    </row>
    <row r="4" spans="1:4" ht="15.75">
      <c r="A4" s="261" t="s">
        <v>19</v>
      </c>
      <c r="B4" s="262" t="s">
        <v>263</v>
      </c>
      <c r="C4" s="262" t="s">
        <v>265</v>
      </c>
      <c r="D4" s="410" t="s">
        <v>266</v>
      </c>
    </row>
    <row r="5" spans="1:4" ht="15.75">
      <c r="A5" s="264" t="s">
        <v>217</v>
      </c>
      <c r="B5" s="411">
        <v>0</v>
      </c>
      <c r="C5" s="325">
        <f>B33</f>
        <v>0</v>
      </c>
      <c r="D5" s="266">
        <v>0</v>
      </c>
    </row>
    <row r="6" spans="1:4" ht="15.75">
      <c r="A6" s="412" t="s">
        <v>218</v>
      </c>
      <c r="B6" s="264"/>
      <c r="C6" s="325"/>
      <c r="D6" s="266"/>
    </row>
    <row r="7" spans="1:4" ht="15.75">
      <c r="A7" s="264" t="s">
        <v>219</v>
      </c>
      <c r="B7" s="411">
        <v>4162</v>
      </c>
      <c r="C7" s="325">
        <v>4534</v>
      </c>
      <c r="D7" s="340" t="s">
        <v>102</v>
      </c>
    </row>
    <row r="8" spans="1:4" ht="15.75">
      <c r="A8" s="264" t="s">
        <v>220</v>
      </c>
      <c r="B8" s="411">
        <v>80</v>
      </c>
      <c r="C8" s="324"/>
      <c r="D8" s="265"/>
    </row>
    <row r="9" spans="1:4" ht="15.75">
      <c r="A9" s="264" t="s">
        <v>221</v>
      </c>
      <c r="B9" s="411">
        <v>867</v>
      </c>
      <c r="C9" s="324">
        <v>917</v>
      </c>
      <c r="D9" s="266">
        <v>879</v>
      </c>
    </row>
    <row r="10" spans="1:4" ht="15.75">
      <c r="A10" s="264" t="s">
        <v>222</v>
      </c>
      <c r="B10" s="411">
        <v>16</v>
      </c>
      <c r="C10" s="324">
        <v>18</v>
      </c>
      <c r="D10" s="266">
        <v>17</v>
      </c>
    </row>
    <row r="11" spans="1:4" ht="15.75">
      <c r="A11" s="279" t="s">
        <v>223</v>
      </c>
      <c r="B11" s="411">
        <v>31</v>
      </c>
      <c r="C11" s="324">
        <v>31</v>
      </c>
      <c r="D11" s="266">
        <v>39</v>
      </c>
    </row>
    <row r="12" spans="1:4" ht="15.75">
      <c r="A12" s="265" t="s">
        <v>225</v>
      </c>
      <c r="B12" s="411">
        <v>4803</v>
      </c>
      <c r="C12" s="324">
        <v>4500</v>
      </c>
      <c r="D12" s="265">
        <v>4500</v>
      </c>
    </row>
    <row r="13" spans="1:4" ht="15.75">
      <c r="A13" s="324"/>
      <c r="B13" s="411"/>
      <c r="C13" s="324"/>
      <c r="D13" s="265"/>
    </row>
    <row r="14" spans="1:4" ht="15.75">
      <c r="A14" s="288"/>
      <c r="B14" s="411"/>
      <c r="C14" s="324"/>
      <c r="D14" s="265"/>
    </row>
    <row r="15" spans="1:4" ht="15.75">
      <c r="A15" s="288"/>
      <c r="B15" s="411"/>
      <c r="C15" s="324"/>
      <c r="D15" s="265"/>
    </row>
    <row r="16" spans="1:4" ht="15.75">
      <c r="A16" s="271" t="s">
        <v>237</v>
      </c>
      <c r="B16" s="411"/>
      <c r="C16" s="324"/>
      <c r="D16" s="265"/>
    </row>
    <row r="17" spans="1:4" ht="15.75">
      <c r="A17" s="264" t="s">
        <v>235</v>
      </c>
      <c r="B17" s="411"/>
      <c r="C17" s="324"/>
      <c r="D17" s="265"/>
    </row>
    <row r="18" spans="1:4" ht="15.75">
      <c r="A18" s="264" t="s">
        <v>238</v>
      </c>
      <c r="B18" s="413" t="str">
        <f>IF(B19*0.1&lt;B17,"Exceed 10% Rule","")</f>
        <v/>
      </c>
      <c r="C18" s="275"/>
      <c r="D18" s="276"/>
    </row>
    <row r="19" spans="1:4" ht="15.75">
      <c r="A19" s="277" t="s">
        <v>239</v>
      </c>
      <c r="B19" s="334">
        <f>SUM(B7:B17)</f>
        <v>9959</v>
      </c>
      <c r="C19" s="334">
        <f>SUM(C7:C17)</f>
        <v>10000</v>
      </c>
      <c r="D19" s="278">
        <f>SUM(D7:D17)</f>
        <v>5435</v>
      </c>
    </row>
    <row r="20" spans="1:4" ht="15.75">
      <c r="A20" s="277" t="s">
        <v>240</v>
      </c>
      <c r="B20" s="334">
        <f>B5+B19</f>
        <v>9959</v>
      </c>
      <c r="C20" s="334">
        <f>C5+C19</f>
        <v>10000</v>
      </c>
      <c r="D20" s="278">
        <f>D5+D19</f>
        <v>5435</v>
      </c>
    </row>
    <row r="21" spans="1:4" ht="15.75">
      <c r="A21" s="264" t="s">
        <v>243</v>
      </c>
      <c r="B21" s="264"/>
      <c r="C21" s="325"/>
      <c r="D21" s="266"/>
    </row>
    <row r="22" spans="1:4" ht="15.75">
      <c r="A22" s="288" t="s">
        <v>261</v>
      </c>
      <c r="B22" s="411">
        <v>9959</v>
      </c>
      <c r="C22" s="324">
        <v>10000</v>
      </c>
      <c r="D22" s="265">
        <v>10082</v>
      </c>
    </row>
    <row r="23" spans="1:4" ht="15.75">
      <c r="A23" s="288"/>
      <c r="B23" s="411"/>
      <c r="C23" s="324"/>
      <c r="D23" s="265"/>
    </row>
    <row r="24" spans="1:4" ht="15.75">
      <c r="A24" s="288"/>
      <c r="B24" s="411"/>
      <c r="C24" s="324"/>
      <c r="D24" s="265"/>
    </row>
    <row r="25" spans="1:4" ht="15.75">
      <c r="A25" s="288"/>
      <c r="B25" s="411"/>
      <c r="C25" s="324"/>
      <c r="D25" s="265"/>
    </row>
    <row r="26" spans="1:4" ht="15.75">
      <c r="A26" s="288"/>
      <c r="B26" s="411"/>
      <c r="C26" s="324"/>
      <c r="D26" s="265"/>
    </row>
    <row r="27" spans="1:4" ht="15.75">
      <c r="A27" s="288"/>
      <c r="B27" s="411"/>
      <c r="C27" s="324"/>
      <c r="D27" s="265"/>
    </row>
    <row r="28" spans="1:4" ht="15.75">
      <c r="A28" s="288"/>
      <c r="B28" s="411"/>
      <c r="C28" s="324"/>
      <c r="D28" s="265"/>
    </row>
    <row r="29" spans="1:4" ht="15.75">
      <c r="A29" s="279" t="s">
        <v>104</v>
      </c>
      <c r="B29" s="411"/>
      <c r="C29" s="324"/>
      <c r="D29" s="266"/>
    </row>
    <row r="30" spans="1:4" ht="15.75">
      <c r="A30" s="279" t="s">
        <v>235</v>
      </c>
      <c r="B30" s="411"/>
      <c r="C30" s="324"/>
      <c r="D30" s="265"/>
    </row>
    <row r="31" spans="1:4" ht="15.75">
      <c r="A31" s="279"/>
      <c r="B31" s="413" t="str">
        <f>IF(B32*0.1&lt;B30,"Exceed 10% Rule","")</f>
        <v/>
      </c>
      <c r="C31" s="275" t="str">
        <f>IF(C32*0.1&lt;C30,"Exceed 10% Rule","")</f>
        <v/>
      </c>
      <c r="D31" s="276" t="str">
        <f>IF(D32*0.1&lt;D30,"Exceed 10% Rule","")</f>
        <v/>
      </c>
    </row>
    <row r="32" spans="1:4" ht="15.75">
      <c r="A32" s="277" t="s">
        <v>255</v>
      </c>
      <c r="B32" s="334">
        <f>SUM(B22:B30)</f>
        <v>9959</v>
      </c>
      <c r="C32" s="334">
        <f>SUM(C22:C30)</f>
        <v>10000</v>
      </c>
      <c r="D32" s="278">
        <f>SUM(D22:D30)</f>
        <v>10082</v>
      </c>
    </row>
    <row r="33" spans="1:4" ht="15.75">
      <c r="A33" s="264" t="s">
        <v>256</v>
      </c>
      <c r="B33" s="325">
        <v>0</v>
      </c>
      <c r="C33" s="325">
        <v>0</v>
      </c>
      <c r="D33" s="340" t="s">
        <v>102</v>
      </c>
    </row>
    <row r="34" spans="1:4" ht="15.75">
      <c r="A34" s="280"/>
      <c r="B34" s="281"/>
      <c r="C34" s="281"/>
      <c r="D34" s="340" t="s">
        <v>102</v>
      </c>
    </row>
    <row r="35" spans="1:4" ht="15.75">
      <c r="A35" s="280"/>
      <c r="B35" s="515" t="s">
        <v>257</v>
      </c>
      <c r="C35" s="516"/>
      <c r="D35" s="265">
        <v>0</v>
      </c>
    </row>
    <row r="36" spans="1:4" ht="15.75">
      <c r="A36" s="342" t="str">
        <f>CONCATENATE(B52,"     ",C52)</f>
        <v xml:space="preserve">     </v>
      </c>
      <c r="B36" s="517" t="s">
        <v>258</v>
      </c>
      <c r="C36" s="518"/>
      <c r="D36" s="266">
        <f>D32+D35</f>
        <v>10082</v>
      </c>
    </row>
    <row r="37" spans="1:4" ht="15.75">
      <c r="A37" s="342" t="str">
        <f>CONCATENATE(B53,"     ",C53)</f>
        <v xml:space="preserve">     </v>
      </c>
      <c r="B37" s="283"/>
      <c r="C37" s="253" t="s">
        <v>259</v>
      </c>
      <c r="D37" s="266">
        <f>IF(D36-D20&gt;0,D36-D20,0)</f>
        <v>4647</v>
      </c>
    </row>
    <row r="38" spans="1:4" ht="15.75">
      <c r="A38" s="253"/>
      <c r="B38" s="343" t="s">
        <v>260</v>
      </c>
      <c r="C38" s="344">
        <f>[1]inputOth!D6</f>
        <v>0</v>
      </c>
      <c r="D38" s="266">
        <f>ROUND(IF(C38&gt;0,(D37*C38),0),0)</f>
        <v>0</v>
      </c>
    </row>
    <row r="39" spans="1:4" ht="16.5" thickBot="1">
      <c r="A39" s="251"/>
      <c r="B39" s="522"/>
      <c r="C39" s="523"/>
      <c r="D39" s="345">
        <f>D37+D38</f>
        <v>4647</v>
      </c>
    </row>
    <row r="40" spans="1:4" ht="16.5" thickTop="1">
      <c r="A40" s="251"/>
      <c r="B40" s="522"/>
      <c r="C40" s="522"/>
      <c r="D40" s="251"/>
    </row>
    <row r="41" spans="1:4" ht="15.75">
      <c r="A41" s="251"/>
      <c r="B41" s="414"/>
      <c r="C41" s="253"/>
      <c r="D41" s="253"/>
    </row>
    <row r="42" spans="1:4" ht="15.75">
      <c r="A42" s="280"/>
      <c r="B42" s="415" t="s">
        <v>323</v>
      </c>
      <c r="C42" s="416"/>
      <c r="D42" s="251"/>
    </row>
  </sheetData>
  <mergeCells count="4">
    <mergeCell ref="B35:C35"/>
    <mergeCell ref="B36:C36"/>
    <mergeCell ref="B39:C39"/>
    <mergeCell ref="B40:C40"/>
  </mergeCells>
  <conditionalFormatting sqref="D30">
    <cfRule type="cellIs" dxfId="85" priority="22" stopIfTrue="1" operator="greaterThan">
      <formula>#REF!*0.1</formula>
    </cfRule>
  </conditionalFormatting>
  <conditionalFormatting sqref="D35">
    <cfRule type="cellIs" dxfId="84" priority="21" stopIfTrue="1" operator="greaterThan">
      <formula>#REF!/0.95-#REF!</formula>
    </cfRule>
  </conditionalFormatting>
  <conditionalFormatting sqref="B33">
    <cfRule type="cellIs" dxfId="83" priority="8" stopIfTrue="1" operator="lessThan">
      <formula>0</formula>
    </cfRule>
  </conditionalFormatting>
  <conditionalFormatting sqref="C33">
    <cfRule type="cellIs" dxfId="82" priority="1" stopIfTrue="1" operator="lessThan">
      <formula>0</formula>
    </cfRule>
  </conditionalFormatting>
  <conditionalFormatting sqref="D17">
    <cfRule type="cellIs" dxfId="81" priority="26" stopIfTrue="1" operator="greaterThan">
      <formula>#REF!*0.1+D39</formula>
    </cfRule>
  </conditionalFormatting>
  <conditionalFormatting sqref="B32">
    <cfRule type="cellIs" dxfId="80" priority="9" stopIfTrue="1" operator="greaterThan">
      <formula>$C$75</formula>
    </cfRule>
  </conditionalFormatting>
  <conditionalFormatting sqref="C32">
    <cfRule type="cellIs" dxfId="79" priority="7" stopIfTrue="1" operator="greaterThan">
      <formula>$D$75</formula>
    </cfRule>
  </conditionalFormatting>
  <conditionalFormatting sqref="B30">
    <cfRule type="cellIs" dxfId="78" priority="6" stopIfTrue="1" operator="greaterThan">
      <formula>$C$73*0.1</formula>
    </cfRule>
  </conditionalFormatting>
  <conditionalFormatting sqref="C30">
    <cfRule type="cellIs" dxfId="77" priority="5" stopIfTrue="1" operator="greaterThan">
      <formula>$D$73*0.1</formula>
    </cfRule>
  </conditionalFormatting>
  <conditionalFormatting sqref="B17">
    <cfRule type="cellIs" dxfId="76" priority="4" stopIfTrue="1" operator="greaterThan">
      <formula>$C$60*0.1</formula>
    </cfRule>
  </conditionalFormatting>
  <conditionalFormatting sqref="C17">
    <cfRule type="cellIs" dxfId="75" priority="3" stopIfTrue="1" operator="greaterThan">
      <formula>$D$60*0.1</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dimension ref="A1:D65"/>
  <sheetViews>
    <sheetView topLeftCell="A43" workbookViewId="0">
      <selection activeCell="B65" sqref="B65"/>
    </sheetView>
  </sheetViews>
  <sheetFormatPr defaultRowHeight="15"/>
  <cols>
    <col min="1" max="1" width="51" customWidth="1"/>
    <col min="2" max="2" width="18.5703125" customWidth="1"/>
    <col min="3" max="3" width="14" customWidth="1"/>
    <col min="4" max="4" width="16.28515625" customWidth="1"/>
  </cols>
  <sheetData>
    <row r="1" spans="1:4" ht="15.75">
      <c r="A1" s="250" t="s">
        <v>2</v>
      </c>
      <c r="B1" s="251"/>
      <c r="C1" s="251"/>
      <c r="D1" s="408">
        <v>2013</v>
      </c>
    </row>
    <row r="2" spans="1:4" ht="15.75">
      <c r="A2" s="251"/>
      <c r="B2" s="251"/>
      <c r="C2" s="251"/>
      <c r="D2" s="253"/>
    </row>
    <row r="3" spans="1:4" ht="15.75">
      <c r="A3" s="254" t="s">
        <v>267</v>
      </c>
      <c r="B3" s="409"/>
      <c r="C3" s="409"/>
      <c r="D3" s="409"/>
    </row>
    <row r="4" spans="1:4" ht="15.75">
      <c r="A4" s="257" t="s">
        <v>213</v>
      </c>
      <c r="B4" s="258" t="s">
        <v>214</v>
      </c>
      <c r="C4" s="259" t="s">
        <v>264</v>
      </c>
      <c r="D4" s="260" t="s">
        <v>268</v>
      </c>
    </row>
    <row r="5" spans="1:4" ht="15.75">
      <c r="A5" s="261" t="s">
        <v>23</v>
      </c>
      <c r="B5" s="262" t="str">
        <f>CONCATENATE("Actual for ",D1-2,"")</f>
        <v>Actual for 2011</v>
      </c>
      <c r="C5" s="262" t="str">
        <f>CONCATENATE("Estimate for ",D1-1,"")</f>
        <v>Estimate for 2012</v>
      </c>
      <c r="D5" s="263" t="str">
        <f>CONCATENATE("Year for ",D1,"")</f>
        <v>Year for 2013</v>
      </c>
    </row>
    <row r="6" spans="1:4" ht="15.75">
      <c r="A6" s="274" t="s">
        <v>217</v>
      </c>
      <c r="B6" s="265">
        <v>12283</v>
      </c>
      <c r="C6" s="266">
        <f>B29</f>
        <v>18289</v>
      </c>
      <c r="D6" s="266">
        <f>C29</f>
        <v>17559</v>
      </c>
    </row>
    <row r="7" spans="1:4" ht="15.75">
      <c r="A7" s="287" t="s">
        <v>218</v>
      </c>
      <c r="B7" s="267"/>
      <c r="C7" s="267"/>
      <c r="D7" s="267"/>
    </row>
    <row r="8" spans="1:4" ht="15.75">
      <c r="A8" s="279" t="s">
        <v>269</v>
      </c>
      <c r="B8" s="265">
        <v>10311</v>
      </c>
      <c r="C8" s="266">
        <v>9270</v>
      </c>
      <c r="D8" s="266">
        <v>9340</v>
      </c>
    </row>
    <row r="9" spans="1:4" ht="15.75">
      <c r="A9" s="279" t="s">
        <v>270</v>
      </c>
      <c r="B9" s="265"/>
      <c r="C9" s="266">
        <f>[1]inputOth!D54</f>
        <v>0</v>
      </c>
      <c r="D9" s="266">
        <f>[1]inputOth!D52</f>
        <v>0</v>
      </c>
    </row>
    <row r="10" spans="1:4" ht="15.75">
      <c r="A10" s="270"/>
      <c r="B10" s="265"/>
      <c r="C10" s="265"/>
      <c r="D10" s="265"/>
    </row>
    <row r="11" spans="1:4" ht="15.75">
      <c r="A11" s="270"/>
      <c r="B11" s="265"/>
      <c r="C11" s="265"/>
      <c r="D11" s="265"/>
    </row>
    <row r="12" spans="1:4" ht="15.75">
      <c r="A12" s="288" t="s">
        <v>237</v>
      </c>
      <c r="B12" s="265"/>
      <c r="C12" s="265"/>
      <c r="D12" s="265"/>
    </row>
    <row r="13" spans="1:4" ht="15.75">
      <c r="A13" s="272" t="s">
        <v>235</v>
      </c>
      <c r="B13" s="265"/>
      <c r="C13" s="265"/>
      <c r="D13" s="265"/>
    </row>
    <row r="14" spans="1:4" ht="15.75">
      <c r="A14" s="274" t="s">
        <v>238</v>
      </c>
      <c r="B14" s="275" t="str">
        <f>IF(B15*0.1&lt;B13,"Exceed 10% Rule","")</f>
        <v/>
      </c>
      <c r="C14" s="276" t="str">
        <f>IF(C15*0.1&lt;C13,"Exceed 10% Rule","")</f>
        <v/>
      </c>
      <c r="D14" s="276" t="str">
        <f>IF(D15*0.1&lt;D13,"Exceed 10% Rule","")</f>
        <v/>
      </c>
    </row>
    <row r="15" spans="1:4" ht="15.75">
      <c r="A15" s="277" t="s">
        <v>239</v>
      </c>
      <c r="B15" s="278">
        <f>SUM(B8:B13)</f>
        <v>10311</v>
      </c>
      <c r="C15" s="278">
        <f>SUM(C8:C13)</f>
        <v>9270</v>
      </c>
      <c r="D15" s="278">
        <f>SUM(D8:D13)</f>
        <v>9340</v>
      </c>
    </row>
    <row r="16" spans="1:4" ht="15.75">
      <c r="A16" s="277" t="s">
        <v>240</v>
      </c>
      <c r="B16" s="278">
        <f>B6+B15</f>
        <v>22594</v>
      </c>
      <c r="C16" s="278">
        <f>C6+C15</f>
        <v>27559</v>
      </c>
      <c r="D16" s="278">
        <f>D6+D15</f>
        <v>26899</v>
      </c>
    </row>
    <row r="17" spans="1:4" ht="15.75">
      <c r="A17" s="264" t="s">
        <v>243</v>
      </c>
      <c r="B17" s="266"/>
      <c r="C17" s="266"/>
      <c r="D17" s="266"/>
    </row>
    <row r="18" spans="1:4" ht="15.75">
      <c r="A18" s="270" t="s">
        <v>271</v>
      </c>
      <c r="B18" s="265">
        <v>4305</v>
      </c>
      <c r="C18" s="265">
        <v>10000</v>
      </c>
      <c r="D18" s="265">
        <v>26899</v>
      </c>
    </row>
    <row r="19" spans="1:4" ht="15.75">
      <c r="A19" s="270"/>
      <c r="B19" s="265"/>
      <c r="C19" s="265"/>
      <c r="D19" s="265"/>
    </row>
    <row r="20" spans="1:4" ht="15.75">
      <c r="A20" s="270"/>
      <c r="B20" s="265"/>
      <c r="C20" s="265"/>
      <c r="D20" s="265"/>
    </row>
    <row r="21" spans="1:4" ht="15.75">
      <c r="A21" s="270"/>
      <c r="B21" s="265"/>
      <c r="C21" s="265"/>
      <c r="D21" s="265"/>
    </row>
    <row r="22" spans="1:4" ht="15.75">
      <c r="A22" s="270"/>
      <c r="B22" s="265"/>
      <c r="C22" s="265"/>
      <c r="D22" s="265"/>
    </row>
    <row r="23" spans="1:4" ht="15.75">
      <c r="A23" s="270"/>
      <c r="B23" s="265"/>
      <c r="C23" s="265"/>
      <c r="D23" s="265"/>
    </row>
    <row r="24" spans="1:4" ht="15.75">
      <c r="A24" s="270"/>
      <c r="B24" s="265"/>
      <c r="C24" s="265"/>
      <c r="D24" s="265"/>
    </row>
    <row r="25" spans="1:4" ht="15.75">
      <c r="A25" s="270"/>
      <c r="B25" s="265"/>
      <c r="C25" s="265"/>
      <c r="D25" s="265"/>
    </row>
    <row r="26" spans="1:4" ht="15.75">
      <c r="A26" s="279" t="s">
        <v>235</v>
      </c>
      <c r="B26" s="265"/>
      <c r="C26" s="265"/>
      <c r="D26" s="265"/>
    </row>
    <row r="27" spans="1:4" ht="15.75">
      <c r="A27" s="279"/>
      <c r="B27" s="275" t="str">
        <f>IF(B28*0.1&lt;B26,"Exceed 10% Rule","")</f>
        <v/>
      </c>
      <c r="C27" s="276" t="str">
        <f>IF(C28*0.1&lt;C26,"Exceed 10% Rule","")</f>
        <v/>
      </c>
      <c r="D27" s="276" t="str">
        <f>IF(D28*0.1&lt;D26,"Exceed 10% Rule","")</f>
        <v/>
      </c>
    </row>
    <row r="28" spans="1:4" ht="15.75">
      <c r="A28" s="277" t="s">
        <v>255</v>
      </c>
      <c r="B28" s="278">
        <f>SUM(B18:B26)</f>
        <v>4305</v>
      </c>
      <c r="C28" s="278">
        <f>SUM(C18:C26)</f>
        <v>10000</v>
      </c>
      <c r="D28" s="278">
        <f>SUM(D18:D26)</f>
        <v>26899</v>
      </c>
    </row>
    <row r="29" spans="1:4" ht="15.75">
      <c r="A29" s="264" t="s">
        <v>256</v>
      </c>
      <c r="B29" s="266">
        <f>B16-B28</f>
        <v>18289</v>
      </c>
      <c r="C29" s="266">
        <f>C16-C28</f>
        <v>17559</v>
      </c>
      <c r="D29" s="266">
        <f>D16-D28</f>
        <v>0</v>
      </c>
    </row>
    <row r="30" spans="1:4" ht="15.75">
      <c r="A30" s="280"/>
      <c r="B30" s="281"/>
      <c r="C30" s="281"/>
      <c r="D30" s="282" t="str">
        <f>IF(D29&lt;0,"See Tab E","")</f>
        <v/>
      </c>
    </row>
    <row r="31" spans="1:4" ht="15.75">
      <c r="A31" s="280"/>
      <c r="B31" s="283"/>
      <c r="C31" s="283"/>
      <c r="D31" s="292"/>
    </row>
    <row r="32" spans="1:4" ht="15.75">
      <c r="A32" s="280"/>
      <c r="B32" s="283" t="str">
        <f>IF(B29&lt;0,"See Tab B","")</f>
        <v/>
      </c>
      <c r="C32" s="283" t="str">
        <f>IF(C29&lt;0,"See Tab D","")</f>
        <v/>
      </c>
      <c r="D32" s="292"/>
    </row>
    <row r="33" spans="1:4" ht="15.75">
      <c r="A33" s="251"/>
      <c r="B33" s="292"/>
      <c r="C33" s="292"/>
      <c r="D33" s="292"/>
    </row>
    <row r="34" spans="1:4" ht="15.75">
      <c r="A34" s="257" t="s">
        <v>213</v>
      </c>
      <c r="B34" s="293"/>
      <c r="C34" s="293"/>
      <c r="D34" s="293"/>
    </row>
    <row r="35" spans="1:4" ht="15.75">
      <c r="A35" s="251"/>
      <c r="B35" s="294" t="str">
        <f t="shared" ref="B35:D36" si="0">B4</f>
        <v xml:space="preserve">Prior Year </v>
      </c>
      <c r="C35" s="260" t="str">
        <f t="shared" si="0"/>
        <v>Current Year</v>
      </c>
      <c r="D35" s="260" t="str">
        <f t="shared" si="0"/>
        <v>Proposed Budget</v>
      </c>
    </row>
    <row r="36" spans="1:4" ht="15.75">
      <c r="A36" s="295" t="s">
        <v>24</v>
      </c>
      <c r="B36" s="263" t="str">
        <f t="shared" si="0"/>
        <v>Actual for 2011</v>
      </c>
      <c r="C36" s="263" t="str">
        <f t="shared" si="0"/>
        <v>Estimate for 2012</v>
      </c>
      <c r="D36" s="263" t="str">
        <f t="shared" si="0"/>
        <v>Year for 2013</v>
      </c>
    </row>
    <row r="37" spans="1:4" ht="15.75">
      <c r="A37" s="274" t="s">
        <v>217</v>
      </c>
      <c r="B37" s="265">
        <v>3241</v>
      </c>
      <c r="C37" s="266">
        <f>B60</f>
        <v>2885</v>
      </c>
      <c r="D37" s="266">
        <f>C60</f>
        <v>2285</v>
      </c>
    </row>
    <row r="38" spans="1:4" ht="15.75">
      <c r="A38" s="274" t="s">
        <v>218</v>
      </c>
      <c r="B38" s="267"/>
      <c r="C38" s="267"/>
      <c r="D38" s="267"/>
    </row>
    <row r="39" spans="1:4" ht="15.75">
      <c r="A39" s="270" t="s">
        <v>225</v>
      </c>
      <c r="B39" s="265">
        <v>4803</v>
      </c>
      <c r="C39" s="265">
        <v>5000</v>
      </c>
      <c r="D39" s="265">
        <v>5000</v>
      </c>
    </row>
    <row r="40" spans="1:4" ht="15.75">
      <c r="A40" s="270"/>
      <c r="B40" s="265"/>
      <c r="C40" s="265"/>
      <c r="D40" s="265"/>
    </row>
    <row r="41" spans="1:4" ht="15.75">
      <c r="A41" s="270"/>
      <c r="B41" s="265"/>
      <c r="C41" s="265"/>
      <c r="D41" s="265"/>
    </row>
    <row r="42" spans="1:4" ht="15.75">
      <c r="A42" s="270"/>
      <c r="B42" s="265"/>
      <c r="C42" s="265"/>
      <c r="D42" s="265"/>
    </row>
    <row r="43" spans="1:4" ht="15.75">
      <c r="A43" s="288"/>
      <c r="B43" s="265"/>
      <c r="C43" s="265"/>
      <c r="D43" s="265"/>
    </row>
    <row r="44" spans="1:4" ht="15.75">
      <c r="A44" s="272" t="s">
        <v>235</v>
      </c>
      <c r="B44" s="265"/>
      <c r="C44" s="265"/>
      <c r="D44" s="265"/>
    </row>
    <row r="45" spans="1:4" ht="15.75">
      <c r="A45" s="274" t="s">
        <v>238</v>
      </c>
      <c r="B45" s="275" t="str">
        <f>IF(B46*0.1&lt;B44,"Exceed 10% Rule","")</f>
        <v/>
      </c>
      <c r="C45" s="276" t="str">
        <f>IF(C46*0.1&lt;C44,"Exceed 10% Rule","")</f>
        <v/>
      </c>
      <c r="D45" s="276" t="str">
        <f>IF(D46*0.1&lt;D44,"Exceed 10% Rule","")</f>
        <v/>
      </c>
    </row>
    <row r="46" spans="1:4" ht="15.75">
      <c r="A46" s="277" t="s">
        <v>239</v>
      </c>
      <c r="B46" s="278">
        <f>SUM(B39:B44)</f>
        <v>4803</v>
      </c>
      <c r="C46" s="278">
        <f>SUM(C39:C44)</f>
        <v>5000</v>
      </c>
      <c r="D46" s="278">
        <f>SUM(D39:D44)</f>
        <v>5000</v>
      </c>
    </row>
    <row r="47" spans="1:4" ht="15.75">
      <c r="A47" s="277" t="s">
        <v>240</v>
      </c>
      <c r="B47" s="278">
        <f>B37+B46</f>
        <v>8044</v>
      </c>
      <c r="C47" s="278">
        <f>C37+C46</f>
        <v>7885</v>
      </c>
      <c r="D47" s="278">
        <f>D37+D46</f>
        <v>7285</v>
      </c>
    </row>
    <row r="48" spans="1:4" ht="15.75">
      <c r="A48" s="264" t="s">
        <v>243</v>
      </c>
      <c r="B48" s="266"/>
      <c r="C48" s="266"/>
      <c r="D48" s="266"/>
    </row>
    <row r="49" spans="1:4" ht="15.75">
      <c r="A49" s="270" t="s">
        <v>272</v>
      </c>
      <c r="B49" s="265">
        <v>1292</v>
      </c>
      <c r="C49" s="265">
        <v>1500</v>
      </c>
      <c r="D49" s="265">
        <v>1500</v>
      </c>
    </row>
    <row r="50" spans="1:4" ht="15.75">
      <c r="A50" s="270" t="s">
        <v>245</v>
      </c>
      <c r="B50" s="265">
        <v>2895</v>
      </c>
      <c r="C50" s="265">
        <v>3000</v>
      </c>
      <c r="D50" s="265">
        <v>3000</v>
      </c>
    </row>
    <row r="51" spans="1:4" ht="15.75">
      <c r="A51" s="270" t="s">
        <v>246</v>
      </c>
      <c r="B51" s="265">
        <v>927</v>
      </c>
      <c r="C51" s="265">
        <v>1000</v>
      </c>
      <c r="D51" s="265">
        <v>1000</v>
      </c>
    </row>
    <row r="52" spans="1:4" ht="15.75">
      <c r="A52" s="270" t="s">
        <v>247</v>
      </c>
      <c r="B52" s="265">
        <v>45</v>
      </c>
      <c r="C52" s="265">
        <v>100</v>
      </c>
      <c r="D52" s="265">
        <v>1785</v>
      </c>
    </row>
    <row r="53" spans="1:4" ht="15.75">
      <c r="A53" s="270"/>
      <c r="B53" s="265"/>
      <c r="C53" s="265"/>
      <c r="D53" s="265"/>
    </row>
    <row r="54" spans="1:4" ht="15.75">
      <c r="A54" s="270"/>
      <c r="B54" s="265"/>
      <c r="C54" s="265"/>
      <c r="D54" s="265"/>
    </row>
    <row r="55" spans="1:4" ht="15.75">
      <c r="A55" s="270"/>
      <c r="B55" s="265"/>
      <c r="C55" s="265"/>
      <c r="D55" s="265"/>
    </row>
    <row r="56" spans="1:4" ht="15.75">
      <c r="A56" s="270"/>
      <c r="B56" s="265"/>
      <c r="C56" s="265"/>
      <c r="D56" s="265"/>
    </row>
    <row r="57" spans="1:4" ht="15.75">
      <c r="A57" s="279" t="s">
        <v>235</v>
      </c>
      <c r="B57" s="265"/>
      <c r="C57" s="265"/>
      <c r="D57" s="265"/>
    </row>
    <row r="58" spans="1:4" ht="15.75">
      <c r="A58" s="279"/>
      <c r="B58" s="275" t="str">
        <f>IF(B59*0.1&lt;B57,"Exceed 10% Rule","")</f>
        <v/>
      </c>
      <c r="C58" s="276" t="str">
        <f>IF(C59*0.1&lt;C57,"Exceed 10% Rule","")</f>
        <v/>
      </c>
      <c r="D58" s="276" t="str">
        <f>IF(D59*0.1&lt;D57,"Exceed 10% Rule","")</f>
        <v/>
      </c>
    </row>
    <row r="59" spans="1:4" ht="15.75">
      <c r="A59" s="277" t="s">
        <v>255</v>
      </c>
      <c r="B59" s="278">
        <f>SUM(B49:B57)</f>
        <v>5159</v>
      </c>
      <c r="C59" s="278">
        <f>SUM(C49:C57)</f>
        <v>5600</v>
      </c>
      <c r="D59" s="278">
        <f>SUM(D49:D57)</f>
        <v>7285</v>
      </c>
    </row>
    <row r="60" spans="1:4" ht="15.75">
      <c r="A60" s="264" t="s">
        <v>256</v>
      </c>
      <c r="B60" s="266">
        <f>B47-B59</f>
        <v>2885</v>
      </c>
      <c r="C60" s="266">
        <f>C47-C59</f>
        <v>2285</v>
      </c>
      <c r="D60" s="266">
        <f>D47-D59</f>
        <v>0</v>
      </c>
    </row>
    <row r="61" spans="1:4" ht="15.75">
      <c r="A61" s="280"/>
      <c r="B61" s="281" t="str">
        <f>[1]inputOth!A75</f>
        <v>Special Park &amp; Rec</v>
      </c>
      <c r="C61" s="281">
        <f>[1]inputPrYr!C35</f>
        <v>0</v>
      </c>
      <c r="D61" s="282" t="str">
        <f>IF(D60&lt;0,"See Tab E","")</f>
        <v/>
      </c>
    </row>
    <row r="62" spans="1:4" ht="15.75">
      <c r="A62" s="280"/>
      <c r="B62" s="283" t="str">
        <f>IF(B59&gt;B61,"See Tab A","")</f>
        <v/>
      </c>
      <c r="C62" s="283"/>
      <c r="D62" s="251"/>
    </row>
    <row r="63" spans="1:4" ht="15.75">
      <c r="A63" s="280"/>
      <c r="B63" s="283" t="str">
        <f>IF(B60&lt;0,"See Tab B","")</f>
        <v/>
      </c>
      <c r="C63" s="283" t="str">
        <f>IF(C60&lt;0,"See Tab D","")</f>
        <v/>
      </c>
      <c r="D63" s="251"/>
    </row>
    <row r="64" spans="1:4" ht="15.75">
      <c r="A64" s="251"/>
      <c r="B64" s="251"/>
      <c r="C64" s="251"/>
      <c r="D64" s="251"/>
    </row>
    <row r="65" spans="1:4" ht="15.75">
      <c r="A65" s="280"/>
      <c r="B65" s="286" t="s">
        <v>324</v>
      </c>
      <c r="C65" s="251"/>
      <c r="D65" s="251"/>
    </row>
  </sheetData>
  <conditionalFormatting sqref="B44">
    <cfRule type="cellIs" dxfId="74" priority="3" stopIfTrue="1" operator="greaterThan">
      <formula>$C$46*0.1</formula>
    </cfRule>
  </conditionalFormatting>
  <conditionalFormatting sqref="C44">
    <cfRule type="cellIs" dxfId="73" priority="4" stopIfTrue="1" operator="greaterThan">
      <formula>$D$46*0.1</formula>
    </cfRule>
  </conditionalFormatting>
  <conditionalFormatting sqref="D44">
    <cfRule type="cellIs" dxfId="72" priority="5" stopIfTrue="1" operator="greaterThan">
      <formula>$E$46*0.1</formula>
    </cfRule>
  </conditionalFormatting>
  <conditionalFormatting sqref="B57">
    <cfRule type="cellIs" dxfId="71" priority="6" stopIfTrue="1" operator="greaterThan">
      <formula>$C$59*0.1</formula>
    </cfRule>
  </conditionalFormatting>
  <conditionalFormatting sqref="C57">
    <cfRule type="cellIs" dxfId="70" priority="7" stopIfTrue="1" operator="greaterThan">
      <formula>$D$59*0.1</formula>
    </cfRule>
  </conditionalFormatting>
  <conditionalFormatting sqref="D57">
    <cfRule type="cellIs" dxfId="69" priority="8" stopIfTrue="1" operator="greaterThan">
      <formula>$E$59*0.1</formula>
    </cfRule>
  </conditionalFormatting>
  <conditionalFormatting sqref="B13">
    <cfRule type="cellIs" dxfId="68" priority="9" stopIfTrue="1" operator="greaterThan">
      <formula>$C$15*0.1</formula>
    </cfRule>
  </conditionalFormatting>
  <conditionalFormatting sqref="C13">
    <cfRule type="cellIs" dxfId="67" priority="10" stopIfTrue="1" operator="greaterThan">
      <formula>$D$15*0.1</formula>
    </cfRule>
  </conditionalFormatting>
  <conditionalFormatting sqref="D13">
    <cfRule type="cellIs" dxfId="66" priority="11" stopIfTrue="1" operator="greaterThan">
      <formula>$E$15*0.1</formula>
    </cfRule>
  </conditionalFormatting>
  <conditionalFormatting sqref="B26">
    <cfRule type="cellIs" dxfId="65" priority="12" stopIfTrue="1" operator="greaterThan">
      <formula>$C$28*0.1</formula>
    </cfRule>
  </conditionalFormatting>
  <conditionalFormatting sqref="C26">
    <cfRule type="cellIs" dxfId="64" priority="13" stopIfTrue="1" operator="greaterThan">
      <formula>$D$28*0.1</formula>
    </cfRule>
  </conditionalFormatting>
  <conditionalFormatting sqref="D26">
    <cfRule type="cellIs" dxfId="63" priority="14" stopIfTrue="1" operator="greaterThan">
      <formula>$E$28*0.1</formula>
    </cfRule>
  </conditionalFormatting>
  <conditionalFormatting sqref="D60 B60 D29 B29">
    <cfRule type="cellIs" dxfId="62" priority="15" stopIfTrue="1" operator="lessThan">
      <formula>0</formula>
    </cfRule>
  </conditionalFormatting>
  <conditionalFormatting sqref="C59">
    <cfRule type="cellIs" dxfId="61" priority="16" stopIfTrue="1" operator="greaterThan">
      <formula>$D$61</formula>
    </cfRule>
  </conditionalFormatting>
  <conditionalFormatting sqref="B59">
    <cfRule type="cellIs" dxfId="60" priority="17" stopIfTrue="1" operator="greaterThan">
      <formula>$C$61</formula>
    </cfRule>
  </conditionalFormatting>
  <conditionalFormatting sqref="C28">
    <cfRule type="cellIs" dxfId="59" priority="18" stopIfTrue="1" operator="greaterThan">
      <formula>$D$30</formula>
    </cfRule>
  </conditionalFormatting>
  <conditionalFormatting sqref="B28">
    <cfRule type="cellIs" dxfId="58" priority="19" stopIfTrue="1" operator="greaterThan">
      <formula>$C$30</formula>
    </cfRule>
  </conditionalFormatting>
  <conditionalFormatting sqref="C60">
    <cfRule type="cellIs" dxfId="57" priority="2" stopIfTrue="1" operator="lessThan">
      <formula>0</formula>
    </cfRule>
  </conditionalFormatting>
  <conditionalFormatting sqref="C29">
    <cfRule type="cellIs" dxfId="56" priority="1" stopIfTrue="1" operator="lessThan">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B1:E50"/>
  <sheetViews>
    <sheetView topLeftCell="A19" workbookViewId="0">
      <selection activeCell="C50" sqref="C50"/>
    </sheetView>
  </sheetViews>
  <sheetFormatPr defaultRowHeight="15"/>
  <cols>
    <col min="1" max="1" width="3.7109375" customWidth="1"/>
    <col min="2" max="2" width="38.28515625" customWidth="1"/>
    <col min="3" max="3" width="15" customWidth="1"/>
    <col min="4" max="4" width="16.5703125" customWidth="1"/>
    <col min="5" max="5" width="16.28515625" customWidth="1"/>
  </cols>
  <sheetData>
    <row r="1" spans="2:5" ht="15.75">
      <c r="B1" s="134" t="str">
        <f>([1]inputPrYr!D2)</f>
        <v>City of Delphos</v>
      </c>
      <c r="C1" s="2"/>
      <c r="D1" s="2"/>
      <c r="E1" s="168">
        <f>[1]inputPrYr!C5</f>
        <v>2013</v>
      </c>
    </row>
    <row r="2" spans="2:5" ht="15.75">
      <c r="B2" s="2"/>
      <c r="C2" s="2"/>
      <c r="D2" s="2"/>
      <c r="E2" s="132"/>
    </row>
    <row r="3" spans="2:5" ht="15.75">
      <c r="B3" s="19" t="s">
        <v>267</v>
      </c>
      <c r="C3" s="131"/>
      <c r="D3" s="131"/>
      <c r="E3" s="131"/>
    </row>
    <row r="4" spans="2:5" ht="15.75">
      <c r="B4" s="8" t="s">
        <v>213</v>
      </c>
      <c r="C4" s="169" t="s">
        <v>214</v>
      </c>
      <c r="D4" s="170" t="s">
        <v>264</v>
      </c>
      <c r="E4" s="124" t="s">
        <v>268</v>
      </c>
    </row>
    <row r="5" spans="2:5" ht="15.75">
      <c r="B5" s="171" t="str">
        <f>([1]inputPrYr!B36)</f>
        <v>Equipment Reserve</v>
      </c>
      <c r="C5" s="172" t="str">
        <f>CONCATENATE("Actual for ",E1-2,"")</f>
        <v>Actual for 2011</v>
      </c>
      <c r="D5" s="172" t="str">
        <f>CONCATENATE("Estimate for ",E1-1,"")</f>
        <v>Estimate for 2012</v>
      </c>
      <c r="E5" s="173" t="str">
        <f>CONCATENATE("Year for ",E1,"")</f>
        <v>Year for 2013</v>
      </c>
    </row>
    <row r="6" spans="2:5" ht="15.75">
      <c r="B6" s="174" t="s">
        <v>217</v>
      </c>
      <c r="C6" s="50">
        <v>27777</v>
      </c>
      <c r="D6" s="163">
        <f>C21</f>
        <v>37812</v>
      </c>
      <c r="E6" s="163">
        <f>D21</f>
        <v>42352</v>
      </c>
    </row>
    <row r="7" spans="2:5" ht="15.75">
      <c r="B7" s="175" t="s">
        <v>218</v>
      </c>
      <c r="C7" s="50"/>
      <c r="D7" s="50"/>
      <c r="E7" s="50"/>
    </row>
    <row r="8" spans="2:5" ht="15.75">
      <c r="B8" s="50" t="s">
        <v>231</v>
      </c>
      <c r="C8" s="50">
        <v>35</v>
      </c>
      <c r="D8" s="50"/>
      <c r="E8" s="50"/>
    </row>
    <row r="9" spans="2:5" ht="15.75">
      <c r="B9" s="50" t="s">
        <v>273</v>
      </c>
      <c r="C9" s="50">
        <v>10000</v>
      </c>
      <c r="D9" s="50">
        <v>10000</v>
      </c>
      <c r="E9" s="50">
        <v>10000</v>
      </c>
    </row>
    <row r="10" spans="2:5" ht="15.75">
      <c r="B10" s="50"/>
      <c r="C10" s="50"/>
      <c r="D10" s="50"/>
      <c r="E10" s="50"/>
    </row>
    <row r="11" spans="2:5" ht="15.75">
      <c r="B11" s="50"/>
      <c r="C11" s="50"/>
      <c r="D11" s="50"/>
      <c r="E11" s="50"/>
    </row>
    <row r="12" spans="2:5">
      <c r="B12" s="205" t="s">
        <v>239</v>
      </c>
      <c r="C12" s="206">
        <f>SUM(C8:C11)</f>
        <v>10035</v>
      </c>
      <c r="D12" s="206">
        <f>SUM(D8:D11)</f>
        <v>10000</v>
      </c>
      <c r="E12" s="206">
        <f>SUM(E8:E11)</f>
        <v>10000</v>
      </c>
    </row>
    <row r="13" spans="2:5">
      <c r="B13" s="205" t="s">
        <v>240</v>
      </c>
      <c r="C13" s="206">
        <f>C6+C12</f>
        <v>37812</v>
      </c>
      <c r="D13" s="206">
        <f>D6+D12</f>
        <v>47812</v>
      </c>
      <c r="E13" s="206">
        <f>E6+E12</f>
        <v>52352</v>
      </c>
    </row>
    <row r="14" spans="2:5">
      <c r="B14" s="194" t="s">
        <v>243</v>
      </c>
      <c r="C14" s="207"/>
      <c r="D14" s="207"/>
      <c r="E14" s="207"/>
    </row>
    <row r="15" spans="2:5" ht="15.75">
      <c r="B15" s="50" t="s">
        <v>274</v>
      </c>
      <c r="C15" s="50"/>
      <c r="D15" s="50">
        <v>5460</v>
      </c>
      <c r="E15" s="50"/>
    </row>
    <row r="16" spans="2:5" ht="15.75">
      <c r="B16" s="50"/>
      <c r="C16" s="50"/>
      <c r="D16" s="50"/>
      <c r="E16" s="50"/>
    </row>
    <row r="17" spans="2:5" ht="15.75">
      <c r="B17" s="50"/>
      <c r="C17" s="50"/>
      <c r="D17" s="50"/>
      <c r="E17" s="50"/>
    </row>
    <row r="18" spans="2:5" ht="15.75">
      <c r="B18" s="50"/>
      <c r="C18" s="50"/>
      <c r="D18" s="50"/>
      <c r="E18" s="50"/>
    </row>
    <row r="19" spans="2:5" ht="15.75">
      <c r="B19" s="50"/>
      <c r="C19" s="50"/>
      <c r="D19" s="50"/>
      <c r="E19" s="50"/>
    </row>
    <row r="20" spans="2:5" ht="15.75">
      <c r="B20" s="205" t="s">
        <v>255</v>
      </c>
      <c r="C20" s="206">
        <f>SUM(C15:C18)</f>
        <v>0</v>
      </c>
      <c r="D20" s="50">
        <v>5460</v>
      </c>
      <c r="E20" s="206">
        <f>SUM(E15:E18)</f>
        <v>0</v>
      </c>
    </row>
    <row r="21" spans="2:5">
      <c r="B21" s="194" t="s">
        <v>256</v>
      </c>
      <c r="C21" s="207">
        <f>C13-C20</f>
        <v>37812</v>
      </c>
      <c r="D21" s="207">
        <f>D13-D20</f>
        <v>42352</v>
      </c>
      <c r="E21" s="207">
        <f>E13-E20</f>
        <v>52352</v>
      </c>
    </row>
    <row r="22" spans="2:5">
      <c r="B22" s="184"/>
      <c r="C22" s="208">
        <f>[1]inputOth!B76</f>
        <v>0</v>
      </c>
      <c r="D22" s="208">
        <f>[1]inputPrYr!D36</f>
        <v>0</v>
      </c>
      <c r="E22" s="209" t="str">
        <f>IF(E21&lt;0,"See Tab E","")</f>
        <v/>
      </c>
    </row>
    <row r="23" spans="2:5">
      <c r="B23" s="182"/>
      <c r="C23" s="210"/>
      <c r="D23" s="210"/>
      <c r="E23" s="210"/>
    </row>
    <row r="24" spans="2:5">
      <c r="B24" s="191" t="s">
        <v>213</v>
      </c>
      <c r="C24" s="211"/>
      <c r="D24" s="211"/>
      <c r="E24" s="211"/>
    </row>
    <row r="25" spans="2:5">
      <c r="B25" s="182"/>
      <c r="C25" s="212" t="str">
        <f t="shared" ref="C25:E26" si="0">C4</f>
        <v xml:space="preserve">Prior Year </v>
      </c>
      <c r="D25" s="190" t="str">
        <f t="shared" si="0"/>
        <v>Current Year</v>
      </c>
      <c r="E25" s="190" t="str">
        <f t="shared" si="0"/>
        <v>Proposed Budget</v>
      </c>
    </row>
    <row r="26" spans="2:5">
      <c r="B26" s="213" t="str">
        <f>([1]inputPrYr!B37)</f>
        <v>Water Utility</v>
      </c>
      <c r="C26" s="214" t="str">
        <f t="shared" si="0"/>
        <v>Actual for 2011</v>
      </c>
      <c r="D26" s="214" t="str">
        <f t="shared" si="0"/>
        <v>Estimate for 2012</v>
      </c>
      <c r="E26" s="214" t="str">
        <f t="shared" si="0"/>
        <v>Year for 2013</v>
      </c>
    </row>
    <row r="27" spans="2:5">
      <c r="B27" s="204" t="s">
        <v>217</v>
      </c>
      <c r="C27" s="215">
        <v>9861</v>
      </c>
      <c r="D27" s="207">
        <f>C47</f>
        <v>14694</v>
      </c>
      <c r="E27" s="207">
        <f>D47</f>
        <v>27832</v>
      </c>
    </row>
    <row r="28" spans="2:5">
      <c r="B28" s="204" t="s">
        <v>218</v>
      </c>
      <c r="C28" s="197"/>
      <c r="D28" s="197"/>
      <c r="E28" s="197"/>
    </row>
    <row r="29" spans="2:5">
      <c r="B29" s="216" t="s">
        <v>275</v>
      </c>
      <c r="C29" s="215">
        <v>16226</v>
      </c>
      <c r="D29" s="215">
        <v>16226</v>
      </c>
      <c r="E29" s="215">
        <v>16226</v>
      </c>
    </row>
    <row r="30" spans="2:5">
      <c r="B30" s="216" t="s">
        <v>276</v>
      </c>
      <c r="C30" s="215">
        <v>37462</v>
      </c>
      <c r="D30" s="215">
        <v>50000</v>
      </c>
      <c r="E30" s="215">
        <v>50000</v>
      </c>
    </row>
    <row r="31" spans="2:5">
      <c r="B31" s="216" t="s">
        <v>277</v>
      </c>
      <c r="C31" s="215">
        <v>112</v>
      </c>
      <c r="D31" s="215">
        <v>112</v>
      </c>
      <c r="E31" s="215">
        <v>112</v>
      </c>
    </row>
    <row r="32" spans="2:5">
      <c r="B32" s="216" t="s">
        <v>234</v>
      </c>
      <c r="C32" s="215"/>
      <c r="D32" s="215">
        <v>1200</v>
      </c>
      <c r="E32" s="215">
        <v>1200</v>
      </c>
    </row>
    <row r="33" spans="2:5">
      <c r="B33" s="217" t="s">
        <v>237</v>
      </c>
      <c r="C33" s="215">
        <v>37</v>
      </c>
      <c r="D33" s="215"/>
      <c r="E33" s="215"/>
    </row>
    <row r="34" spans="2:5">
      <c r="B34" s="218" t="s">
        <v>235</v>
      </c>
      <c r="C34" s="215"/>
      <c r="D34" s="215"/>
      <c r="E34" s="215"/>
    </row>
    <row r="35" spans="2:5">
      <c r="B35" s="219" t="s">
        <v>238</v>
      </c>
      <c r="C35" s="220" t="str">
        <f>IF(C36*0.1&lt;C34,"Exceed 10% Rule","")</f>
        <v/>
      </c>
      <c r="D35" s="221" t="str">
        <f>IF(D36*0.1&lt;D34,"Exceed 10% Rule","")</f>
        <v/>
      </c>
      <c r="E35" s="221" t="str">
        <f>IF(E36*0.1&lt;E34,"Exceed 10% Rule","")</f>
        <v/>
      </c>
    </row>
    <row r="36" spans="2:5">
      <c r="B36" s="205" t="s">
        <v>239</v>
      </c>
      <c r="C36" s="206">
        <f>SUM(C29:C34)</f>
        <v>53837</v>
      </c>
      <c r="D36" s="206">
        <f>SUM(D29:D34)</f>
        <v>67538</v>
      </c>
      <c r="E36" s="206">
        <f>SUM(E29:E34)</f>
        <v>67538</v>
      </c>
    </row>
    <row r="37" spans="2:5">
      <c r="B37" s="205" t="s">
        <v>240</v>
      </c>
      <c r="C37" s="206">
        <f>C27+C36</f>
        <v>63698</v>
      </c>
      <c r="D37" s="206">
        <f>D27+D36</f>
        <v>82232</v>
      </c>
      <c r="E37" s="206">
        <f>E27+E36</f>
        <v>95370</v>
      </c>
    </row>
    <row r="38" spans="2:5">
      <c r="B38" s="194" t="s">
        <v>243</v>
      </c>
      <c r="C38" s="207"/>
      <c r="D38" s="207"/>
      <c r="E38" s="207"/>
    </row>
    <row r="39" spans="2:5">
      <c r="B39" s="216" t="s">
        <v>278</v>
      </c>
      <c r="C39" s="215">
        <v>17904</v>
      </c>
      <c r="D39" s="215">
        <v>18000</v>
      </c>
      <c r="E39" s="215">
        <v>20000</v>
      </c>
    </row>
    <row r="40" spans="2:5">
      <c r="B40" s="216" t="s">
        <v>245</v>
      </c>
      <c r="C40" s="215">
        <v>10951</v>
      </c>
      <c r="D40" s="215">
        <v>11000</v>
      </c>
      <c r="E40" s="215">
        <v>15000</v>
      </c>
    </row>
    <row r="41" spans="2:5">
      <c r="B41" s="216" t="s">
        <v>246</v>
      </c>
      <c r="C41" s="215">
        <v>4579</v>
      </c>
      <c r="D41" s="215">
        <v>5000</v>
      </c>
      <c r="E41" s="215">
        <v>5000</v>
      </c>
    </row>
    <row r="42" spans="2:5">
      <c r="B42" s="216" t="s">
        <v>247</v>
      </c>
      <c r="C42" s="215"/>
      <c r="D42" s="215"/>
      <c r="E42" s="215">
        <v>34970</v>
      </c>
    </row>
    <row r="43" spans="2:5">
      <c r="B43" s="216" t="s">
        <v>279</v>
      </c>
      <c r="C43" s="215">
        <v>15251</v>
      </c>
      <c r="D43" s="215">
        <v>20000</v>
      </c>
      <c r="E43" s="215">
        <v>20000</v>
      </c>
    </row>
    <row r="44" spans="2:5">
      <c r="B44" s="222" t="s">
        <v>235</v>
      </c>
      <c r="C44" s="215">
        <v>319</v>
      </c>
      <c r="D44" s="223">
        <v>400</v>
      </c>
      <c r="E44" s="223">
        <v>400</v>
      </c>
    </row>
    <row r="45" spans="2:5">
      <c r="B45" s="222"/>
      <c r="C45" s="220" t="str">
        <f>IF(C46*0.1&lt;C44,"Exceed 10% Rule","")</f>
        <v/>
      </c>
      <c r="D45" s="221" t="str">
        <f>IF(D46*0.1&lt;D44,"Exceed 10% Rule","")</f>
        <v/>
      </c>
      <c r="E45" s="221" t="str">
        <f>IF(E46*0.1&lt;E44,"Exceed 10% Rule","")</f>
        <v/>
      </c>
    </row>
    <row r="46" spans="2:5">
      <c r="B46" s="224" t="s">
        <v>255</v>
      </c>
      <c r="C46" s="233">
        <v>49004</v>
      </c>
      <c r="D46" s="233">
        <v>54400</v>
      </c>
      <c r="E46" s="225">
        <f>SUM(E39:E44)</f>
        <v>95370</v>
      </c>
    </row>
    <row r="47" spans="2:5">
      <c r="B47" s="226" t="s">
        <v>256</v>
      </c>
      <c r="C47" s="227">
        <f>C37-C46</f>
        <v>14694</v>
      </c>
      <c r="D47" s="227">
        <f>D37-D46</f>
        <v>27832</v>
      </c>
      <c r="E47" s="227">
        <f>E37-E46</f>
        <v>0</v>
      </c>
    </row>
    <row r="48" spans="2:5">
      <c r="B48" s="228"/>
      <c r="C48" s="229"/>
      <c r="D48" s="229"/>
      <c r="E48" s="230" t="str">
        <f>IF(E47&lt;0,"See Tab E","")</f>
        <v/>
      </c>
    </row>
    <row r="49" spans="2:5">
      <c r="B49" s="231"/>
      <c r="C49" s="231"/>
      <c r="D49" s="231"/>
      <c r="E49" s="231"/>
    </row>
    <row r="50" spans="2:5">
      <c r="B50" s="228"/>
      <c r="C50" s="232" t="s">
        <v>325</v>
      </c>
      <c r="D50" s="231"/>
      <c r="E50" s="231"/>
    </row>
  </sheetData>
  <conditionalFormatting sqref="C34">
    <cfRule type="cellIs" dxfId="55" priority="9" stopIfTrue="1" operator="greaterThan">
      <formula>$C$36*0.1</formula>
    </cfRule>
  </conditionalFormatting>
  <conditionalFormatting sqref="D34">
    <cfRule type="cellIs" dxfId="54" priority="10" stopIfTrue="1" operator="greaterThan">
      <formula>$D$36*0.1</formula>
    </cfRule>
  </conditionalFormatting>
  <conditionalFormatting sqref="E34">
    <cfRule type="cellIs" dxfId="53" priority="11" stopIfTrue="1" operator="greaterThan">
      <formula>$E$36*0.1</formula>
    </cfRule>
  </conditionalFormatting>
  <conditionalFormatting sqref="C44">
    <cfRule type="cellIs" dxfId="52" priority="12" stopIfTrue="1" operator="greaterThan">
      <formula>$C$46*0.1</formula>
    </cfRule>
  </conditionalFormatting>
  <conditionalFormatting sqref="D44">
    <cfRule type="cellIs" dxfId="51" priority="13" stopIfTrue="1" operator="greaterThan">
      <formula>$D$46*0.1</formula>
    </cfRule>
  </conditionalFormatting>
  <conditionalFormatting sqref="E44">
    <cfRule type="cellIs" dxfId="50" priority="14" stopIfTrue="1" operator="greaterThan">
      <formula>$E$46*0.1</formula>
    </cfRule>
  </conditionalFormatting>
  <conditionalFormatting sqref="E47 C47 E21 C21">
    <cfRule type="cellIs" dxfId="49" priority="15" stopIfTrue="1" operator="lessThan">
      <formula>0</formula>
    </cfRule>
  </conditionalFormatting>
  <conditionalFormatting sqref="C20">
    <cfRule type="cellIs" dxfId="48" priority="19" stopIfTrue="1" operator="greaterThan">
      <formula>$C$22</formula>
    </cfRule>
  </conditionalFormatting>
  <conditionalFormatting sqref="D47">
    <cfRule type="cellIs" dxfId="47" priority="2" stopIfTrue="1" operator="lessThan">
      <formula>0</formula>
    </cfRule>
  </conditionalFormatting>
  <conditionalFormatting sqref="D21">
    <cfRule type="cellIs" dxfId="46" priority="1" stopIfTrue="1" operator="lessThan">
      <formula>0</formula>
    </cfRule>
  </conditionalFormatting>
  <pageMargins left="0.2" right="0.2" top="0.25" bottom="0.25" header="0.3" footer="0.3"/>
  <pageSetup orientation="portrait" r:id="rId1"/>
</worksheet>
</file>

<file path=xl/worksheets/sheet13.xml><?xml version="1.0" encoding="utf-8"?>
<worksheet xmlns="http://schemas.openxmlformats.org/spreadsheetml/2006/main" xmlns:r="http://schemas.openxmlformats.org/officeDocument/2006/relationships">
  <dimension ref="A1:D51"/>
  <sheetViews>
    <sheetView topLeftCell="A7" workbookViewId="0">
      <selection activeCell="B26" sqref="B26"/>
    </sheetView>
  </sheetViews>
  <sheetFormatPr defaultRowHeight="15"/>
  <cols>
    <col min="1" max="1" width="51" customWidth="1"/>
    <col min="2" max="2" width="12.140625" customWidth="1"/>
    <col min="3" max="3" width="14" customWidth="1"/>
    <col min="4" max="4" width="16.28515625" customWidth="1"/>
  </cols>
  <sheetData>
    <row r="1" spans="1:4">
      <c r="A1" s="417" t="s">
        <v>2</v>
      </c>
      <c r="B1" s="418"/>
      <c r="C1" s="418"/>
      <c r="D1" s="419">
        <v>2013</v>
      </c>
    </row>
    <row r="2" spans="1:4">
      <c r="A2" s="418"/>
      <c r="B2" s="418"/>
      <c r="C2" s="418"/>
      <c r="D2" s="420"/>
    </row>
    <row r="3" spans="1:4">
      <c r="A3" s="421" t="s">
        <v>267</v>
      </c>
      <c r="B3" s="422"/>
      <c r="C3" s="422"/>
      <c r="D3" s="422"/>
    </row>
    <row r="4" spans="1:4">
      <c r="A4" s="423" t="s">
        <v>213</v>
      </c>
      <c r="B4" s="424" t="s">
        <v>214</v>
      </c>
      <c r="C4" s="425" t="s">
        <v>264</v>
      </c>
      <c r="D4" s="426" t="s">
        <v>268</v>
      </c>
    </row>
    <row r="5" spans="1:4">
      <c r="A5" s="427" t="s">
        <v>27</v>
      </c>
      <c r="B5" s="428">
        <v>2011</v>
      </c>
      <c r="C5" s="428">
        <v>2012</v>
      </c>
      <c r="D5" s="429">
        <v>2013</v>
      </c>
    </row>
    <row r="6" spans="1:4">
      <c r="A6" s="430" t="s">
        <v>217</v>
      </c>
      <c r="B6" s="431">
        <v>4269</v>
      </c>
      <c r="C6" s="432">
        <f>B27</f>
        <v>4476</v>
      </c>
      <c r="D6" s="432">
        <f>C27</f>
        <v>1787</v>
      </c>
    </row>
    <row r="7" spans="1:4">
      <c r="A7" s="433" t="s">
        <v>218</v>
      </c>
      <c r="B7" s="434"/>
      <c r="C7" s="434"/>
      <c r="D7" s="434"/>
    </row>
    <row r="8" spans="1:4">
      <c r="A8" s="435" t="s">
        <v>280</v>
      </c>
      <c r="B8" s="431">
        <v>42553</v>
      </c>
      <c r="C8" s="431">
        <v>40000</v>
      </c>
      <c r="D8" s="431">
        <v>43000</v>
      </c>
    </row>
    <row r="9" spans="1:4">
      <c r="A9" s="435"/>
      <c r="B9" s="431"/>
      <c r="C9" s="431"/>
      <c r="D9" s="431"/>
    </row>
    <row r="10" spans="1:4">
      <c r="A10" s="435"/>
      <c r="B10" s="431"/>
      <c r="C10" s="431"/>
      <c r="D10" s="431"/>
    </row>
    <row r="11" spans="1:4">
      <c r="A11" s="435"/>
      <c r="B11" s="431"/>
      <c r="C11" s="431"/>
      <c r="D11" s="431"/>
    </row>
    <row r="12" spans="1:4">
      <c r="A12" s="436"/>
      <c r="B12" s="431"/>
      <c r="C12" s="431"/>
      <c r="D12" s="431"/>
    </row>
    <row r="13" spans="1:4">
      <c r="A13" s="437" t="s">
        <v>235</v>
      </c>
      <c r="B13" s="431"/>
      <c r="C13" s="438"/>
      <c r="D13" s="438"/>
    </row>
    <row r="14" spans="1:4">
      <c r="A14" s="430" t="s">
        <v>238</v>
      </c>
      <c r="B14" s="439" t="str">
        <f>IF(B15*0.1&lt;B13,"Exceed 10% Rule","")</f>
        <v/>
      </c>
      <c r="C14" s="440" t="str">
        <f>IF(C15*0.1&lt;C13,"Exceed 10% Rule","")</f>
        <v/>
      </c>
      <c r="D14" s="440" t="str">
        <f>IF(D15*0.1&lt;D13,"Exceed 10% Rule","")</f>
        <v/>
      </c>
    </row>
    <row r="15" spans="1:4">
      <c r="A15" s="441" t="s">
        <v>239</v>
      </c>
      <c r="B15" s="442">
        <f>SUM(B8:B13)</f>
        <v>42553</v>
      </c>
      <c r="C15" s="442">
        <f>SUM(C8:C13)</f>
        <v>40000</v>
      </c>
      <c r="D15" s="442">
        <f>SUM(D8:D13)</f>
        <v>43000</v>
      </c>
    </row>
    <row r="16" spans="1:4">
      <c r="A16" s="441" t="s">
        <v>240</v>
      </c>
      <c r="B16" s="442">
        <f>B6+B15</f>
        <v>46822</v>
      </c>
      <c r="C16" s="442">
        <f>C6+C15</f>
        <v>44476</v>
      </c>
      <c r="D16" s="442">
        <f>D6+D15</f>
        <v>44787</v>
      </c>
    </row>
    <row r="17" spans="1:4">
      <c r="A17" s="443" t="s">
        <v>243</v>
      </c>
      <c r="B17" s="432"/>
      <c r="C17" s="432"/>
      <c r="D17" s="432"/>
    </row>
    <row r="18" spans="1:4">
      <c r="A18" s="435" t="s">
        <v>278</v>
      </c>
      <c r="B18" s="431">
        <v>9180</v>
      </c>
      <c r="C18" s="431">
        <v>9285</v>
      </c>
      <c r="D18" s="431">
        <v>9200</v>
      </c>
    </row>
    <row r="19" spans="1:4">
      <c r="A19" s="435" t="s">
        <v>245</v>
      </c>
      <c r="B19" s="431">
        <v>2634</v>
      </c>
      <c r="C19" s="431">
        <v>2320</v>
      </c>
      <c r="D19" s="431">
        <v>2320</v>
      </c>
    </row>
    <row r="20" spans="1:4">
      <c r="A20" s="435" t="s">
        <v>246</v>
      </c>
      <c r="B20" s="431">
        <v>1156</v>
      </c>
      <c r="C20" s="431">
        <v>609</v>
      </c>
      <c r="D20" s="431">
        <v>2992</v>
      </c>
    </row>
    <row r="21" spans="1:4">
      <c r="A21" s="435"/>
      <c r="B21" s="431"/>
      <c r="C21" s="431"/>
      <c r="D21" s="431"/>
    </row>
    <row r="22" spans="1:4">
      <c r="A22" s="435" t="s">
        <v>281</v>
      </c>
      <c r="B22" s="431">
        <v>4016</v>
      </c>
      <c r="C22" s="431">
        <v>6475</v>
      </c>
      <c r="D22" s="431">
        <v>6475</v>
      </c>
    </row>
    <row r="23" spans="1:4">
      <c r="A23" s="435" t="s">
        <v>282</v>
      </c>
      <c r="B23" s="431">
        <v>25360</v>
      </c>
      <c r="C23" s="431">
        <v>24000</v>
      </c>
      <c r="D23" s="431">
        <v>23800</v>
      </c>
    </row>
    <row r="24" spans="1:4">
      <c r="A24" s="435"/>
      <c r="B24" s="431"/>
      <c r="C24" s="431"/>
      <c r="D24" s="431"/>
    </row>
    <row r="25" spans="1:4">
      <c r="A25" s="444"/>
      <c r="B25" s="439"/>
      <c r="C25" s="440"/>
      <c r="D25" s="440"/>
    </row>
    <row r="26" spans="1:4">
      <c r="A26" s="441" t="s">
        <v>255</v>
      </c>
      <c r="B26" s="442">
        <f>SUM(B18:B24)</f>
        <v>42346</v>
      </c>
      <c r="C26" s="442">
        <f>SUM(C18:C24)</f>
        <v>42689</v>
      </c>
      <c r="D26" s="442">
        <f>SUM(D18:D24)</f>
        <v>44787</v>
      </c>
    </row>
    <row r="27" spans="1:4">
      <c r="A27" s="443" t="s">
        <v>256</v>
      </c>
      <c r="B27" s="432">
        <f>B16-B26</f>
        <v>4476</v>
      </c>
      <c r="C27" s="432">
        <f>C16-C26</f>
        <v>1787</v>
      </c>
      <c r="D27" s="432">
        <f>D16-D26</f>
        <v>0</v>
      </c>
    </row>
    <row r="28" spans="1:4">
      <c r="A28" s="445"/>
      <c r="B28" s="446"/>
      <c r="C28" s="446"/>
      <c r="D28" s="447" t="str">
        <f>IF(D27&lt;0,"See Tab E","")</f>
        <v/>
      </c>
    </row>
    <row r="29" spans="1:4">
      <c r="A29" s="445"/>
      <c r="B29" s="448"/>
      <c r="C29" s="448"/>
      <c r="D29" s="449"/>
    </row>
    <row r="30" spans="1:4">
      <c r="A30" s="445"/>
      <c r="B30" s="448" t="str">
        <f>IF(B27&lt;0,"See Tab B","")</f>
        <v/>
      </c>
      <c r="C30" s="448" t="str">
        <f>IF(C27&lt;0,"See Tab D","")</f>
        <v/>
      </c>
      <c r="D30" s="449"/>
    </row>
    <row r="31" spans="1:4">
      <c r="A31" s="418"/>
      <c r="B31" s="449"/>
      <c r="C31" s="449"/>
      <c r="D31" s="449"/>
    </row>
    <row r="32" spans="1:4">
      <c r="A32" s="423" t="s">
        <v>213</v>
      </c>
      <c r="B32" s="450"/>
      <c r="C32" s="450"/>
      <c r="D32" s="450"/>
    </row>
    <row r="33" spans="1:4">
      <c r="A33" s="418"/>
      <c r="B33" s="451" t="str">
        <f t="shared" ref="B33:D34" si="0">B4</f>
        <v xml:space="preserve">Prior Year </v>
      </c>
      <c r="C33" s="426" t="str">
        <f t="shared" si="0"/>
        <v>Current Year</v>
      </c>
      <c r="D33" s="426" t="str">
        <f t="shared" si="0"/>
        <v>Proposed Budget</v>
      </c>
    </row>
    <row r="34" spans="1:4">
      <c r="A34" s="452" t="s">
        <v>28</v>
      </c>
      <c r="B34" s="429">
        <f t="shared" si="0"/>
        <v>2011</v>
      </c>
      <c r="C34" s="429">
        <f t="shared" si="0"/>
        <v>2012</v>
      </c>
      <c r="D34" s="429">
        <f t="shared" si="0"/>
        <v>2013</v>
      </c>
    </row>
    <row r="35" spans="1:4">
      <c r="A35" s="430" t="s">
        <v>217</v>
      </c>
      <c r="B35" s="431">
        <v>3615</v>
      </c>
      <c r="C35" s="432">
        <f>B49</f>
        <v>4847</v>
      </c>
      <c r="D35" s="432">
        <f>C49</f>
        <v>6847</v>
      </c>
    </row>
    <row r="36" spans="1:4">
      <c r="A36" s="430" t="s">
        <v>218</v>
      </c>
      <c r="B36" s="434"/>
      <c r="C36" s="434"/>
      <c r="D36" s="434"/>
    </row>
    <row r="37" spans="1:4">
      <c r="A37" s="435" t="s">
        <v>283</v>
      </c>
      <c r="B37" s="431">
        <v>19145</v>
      </c>
      <c r="C37" s="431">
        <v>20000</v>
      </c>
      <c r="D37" s="431">
        <v>20000</v>
      </c>
    </row>
    <row r="38" spans="1:4">
      <c r="A38" s="435"/>
      <c r="B38" s="431"/>
      <c r="C38" s="431"/>
      <c r="D38" s="431"/>
    </row>
    <row r="39" spans="1:4">
      <c r="A39" s="435"/>
      <c r="B39" s="431"/>
      <c r="C39" s="431"/>
      <c r="D39" s="431"/>
    </row>
    <row r="40" spans="1:4">
      <c r="A40" s="441" t="s">
        <v>239</v>
      </c>
      <c r="B40" s="442">
        <f>SUM(B37:B39)</f>
        <v>19145</v>
      </c>
      <c r="C40" s="442">
        <f>SUM(C37:C39)</f>
        <v>20000</v>
      </c>
      <c r="D40" s="442">
        <f>SUM(D37:D39)</f>
        <v>20000</v>
      </c>
    </row>
    <row r="41" spans="1:4">
      <c r="A41" s="441" t="s">
        <v>240</v>
      </c>
      <c r="B41" s="442">
        <f>B35+B40</f>
        <v>22760</v>
      </c>
      <c r="C41" s="442">
        <f>C35+C40</f>
        <v>24847</v>
      </c>
      <c r="D41" s="442">
        <f>D35+D40</f>
        <v>26847</v>
      </c>
    </row>
    <row r="42" spans="1:4">
      <c r="A42" s="443" t="s">
        <v>243</v>
      </c>
      <c r="B42" s="432"/>
      <c r="C42" s="432"/>
      <c r="D42" s="432"/>
    </row>
    <row r="43" spans="1:4">
      <c r="A43" s="435" t="s">
        <v>245</v>
      </c>
      <c r="B43" s="431">
        <v>17913</v>
      </c>
      <c r="C43" s="431">
        <v>18000</v>
      </c>
      <c r="D43" s="431">
        <v>26847</v>
      </c>
    </row>
    <row r="44" spans="1:4">
      <c r="A44" s="435"/>
      <c r="B44" s="431"/>
      <c r="C44" s="431"/>
      <c r="D44" s="431"/>
    </row>
    <row r="45" spans="1:4">
      <c r="A45" s="435"/>
      <c r="B45" s="431"/>
      <c r="C45" s="431"/>
      <c r="D45" s="431"/>
    </row>
    <row r="46" spans="1:4">
      <c r="A46" s="444" t="s">
        <v>235</v>
      </c>
      <c r="B46" s="431"/>
      <c r="C46" s="438"/>
      <c r="D46" s="438"/>
    </row>
    <row r="47" spans="1:4">
      <c r="A47" s="444" t="s">
        <v>254</v>
      </c>
      <c r="B47" s="439" t="str">
        <f>IF(B48*0.1&lt;B46,"Exceed 10% Rule","")</f>
        <v/>
      </c>
      <c r="C47" s="440" t="str">
        <f>IF(C48*0.1&lt;C46,"Exceed 10% Rule","")</f>
        <v/>
      </c>
      <c r="D47" s="440" t="str">
        <f>IF(D48*0.1&lt;D46,"Exceed 10% Rule","")</f>
        <v/>
      </c>
    </row>
    <row r="48" spans="1:4">
      <c r="A48" s="441" t="s">
        <v>255</v>
      </c>
      <c r="B48" s="442">
        <f>SUM(B43:B46)</f>
        <v>17913</v>
      </c>
      <c r="C48" s="442">
        <f>SUM(C43:C46)</f>
        <v>18000</v>
      </c>
      <c r="D48" s="442">
        <f>SUM(D43:D46)</f>
        <v>26847</v>
      </c>
    </row>
    <row r="49" spans="1:4">
      <c r="A49" s="443" t="s">
        <v>256</v>
      </c>
      <c r="B49" s="432">
        <f>B41-B48</f>
        <v>4847</v>
      </c>
      <c r="C49" s="432">
        <f>C41-C48</f>
        <v>6847</v>
      </c>
      <c r="D49" s="432">
        <f>D41-D48</f>
        <v>0</v>
      </c>
    </row>
    <row r="50" spans="1:4">
      <c r="A50" s="445"/>
      <c r="B50" s="446"/>
      <c r="C50" s="446"/>
      <c r="D50" s="447" t="str">
        <f>IF(D49&lt;0,"See Tab E","")</f>
        <v/>
      </c>
    </row>
    <row r="51" spans="1:4">
      <c r="A51" s="445"/>
      <c r="B51" s="453" t="s">
        <v>326</v>
      </c>
      <c r="C51" s="418"/>
      <c r="D51" s="418"/>
    </row>
  </sheetData>
  <conditionalFormatting sqref="B13">
    <cfRule type="cellIs" dxfId="45" priority="3" stopIfTrue="1" operator="greaterThan">
      <formula>$C$15*0.1</formula>
    </cfRule>
  </conditionalFormatting>
  <conditionalFormatting sqref="C13">
    <cfRule type="cellIs" dxfId="44" priority="4" stopIfTrue="1" operator="greaterThan">
      <formula>$D$15*0.1</formula>
    </cfRule>
  </conditionalFormatting>
  <conditionalFormatting sqref="D13">
    <cfRule type="cellIs" dxfId="43" priority="5" stopIfTrue="1" operator="greaterThan">
      <formula>$E$15*0.1</formula>
    </cfRule>
  </conditionalFormatting>
  <conditionalFormatting sqref="B46">
    <cfRule type="cellIs" dxfId="42" priority="12" stopIfTrue="1" operator="greaterThan">
      <formula>$C$48*0.1</formula>
    </cfRule>
  </conditionalFormatting>
  <conditionalFormatting sqref="C46">
    <cfRule type="cellIs" dxfId="41" priority="13" stopIfTrue="1" operator="greaterThan">
      <formula>$D$48*0.1</formula>
    </cfRule>
  </conditionalFormatting>
  <conditionalFormatting sqref="D46">
    <cfRule type="cellIs" dxfId="40" priority="14" stopIfTrue="1" operator="greaterThan">
      <formula>$E$48*0.1</formula>
    </cfRule>
  </conditionalFormatting>
  <conditionalFormatting sqref="D49 B49 D27 B27">
    <cfRule type="cellIs" dxfId="39" priority="15" stopIfTrue="1" operator="lessThan">
      <formula>0</formula>
    </cfRule>
  </conditionalFormatting>
  <conditionalFormatting sqref="C48">
    <cfRule type="cellIs" dxfId="38" priority="16" stopIfTrue="1" operator="greaterThan">
      <formula>$D$50</formula>
    </cfRule>
  </conditionalFormatting>
  <conditionalFormatting sqref="B48">
    <cfRule type="cellIs" dxfId="37" priority="17" stopIfTrue="1" operator="greaterThan">
      <formula>$C$50</formula>
    </cfRule>
  </conditionalFormatting>
  <conditionalFormatting sqref="C26">
    <cfRule type="cellIs" dxfId="36" priority="18" stopIfTrue="1" operator="greaterThan">
      <formula>$D$28</formula>
    </cfRule>
  </conditionalFormatting>
  <conditionalFormatting sqref="B26">
    <cfRule type="cellIs" dxfId="35" priority="19" stopIfTrue="1" operator="greaterThan">
      <formula>$C$28</formula>
    </cfRule>
  </conditionalFormatting>
  <conditionalFormatting sqref="C49">
    <cfRule type="cellIs" dxfId="34" priority="2" stopIfTrue="1" operator="lessThan">
      <formula>0</formula>
    </cfRule>
  </conditionalFormatting>
  <conditionalFormatting sqref="C27">
    <cfRule type="cellIs" dxfId="33" priority="1" stopIfTrue="1" operator="lessThan">
      <formula>0</formula>
    </cfRule>
  </conditionalFormatting>
  <pageMargins left="0.45" right="0.45" top="0.25" bottom="0.25" header="0.3" footer="0.3"/>
  <pageSetup orientation="portrait" r:id="rId1"/>
</worksheet>
</file>

<file path=xl/worksheets/sheet14.xml><?xml version="1.0" encoding="utf-8"?>
<worksheet xmlns="http://schemas.openxmlformats.org/spreadsheetml/2006/main" xmlns:r="http://schemas.openxmlformats.org/officeDocument/2006/relationships">
  <dimension ref="A1:D44"/>
  <sheetViews>
    <sheetView topLeftCell="A10" workbookViewId="0">
      <selection activeCell="B44" sqref="B44"/>
    </sheetView>
  </sheetViews>
  <sheetFormatPr defaultRowHeight="15"/>
  <cols>
    <col min="1" max="1" width="40" customWidth="1"/>
    <col min="2" max="2" width="23.28515625" customWidth="1"/>
    <col min="3" max="3" width="16.5703125" customWidth="1"/>
    <col min="4" max="4" width="16.28515625" customWidth="1"/>
  </cols>
  <sheetData>
    <row r="1" spans="1:4" ht="15.75">
      <c r="A1" s="134" t="s">
        <v>2</v>
      </c>
      <c r="B1" s="2"/>
      <c r="C1" s="2"/>
      <c r="D1" s="168">
        <v>2013</v>
      </c>
    </row>
    <row r="2" spans="1:4" ht="15.75">
      <c r="A2" s="2"/>
      <c r="B2" s="2"/>
      <c r="C2" s="2"/>
      <c r="D2" s="132"/>
    </row>
    <row r="3" spans="1:4" ht="15.75">
      <c r="A3" s="19" t="s">
        <v>267</v>
      </c>
      <c r="B3" s="131"/>
      <c r="C3" s="131"/>
      <c r="D3" s="131"/>
    </row>
    <row r="4" spans="1:4" ht="15.75">
      <c r="A4" s="257" t="s">
        <v>213</v>
      </c>
      <c r="B4" s="258" t="s">
        <v>214</v>
      </c>
      <c r="C4" s="259" t="s">
        <v>264</v>
      </c>
      <c r="D4" s="260" t="s">
        <v>268</v>
      </c>
    </row>
    <row r="5" spans="1:4" ht="15.75">
      <c r="A5" s="261" t="s">
        <v>29</v>
      </c>
      <c r="B5" s="262" t="str">
        <f>CONCATENATE("Actual for ",D1-2,"")</f>
        <v>Actual for 2011</v>
      </c>
      <c r="C5" s="262" t="str">
        <f>CONCATENATE("Estimate for ",D1-1,"")</f>
        <v>Estimate for 2012</v>
      </c>
      <c r="D5" s="263" t="str">
        <f>CONCATENATE("Year for ",D1,"")</f>
        <v>Year for 2013</v>
      </c>
    </row>
    <row r="6" spans="1:4" ht="15.75">
      <c r="A6" s="274" t="s">
        <v>217</v>
      </c>
      <c r="B6" s="265">
        <v>22729</v>
      </c>
      <c r="C6" s="266">
        <f>B21</f>
        <v>22786</v>
      </c>
      <c r="D6" s="266">
        <f>C21</f>
        <v>22851</v>
      </c>
    </row>
    <row r="7" spans="1:4" ht="15.75">
      <c r="A7" s="287" t="s">
        <v>218</v>
      </c>
      <c r="B7" s="267"/>
      <c r="C7" s="267"/>
      <c r="D7" s="267"/>
    </row>
    <row r="8" spans="1:4" ht="15.75">
      <c r="A8" s="270"/>
      <c r="B8" s="265"/>
      <c r="C8" s="265"/>
      <c r="D8" s="265"/>
    </row>
    <row r="9" spans="1:4" ht="15.75">
      <c r="A9" s="270"/>
      <c r="B9" s="265"/>
      <c r="C9" s="265"/>
      <c r="D9" s="265"/>
    </row>
    <row r="10" spans="1:4" ht="15.75">
      <c r="A10" s="288" t="s">
        <v>237</v>
      </c>
      <c r="B10" s="265">
        <v>57</v>
      </c>
      <c r="C10" s="265">
        <v>65</v>
      </c>
      <c r="D10" s="265">
        <v>65</v>
      </c>
    </row>
    <row r="11" spans="1:4" ht="15.75">
      <c r="A11" s="272" t="s">
        <v>235</v>
      </c>
      <c r="B11" s="265"/>
      <c r="C11" s="289"/>
      <c r="D11" s="289"/>
    </row>
    <row r="12" spans="1:4" ht="15.75">
      <c r="A12" s="274" t="s">
        <v>238</v>
      </c>
      <c r="B12" s="275" t="str">
        <f>IF(B13*0.1&lt;B11,"Exceed 10% Rule","")</f>
        <v/>
      </c>
      <c r="C12" s="276" t="str">
        <f>IF(C13*0.1&lt;C11,"Exceed 10% Rule","")</f>
        <v/>
      </c>
      <c r="D12" s="276" t="str">
        <f>IF(D13*0.1&lt;D11,"Exceed 10% Rule","")</f>
        <v/>
      </c>
    </row>
    <row r="13" spans="1:4" ht="15.75">
      <c r="A13" s="277" t="s">
        <v>239</v>
      </c>
      <c r="B13" s="278">
        <f>SUM(B8:B11)</f>
        <v>57</v>
      </c>
      <c r="C13" s="278">
        <f>SUM(C8:C11)</f>
        <v>65</v>
      </c>
      <c r="D13" s="278">
        <f>SUM(D8:D11)</f>
        <v>65</v>
      </c>
    </row>
    <row r="14" spans="1:4" ht="15.75">
      <c r="A14" s="277" t="s">
        <v>240</v>
      </c>
      <c r="B14" s="278">
        <f>B6+B13</f>
        <v>22786</v>
      </c>
      <c r="C14" s="278">
        <f>C6+C13</f>
        <v>22851</v>
      </c>
      <c r="D14" s="278">
        <f>D6+D13</f>
        <v>22916</v>
      </c>
    </row>
    <row r="15" spans="1:4" ht="15.75">
      <c r="A15" s="264" t="s">
        <v>243</v>
      </c>
      <c r="B15" s="266"/>
      <c r="C15" s="266"/>
      <c r="D15" s="266"/>
    </row>
    <row r="16" spans="1:4" ht="15.75">
      <c r="A16" s="270" t="s">
        <v>29</v>
      </c>
      <c r="B16" s="265"/>
      <c r="C16" s="265"/>
      <c r="D16" s="265">
        <v>2916</v>
      </c>
    </row>
    <row r="17" spans="1:4" ht="15.75">
      <c r="A17" s="270"/>
      <c r="B17" s="265"/>
      <c r="C17" s="265"/>
      <c r="D17" s="265"/>
    </row>
    <row r="18" spans="1:4" ht="15.75">
      <c r="A18" s="270"/>
      <c r="B18" s="265"/>
      <c r="C18" s="265"/>
      <c r="D18" s="265"/>
    </row>
    <row r="19" spans="1:4" ht="15.75">
      <c r="A19" s="279" t="s">
        <v>235</v>
      </c>
      <c r="B19" s="265"/>
      <c r="C19" s="289"/>
      <c r="D19" s="289"/>
    </row>
    <row r="20" spans="1:4" ht="15.75">
      <c r="A20" s="277" t="s">
        <v>255</v>
      </c>
      <c r="B20" s="278">
        <f>SUM(B16:B19)</f>
        <v>0</v>
      </c>
      <c r="C20" s="278">
        <f>SUM(C16:C19)</f>
        <v>0</v>
      </c>
      <c r="D20" s="278">
        <f>SUM(D16:D19)</f>
        <v>2916</v>
      </c>
    </row>
    <row r="21" spans="1:4" ht="15.75">
      <c r="A21" s="264" t="s">
        <v>256</v>
      </c>
      <c r="B21" s="266">
        <f>B14-B20</f>
        <v>22786</v>
      </c>
      <c r="C21" s="266">
        <f>C14-C20</f>
        <v>22851</v>
      </c>
      <c r="D21" s="266">
        <f>D14-D20</f>
        <v>20000</v>
      </c>
    </row>
    <row r="22" spans="1:4" ht="15.75">
      <c r="A22" s="280"/>
      <c r="B22" s="281"/>
      <c r="C22" s="281"/>
      <c r="D22" s="282" t="str">
        <f>IF(D21&lt;0,"See Tab E","")</f>
        <v/>
      </c>
    </row>
    <row r="23" spans="1:4" ht="15.75">
      <c r="A23" s="280"/>
      <c r="B23" s="283" t="str">
        <f>IF(B20&gt;B22,"See Tab A","")</f>
        <v/>
      </c>
      <c r="C23" s="283" t="str">
        <f>IF(C20&gt;C22,"See Tab C","")</f>
        <v/>
      </c>
      <c r="D23" s="290"/>
    </row>
    <row r="24" spans="1:4" ht="15.75">
      <c r="A24" s="280"/>
      <c r="B24" s="283" t="str">
        <f>IF(B21&lt;0,"See Tab B","")</f>
        <v/>
      </c>
      <c r="C24" s="283" t="str">
        <f>IF(C21&lt;0,"See Tab D","")</f>
        <v/>
      </c>
      <c r="D24" s="290"/>
    </row>
    <row r="25" spans="1:4" ht="15.75">
      <c r="A25" s="291"/>
      <c r="B25" s="290"/>
      <c r="C25" s="290"/>
      <c r="D25" s="290"/>
    </row>
    <row r="26" spans="1:4" ht="15.75">
      <c r="A26" s="251"/>
      <c r="B26" s="292"/>
      <c r="C26" s="292"/>
      <c r="D26" s="292"/>
    </row>
    <row r="27" spans="1:4" ht="15.75">
      <c r="A27" s="257" t="s">
        <v>213</v>
      </c>
      <c r="B27" s="293"/>
      <c r="C27" s="293"/>
      <c r="D27" s="293"/>
    </row>
    <row r="28" spans="1:4" ht="15.75">
      <c r="A28" s="251"/>
      <c r="B28" s="294" t="str">
        <f t="shared" ref="B28:D29" si="0">B4</f>
        <v xml:space="preserve">Prior Year </v>
      </c>
      <c r="C28" s="260" t="str">
        <f t="shared" si="0"/>
        <v>Current Year</v>
      </c>
      <c r="D28" s="260" t="str">
        <f t="shared" si="0"/>
        <v>Proposed Budget</v>
      </c>
    </row>
    <row r="29" spans="1:4" ht="15.75">
      <c r="A29" s="295" t="s">
        <v>30</v>
      </c>
      <c r="B29" s="263" t="str">
        <f t="shared" si="0"/>
        <v>Actual for 2011</v>
      </c>
      <c r="C29" s="263" t="str">
        <f t="shared" si="0"/>
        <v>Estimate for 2012</v>
      </c>
      <c r="D29" s="263" t="str">
        <f t="shared" si="0"/>
        <v>Year for 2013</v>
      </c>
    </row>
    <row r="30" spans="1:4" ht="15.75">
      <c r="A30" s="274" t="s">
        <v>217</v>
      </c>
      <c r="B30" s="265">
        <v>23816</v>
      </c>
      <c r="C30" s="266">
        <f>B39</f>
        <v>32495</v>
      </c>
      <c r="D30" s="266">
        <f>C39</f>
        <v>42495</v>
      </c>
    </row>
    <row r="31" spans="1:4" ht="15.75">
      <c r="A31" s="274" t="s">
        <v>218</v>
      </c>
      <c r="B31" s="267"/>
      <c r="C31" s="267"/>
      <c r="D31" s="267"/>
    </row>
    <row r="32" spans="1:4" ht="15.75">
      <c r="A32" s="270" t="s">
        <v>284</v>
      </c>
      <c r="B32" s="265">
        <v>15251</v>
      </c>
      <c r="C32" s="265">
        <v>20000</v>
      </c>
      <c r="D32" s="265">
        <v>20000</v>
      </c>
    </row>
    <row r="33" spans="1:4" ht="15.75">
      <c r="A33" s="277" t="s">
        <v>239</v>
      </c>
      <c r="B33" s="278">
        <f>SUM(B32:B32)</f>
        <v>15251</v>
      </c>
      <c r="C33" s="278">
        <f>SUM(C32:C32)</f>
        <v>20000</v>
      </c>
      <c r="D33" s="278">
        <f>SUM(D32:D32)</f>
        <v>20000</v>
      </c>
    </row>
    <row r="34" spans="1:4" ht="15.75">
      <c r="A34" s="277" t="s">
        <v>240</v>
      </c>
      <c r="B34" s="278">
        <f>B30+B33</f>
        <v>39067</v>
      </c>
      <c r="C34" s="278">
        <f>C30+C33</f>
        <v>52495</v>
      </c>
      <c r="D34" s="278">
        <f>D30+D33</f>
        <v>62495</v>
      </c>
    </row>
    <row r="35" spans="1:4" ht="15.75">
      <c r="A35" s="264" t="s">
        <v>243</v>
      </c>
      <c r="B35" s="266"/>
      <c r="C35" s="266"/>
      <c r="D35" s="266"/>
    </row>
    <row r="36" spans="1:4" ht="15.75">
      <c r="A36" s="270" t="s">
        <v>245</v>
      </c>
      <c r="B36" s="265">
        <v>6572</v>
      </c>
      <c r="C36" s="265">
        <v>10000</v>
      </c>
      <c r="D36" s="265">
        <v>62495</v>
      </c>
    </row>
    <row r="37" spans="1:4" ht="15.75">
      <c r="A37" s="279" t="s">
        <v>235</v>
      </c>
      <c r="B37" s="265"/>
      <c r="C37" s="289"/>
      <c r="D37" s="289"/>
    </row>
    <row r="38" spans="1:4" ht="15.75">
      <c r="A38" s="277" t="s">
        <v>255</v>
      </c>
      <c r="B38" s="278">
        <f>SUM(B36:B37)</f>
        <v>6572</v>
      </c>
      <c r="C38" s="278">
        <f>SUM(C36:C37)</f>
        <v>10000</v>
      </c>
      <c r="D38" s="278">
        <f>SUM(D36:D37)</f>
        <v>62495</v>
      </c>
    </row>
    <row r="39" spans="1:4" ht="15.75">
      <c r="A39" s="264" t="s">
        <v>256</v>
      </c>
      <c r="B39" s="266">
        <f>B34-B38</f>
        <v>32495</v>
      </c>
      <c r="C39" s="266">
        <f>C34-C38</f>
        <v>42495</v>
      </c>
      <c r="D39" s="266">
        <f>D34-D38</f>
        <v>0</v>
      </c>
    </row>
    <row r="40" spans="1:4" ht="15.75">
      <c r="A40" s="280" t="str">
        <f>CONCATENATE("",D1-2,"/",D1-1," Budget Authority Amount:")</f>
        <v>2011/2012 Budget Authority Amount:</v>
      </c>
      <c r="B40" s="281" t="str">
        <f>[1]inputOth!A81</f>
        <v>Water Reserve</v>
      </c>
      <c r="C40" s="281">
        <f>[1]inputPrYr!C41</f>
        <v>0</v>
      </c>
      <c r="D40" s="282" t="str">
        <f>IF(D39&lt;0,"See Tab E","")</f>
        <v/>
      </c>
    </row>
    <row r="41" spans="1:4" ht="15.75">
      <c r="A41" s="280"/>
      <c r="B41" s="283" t="str">
        <f>IF(B38&gt;B40,"See Tab A","")</f>
        <v/>
      </c>
      <c r="C41" s="283"/>
      <c r="D41" s="290"/>
    </row>
    <row r="42" spans="1:4" ht="15.75">
      <c r="A42" s="280"/>
      <c r="B42" s="283" t="str">
        <f>IF(B39&lt;0,"See Tab B","")</f>
        <v/>
      </c>
      <c r="C42" s="283" t="str">
        <f>IF(C39&lt;0,"See Tab D","")</f>
        <v/>
      </c>
      <c r="D42" s="290"/>
    </row>
    <row r="43" spans="1:4" ht="15.75">
      <c r="A43" s="251"/>
      <c r="B43" s="251"/>
      <c r="C43" s="251"/>
      <c r="D43" s="251"/>
    </row>
    <row r="44" spans="1:4" ht="15.75">
      <c r="A44" s="280" t="s">
        <v>241</v>
      </c>
      <c r="B44" s="286">
        <v>13</v>
      </c>
      <c r="C44" s="251"/>
      <c r="D44" s="251"/>
    </row>
  </sheetData>
  <conditionalFormatting sqref="B11">
    <cfRule type="cellIs" dxfId="32" priority="3" stopIfTrue="1" operator="greaterThan">
      <formula>$C$13*0.1</formula>
    </cfRule>
  </conditionalFormatting>
  <conditionalFormatting sqref="C11">
    <cfRule type="cellIs" dxfId="31" priority="4" stopIfTrue="1" operator="greaterThan">
      <formula>$D$13*0.1</formula>
    </cfRule>
  </conditionalFormatting>
  <conditionalFormatting sqref="D11">
    <cfRule type="cellIs" dxfId="30" priority="5" stopIfTrue="1" operator="greaterThan">
      <formula>$E$13*0.1</formula>
    </cfRule>
  </conditionalFormatting>
  <conditionalFormatting sqref="B19">
    <cfRule type="cellIs" dxfId="29" priority="6" stopIfTrue="1" operator="greaterThan">
      <formula>$C$20*0.1</formula>
    </cfRule>
  </conditionalFormatting>
  <conditionalFormatting sqref="C19">
    <cfRule type="cellIs" dxfId="28" priority="7" stopIfTrue="1" operator="greaterThan">
      <formula>$D$20*0.1</formula>
    </cfRule>
  </conditionalFormatting>
  <conditionalFormatting sqref="D19">
    <cfRule type="cellIs" dxfId="27" priority="8" stopIfTrue="1" operator="greaterThan">
      <formula>$E$20*0.1</formula>
    </cfRule>
  </conditionalFormatting>
  <conditionalFormatting sqref="B37">
    <cfRule type="cellIs" dxfId="26" priority="12" stopIfTrue="1" operator="greaterThan">
      <formula>$C$38*0.1</formula>
    </cfRule>
  </conditionalFormatting>
  <conditionalFormatting sqref="C37">
    <cfRule type="cellIs" dxfId="25" priority="13" stopIfTrue="1" operator="greaterThan">
      <formula>$D$38*0.1</formula>
    </cfRule>
  </conditionalFormatting>
  <conditionalFormatting sqref="D37">
    <cfRule type="cellIs" dxfId="24" priority="14" stopIfTrue="1" operator="greaterThan">
      <formula>$E$38*0.1</formula>
    </cfRule>
  </conditionalFormatting>
  <conditionalFormatting sqref="D21 B21 D39 B39">
    <cfRule type="cellIs" dxfId="23" priority="15" stopIfTrue="1" operator="lessThan">
      <formula>0</formula>
    </cfRule>
  </conditionalFormatting>
  <conditionalFormatting sqref="C20">
    <cfRule type="cellIs" dxfId="22" priority="16" stopIfTrue="1" operator="greaterThan">
      <formula>$D$22</formula>
    </cfRule>
  </conditionalFormatting>
  <conditionalFormatting sqref="B20">
    <cfRule type="cellIs" dxfId="21" priority="17" stopIfTrue="1" operator="greaterThan">
      <formula>$C$22</formula>
    </cfRule>
  </conditionalFormatting>
  <conditionalFormatting sqref="C38">
    <cfRule type="cellIs" dxfId="20" priority="18" stopIfTrue="1" operator="greaterThan">
      <formula>$D$40</formula>
    </cfRule>
  </conditionalFormatting>
  <conditionalFormatting sqref="B38">
    <cfRule type="cellIs" dxfId="19" priority="19" stopIfTrue="1" operator="greaterThan">
      <formula>$C$40</formula>
    </cfRule>
  </conditionalFormatting>
  <conditionalFormatting sqref="C39">
    <cfRule type="cellIs" dxfId="18" priority="2" stopIfTrue="1" operator="lessThan">
      <formula>0</formula>
    </cfRule>
  </conditionalFormatting>
  <conditionalFormatting sqref="C21">
    <cfRule type="cellIs" dxfId="17" priority="1" stopIfTrue="1" operator="lessThan">
      <formula>0</formula>
    </cfRule>
  </conditionalFormatting>
  <pageMargins left="0.25" right="0.25" top="0.25" bottom="0.25" header="0.3" footer="0.3"/>
  <pageSetup orientation="portrait" r:id="rId1"/>
</worksheet>
</file>

<file path=xl/worksheets/sheet15.xml><?xml version="1.0" encoding="utf-8"?>
<worksheet xmlns="http://schemas.openxmlformats.org/spreadsheetml/2006/main" xmlns:r="http://schemas.openxmlformats.org/officeDocument/2006/relationships">
  <dimension ref="A1:D34"/>
  <sheetViews>
    <sheetView topLeftCell="A16" workbookViewId="0">
      <selection activeCell="B34" sqref="B34"/>
    </sheetView>
  </sheetViews>
  <sheetFormatPr defaultRowHeight="15"/>
  <cols>
    <col min="1" max="1" width="38" customWidth="1"/>
    <col min="2" max="2" width="14.85546875" customWidth="1"/>
    <col min="3" max="3" width="16.5703125" customWidth="1"/>
    <col min="4" max="4" width="16.28515625" customWidth="1"/>
  </cols>
  <sheetData>
    <row r="1" spans="1:4" ht="15.75">
      <c r="A1" s="250" t="s">
        <v>2</v>
      </c>
      <c r="B1" s="251"/>
      <c r="C1" s="251"/>
      <c r="D1" s="252">
        <f>[1]inputPrYr!$C$5</f>
        <v>2013</v>
      </c>
    </row>
    <row r="2" spans="1:4" ht="15.75">
      <c r="A2" s="251"/>
      <c r="B2" s="251"/>
      <c r="C2" s="251"/>
      <c r="D2" s="253"/>
    </row>
    <row r="3" spans="1:4" ht="15.75">
      <c r="A3" s="254" t="s">
        <v>267</v>
      </c>
      <c r="B3" s="255"/>
      <c r="C3" s="255"/>
      <c r="D3" s="256"/>
    </row>
    <row r="4" spans="1:4" ht="15.75">
      <c r="A4" s="257" t="s">
        <v>213</v>
      </c>
      <c r="B4" s="258" t="s">
        <v>214</v>
      </c>
      <c r="C4" s="259" t="s">
        <v>264</v>
      </c>
      <c r="D4" s="260" t="s">
        <v>268</v>
      </c>
    </row>
    <row r="5" spans="1:4" ht="15.75">
      <c r="A5" s="261" t="s">
        <v>32</v>
      </c>
      <c r="B5" s="262" t="str">
        <f>CONCATENATE("Actual for ",D1-2,"")</f>
        <v>Actual for 2011</v>
      </c>
      <c r="C5" s="262" t="str">
        <f>CONCATENATE("Estimate for ",D1-1,"")</f>
        <v>Estimate for 2012</v>
      </c>
      <c r="D5" s="263" t="str">
        <f>CONCATENATE("Year for ",D1,"")</f>
        <v>Year for 2013</v>
      </c>
    </row>
    <row r="6" spans="1:4" ht="15.75">
      <c r="A6" s="264" t="s">
        <v>217</v>
      </c>
      <c r="B6" s="265">
        <v>4101</v>
      </c>
      <c r="C6" s="266">
        <f>B30</f>
        <v>2099</v>
      </c>
      <c r="D6" s="266">
        <f>C30</f>
        <v>2099</v>
      </c>
    </row>
    <row r="7" spans="1:4" ht="15.75">
      <c r="A7" s="264" t="s">
        <v>218</v>
      </c>
      <c r="B7" s="267"/>
      <c r="C7" s="267"/>
      <c r="D7" s="267"/>
    </row>
    <row r="8" spans="1:4" ht="15.75">
      <c r="A8" s="268" t="s">
        <v>285</v>
      </c>
      <c r="B8" s="269">
        <v>4016</v>
      </c>
      <c r="C8" s="269">
        <v>6475</v>
      </c>
      <c r="D8" s="269">
        <v>6475</v>
      </c>
    </row>
    <row r="9" spans="1:4" ht="15.75">
      <c r="A9" s="270"/>
      <c r="B9" s="269"/>
      <c r="C9" s="269"/>
      <c r="D9" s="269"/>
    </row>
    <row r="10" spans="1:4" ht="15.75">
      <c r="A10" s="270"/>
      <c r="B10" s="269"/>
      <c r="C10" s="269"/>
      <c r="D10" s="269"/>
    </row>
    <row r="11" spans="1:4" ht="15.75">
      <c r="A11" s="271" t="s">
        <v>237</v>
      </c>
      <c r="B11" s="269"/>
      <c r="C11" s="269"/>
      <c r="D11" s="269"/>
    </row>
    <row r="12" spans="1:4" ht="15.75">
      <c r="A12" s="272" t="s">
        <v>235</v>
      </c>
      <c r="B12" s="269"/>
      <c r="C12" s="273"/>
      <c r="D12" s="273"/>
    </row>
    <row r="13" spans="1:4" ht="15.75">
      <c r="A13" s="274" t="s">
        <v>238</v>
      </c>
      <c r="B13" s="275" t="str">
        <f>IF(B14*0.1&lt;B12,"Exceed 10% Rule","")</f>
        <v/>
      </c>
      <c r="C13" s="276" t="str">
        <f>IF(C14*0.1&lt;C12,"Exceed 10% Rule","")</f>
        <v/>
      </c>
      <c r="D13" s="276" t="str">
        <f>IF(D14*0.1&lt;D12,"Exceed 10% Rule","")</f>
        <v/>
      </c>
    </row>
    <row r="14" spans="1:4" ht="15.75">
      <c r="A14" s="277" t="s">
        <v>239</v>
      </c>
      <c r="B14" s="278">
        <f>SUM(B8:B12)</f>
        <v>4016</v>
      </c>
      <c r="C14" s="278">
        <f>SUM(C8:C12)</f>
        <v>6475</v>
      </c>
      <c r="D14" s="278">
        <f>SUM(D8:D12)</f>
        <v>6475</v>
      </c>
    </row>
    <row r="15" spans="1:4" ht="15.75">
      <c r="A15" s="277" t="s">
        <v>240</v>
      </c>
      <c r="B15" s="278">
        <f>B6+B14</f>
        <v>8117</v>
      </c>
      <c r="C15" s="278">
        <f>C6+C14</f>
        <v>8574</v>
      </c>
      <c r="D15" s="278">
        <f>D6+D14</f>
        <v>8574</v>
      </c>
    </row>
    <row r="16" spans="1:4" ht="15.75">
      <c r="A16" s="264" t="s">
        <v>243</v>
      </c>
      <c r="B16" s="267"/>
      <c r="C16" s="267"/>
      <c r="D16" s="267"/>
    </row>
    <row r="17" spans="1:4" ht="15.75">
      <c r="A17" s="270" t="s">
        <v>245</v>
      </c>
      <c r="B17" s="269">
        <v>5138</v>
      </c>
      <c r="C17" s="269">
        <v>5000</v>
      </c>
      <c r="D17" s="269">
        <v>5000</v>
      </c>
    </row>
    <row r="18" spans="1:4" ht="15.75">
      <c r="A18" s="270" t="s">
        <v>246</v>
      </c>
      <c r="B18" s="269">
        <v>880</v>
      </c>
      <c r="C18" s="269">
        <v>1475</v>
      </c>
      <c r="D18" s="269">
        <v>1475</v>
      </c>
    </row>
    <row r="19" spans="1:4" ht="15.75">
      <c r="A19" s="270" t="s">
        <v>247</v>
      </c>
      <c r="B19" s="269"/>
      <c r="C19" s="269"/>
      <c r="D19" s="269">
        <v>2099</v>
      </c>
    </row>
    <row r="20" spans="1:4" ht="15.75">
      <c r="A20" s="270"/>
      <c r="B20" s="269"/>
      <c r="C20" s="269"/>
      <c r="D20" s="269"/>
    </row>
    <row r="21" spans="1:4" ht="15.75">
      <c r="A21" s="270"/>
      <c r="B21" s="269"/>
      <c r="C21" s="269"/>
      <c r="D21" s="269"/>
    </row>
    <row r="22" spans="1:4" ht="15.75">
      <c r="A22" s="270"/>
      <c r="B22" s="269"/>
      <c r="C22" s="269"/>
      <c r="D22" s="269"/>
    </row>
    <row r="23" spans="1:4" ht="15.75">
      <c r="A23" s="270"/>
      <c r="B23" s="269"/>
      <c r="C23" s="269"/>
      <c r="D23" s="269"/>
    </row>
    <row r="24" spans="1:4" ht="15.75">
      <c r="A24" s="270"/>
      <c r="B24" s="269"/>
      <c r="C24" s="269"/>
      <c r="D24" s="269"/>
    </row>
    <row r="25" spans="1:4" ht="15.75">
      <c r="A25" s="270"/>
      <c r="B25" s="269"/>
      <c r="C25" s="269"/>
      <c r="D25" s="269"/>
    </row>
    <row r="26" spans="1:4" ht="15.75">
      <c r="A26" s="270"/>
      <c r="B26" s="269"/>
      <c r="C26" s="269"/>
      <c r="D26" s="269"/>
    </row>
    <row r="27" spans="1:4" ht="15.75">
      <c r="A27" s="279" t="s">
        <v>235</v>
      </c>
      <c r="B27" s="269"/>
      <c r="C27" s="273"/>
      <c r="D27" s="273"/>
    </row>
    <row r="28" spans="1:4" ht="15.75">
      <c r="A28" s="279" t="s">
        <v>254</v>
      </c>
      <c r="B28" s="275" t="str">
        <f>IF(B29*0.1&lt;B27,"Exceed 10% Rule","")</f>
        <v/>
      </c>
      <c r="C28" s="276" t="str">
        <f>IF(C29*0.1&lt;C27,"Exceed 10% Rule","")</f>
        <v/>
      </c>
      <c r="D28" s="276" t="str">
        <f>IF(D29*0.1&lt;D27,"Exceed 10% Rule","")</f>
        <v/>
      </c>
    </row>
    <row r="29" spans="1:4" ht="15.75">
      <c r="A29" s="277" t="s">
        <v>255</v>
      </c>
      <c r="B29" s="269">
        <v>6018</v>
      </c>
      <c r="C29" s="278">
        <f>SUM(C17:C27)</f>
        <v>6475</v>
      </c>
      <c r="D29" s="278">
        <f>SUM(D17:D27)</f>
        <v>8574</v>
      </c>
    </row>
    <row r="30" spans="1:4" ht="15.75">
      <c r="A30" s="264" t="s">
        <v>256</v>
      </c>
      <c r="B30" s="266">
        <f>B15-B29</f>
        <v>2099</v>
      </c>
      <c r="C30" s="266">
        <f>C15-C29</f>
        <v>2099</v>
      </c>
      <c r="D30" s="266">
        <f>D15-D29</f>
        <v>0</v>
      </c>
    </row>
    <row r="31" spans="1:4" ht="15.75">
      <c r="A31" s="280"/>
      <c r="B31" s="283"/>
      <c r="C31" s="283"/>
      <c r="D31" s="284"/>
    </row>
    <row r="32" spans="1:4" ht="15.75">
      <c r="A32" s="280"/>
      <c r="B32" s="283" t="str">
        <f>IF(B30&lt;0,"See Tab B","")</f>
        <v/>
      </c>
      <c r="C32" s="283" t="str">
        <f>IF(C30&lt;0,"See Tab D","")</f>
        <v/>
      </c>
      <c r="D32" s="284"/>
    </row>
    <row r="33" spans="1:4">
      <c r="A33" s="285"/>
      <c r="B33" s="285"/>
      <c r="C33" s="285"/>
      <c r="D33" s="285"/>
    </row>
    <row r="34" spans="1:4" ht="15.75">
      <c r="A34" s="280"/>
      <c r="B34" s="286" t="s">
        <v>327</v>
      </c>
      <c r="C34" s="285"/>
      <c r="D34" s="285"/>
    </row>
  </sheetData>
  <conditionalFormatting sqref="B12">
    <cfRule type="cellIs" dxfId="16" priority="3" stopIfTrue="1" operator="greaterThan">
      <formula>$C$14*0.1</formula>
    </cfRule>
  </conditionalFormatting>
  <conditionalFormatting sqref="C12">
    <cfRule type="cellIs" dxfId="15" priority="4" stopIfTrue="1" operator="greaterThan">
      <formula>$D$14*0.1</formula>
    </cfRule>
  </conditionalFormatting>
  <conditionalFormatting sqref="D12">
    <cfRule type="cellIs" dxfId="14" priority="5" stopIfTrue="1" operator="greaterThan">
      <formula>$E$14*0.1</formula>
    </cfRule>
  </conditionalFormatting>
  <conditionalFormatting sqref="B27">
    <cfRule type="cellIs" dxfId="13" priority="6" stopIfTrue="1" operator="greaterThan">
      <formula>$C$29*0.1</formula>
    </cfRule>
  </conditionalFormatting>
  <conditionalFormatting sqref="C27">
    <cfRule type="cellIs" dxfId="12" priority="7" stopIfTrue="1" operator="greaterThan">
      <formula>$D$29*0.1</formula>
    </cfRule>
  </conditionalFormatting>
  <conditionalFormatting sqref="D27">
    <cfRule type="cellIs" dxfId="11" priority="8" stopIfTrue="1" operator="greaterThan">
      <formula>$E$29*0.1</formula>
    </cfRule>
  </conditionalFormatting>
  <conditionalFormatting sqref="B30 D30">
    <cfRule type="cellIs" dxfId="10" priority="11" stopIfTrue="1" operator="lessThan">
      <formula>0</formula>
    </cfRule>
  </conditionalFormatting>
  <conditionalFormatting sqref="C30">
    <cfRule type="cellIs" dxfId="9" priority="2" stopIfTrue="1" operator="lessThan">
      <formula>0</formula>
    </cfRule>
  </conditionalFormatting>
  <conditionalFormatting sqref="B29">
    <cfRule type="cellIs" dxfId="8" priority="1" stopIfTrue="1" operator="greaterThan">
      <formula>$C$29*0.1</formula>
    </cfRule>
  </conditionalFormatting>
  <conditionalFormatting sqref="C29">
    <cfRule type="cellIs" dxfId="7" priority="27" stopIfTrue="1" operator="greaterThan">
      <formula>#REF!</formula>
    </cfRule>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dimension ref="A1:D34"/>
  <sheetViews>
    <sheetView topLeftCell="A16" workbookViewId="0">
      <selection activeCell="A30" sqref="A30:A46"/>
    </sheetView>
  </sheetViews>
  <sheetFormatPr defaultRowHeight="15"/>
  <cols>
    <col min="1" max="1" width="38.5703125" customWidth="1"/>
    <col min="2" max="2" width="19.140625" customWidth="1"/>
    <col min="3" max="3" width="16.5703125" customWidth="1"/>
    <col min="4" max="4" width="16.28515625" customWidth="1"/>
  </cols>
  <sheetData>
    <row r="1" spans="1:4" ht="15.75">
      <c r="A1" s="250" t="s">
        <v>2</v>
      </c>
      <c r="B1" s="251"/>
      <c r="C1" s="251"/>
      <c r="D1" s="252">
        <f>[1]inputPrYr!$C$5</f>
        <v>2013</v>
      </c>
    </row>
    <row r="2" spans="1:4" ht="15.75">
      <c r="A2" s="251"/>
      <c r="B2" s="251"/>
      <c r="C2" s="251"/>
      <c r="D2" s="253"/>
    </row>
    <row r="3" spans="1:4" ht="15.75">
      <c r="A3" s="254" t="s">
        <v>267</v>
      </c>
      <c r="B3" s="255"/>
      <c r="C3" s="255"/>
      <c r="D3" s="256"/>
    </row>
    <row r="4" spans="1:4" ht="15.75">
      <c r="A4" s="257" t="s">
        <v>213</v>
      </c>
      <c r="B4" s="258" t="s">
        <v>214</v>
      </c>
      <c r="C4" s="259" t="s">
        <v>264</v>
      </c>
      <c r="D4" s="260" t="s">
        <v>268</v>
      </c>
    </row>
    <row r="5" spans="1:4" ht="15.75">
      <c r="A5" s="261" t="s">
        <v>288</v>
      </c>
      <c r="B5" s="262" t="str">
        <f>CONCATENATE("Actual for ",D1-2,"")</f>
        <v>Actual for 2011</v>
      </c>
      <c r="C5" s="262" t="str">
        <f>CONCATENATE("Estimate for ",D1-1,"")</f>
        <v>Estimate for 2012</v>
      </c>
      <c r="D5" s="263" t="str">
        <f>CONCATENATE("Year for ",D1,"")</f>
        <v>Year for 2013</v>
      </c>
    </row>
    <row r="6" spans="1:4" ht="15.75">
      <c r="A6" s="264" t="s">
        <v>217</v>
      </c>
      <c r="B6" s="265">
        <v>20906</v>
      </c>
      <c r="C6" s="266">
        <f>B31</f>
        <v>22518</v>
      </c>
      <c r="D6" s="266">
        <f>C31</f>
        <v>22748</v>
      </c>
    </row>
    <row r="7" spans="1:4" ht="15.75">
      <c r="A7" s="264" t="s">
        <v>218</v>
      </c>
      <c r="B7" s="267"/>
      <c r="C7" s="267"/>
      <c r="D7" s="267"/>
    </row>
    <row r="8" spans="1:4" ht="15.75">
      <c r="A8" s="268" t="s">
        <v>285</v>
      </c>
      <c r="B8" s="269">
        <v>25360</v>
      </c>
      <c r="C8" s="269">
        <v>24000</v>
      </c>
      <c r="D8" s="269">
        <v>23800</v>
      </c>
    </row>
    <row r="9" spans="1:4" ht="15.75">
      <c r="A9" s="270"/>
      <c r="B9" s="269"/>
      <c r="C9" s="269"/>
      <c r="D9" s="269"/>
    </row>
    <row r="10" spans="1:4" ht="15.75">
      <c r="A10" s="270"/>
      <c r="B10" s="269"/>
      <c r="C10" s="269"/>
      <c r="D10" s="269"/>
    </row>
    <row r="11" spans="1:4" ht="15.75">
      <c r="A11" s="270"/>
      <c r="B11" s="269"/>
      <c r="C11" s="269"/>
      <c r="D11" s="269"/>
    </row>
    <row r="12" spans="1:4" ht="15.75">
      <c r="A12" s="270"/>
      <c r="B12" s="269"/>
      <c r="C12" s="269"/>
      <c r="D12" s="269"/>
    </row>
    <row r="13" spans="1:4" ht="15.75">
      <c r="A13" s="270"/>
      <c r="B13" s="269"/>
      <c r="C13" s="269"/>
      <c r="D13" s="269"/>
    </row>
    <row r="14" spans="1:4" ht="15.75">
      <c r="A14" s="270"/>
      <c r="B14" s="269"/>
      <c r="C14" s="269"/>
      <c r="D14" s="269"/>
    </row>
    <row r="15" spans="1:4" ht="15.75">
      <c r="A15" s="270"/>
      <c r="B15" s="269"/>
      <c r="C15" s="269"/>
      <c r="D15" s="269"/>
    </row>
    <row r="16" spans="1:4" ht="15.75">
      <c r="A16" s="271" t="s">
        <v>237</v>
      </c>
      <c r="B16" s="269">
        <v>22</v>
      </c>
      <c r="C16" s="269"/>
      <c r="D16" s="269"/>
    </row>
    <row r="17" spans="1:4" ht="15.75">
      <c r="A17" s="272" t="s">
        <v>235</v>
      </c>
      <c r="B17" s="269"/>
      <c r="C17" s="273"/>
      <c r="D17" s="273"/>
    </row>
    <row r="18" spans="1:4" ht="15.75">
      <c r="A18" s="274" t="s">
        <v>238</v>
      </c>
      <c r="B18" s="275" t="str">
        <f>IF(B19*0.1&lt;B17,"Exceed 10% Rule","")</f>
        <v/>
      </c>
      <c r="C18" s="276" t="str">
        <f>IF(C19*0.1&lt;C17,"Exceed 10% Rule","")</f>
        <v/>
      </c>
      <c r="D18" s="276" t="str">
        <f>IF(D19*0.1&lt;D17,"Exceed 10% Rule","")</f>
        <v/>
      </c>
    </row>
    <row r="19" spans="1:4" ht="15.75">
      <c r="A19" s="277" t="s">
        <v>239</v>
      </c>
      <c r="B19" s="278">
        <f>SUM(B8:B17)</f>
        <v>25382</v>
      </c>
      <c r="C19" s="278">
        <f>SUM(C8:C17)</f>
        <v>24000</v>
      </c>
      <c r="D19" s="278">
        <f>SUM(D8:D17)</f>
        <v>23800</v>
      </c>
    </row>
    <row r="20" spans="1:4" ht="15.75">
      <c r="A20" s="277" t="s">
        <v>240</v>
      </c>
      <c r="B20" s="278">
        <f>B6+B19</f>
        <v>46288</v>
      </c>
      <c r="C20" s="278">
        <f>C6+C19</f>
        <v>46518</v>
      </c>
      <c r="D20" s="278">
        <f>D6+D19</f>
        <v>46548</v>
      </c>
    </row>
    <row r="21" spans="1:4" ht="15.75">
      <c r="A21" s="264" t="s">
        <v>243</v>
      </c>
      <c r="B21" s="267"/>
      <c r="C21" s="267"/>
      <c r="D21" s="267"/>
    </row>
    <row r="22" spans="1:4" ht="15.75">
      <c r="A22" s="270" t="s">
        <v>247</v>
      </c>
      <c r="B22" s="269"/>
      <c r="C22" s="269"/>
      <c r="D22" s="269">
        <v>22779</v>
      </c>
    </row>
    <row r="23" spans="1:4" ht="15.75">
      <c r="A23" s="270" t="s">
        <v>286</v>
      </c>
      <c r="B23" s="269">
        <v>19349</v>
      </c>
      <c r="C23" s="269">
        <v>19997</v>
      </c>
      <c r="D23" s="269">
        <v>20666</v>
      </c>
    </row>
    <row r="24" spans="1:4" ht="15.75">
      <c r="A24" s="270" t="s">
        <v>287</v>
      </c>
      <c r="B24" s="269">
        <v>4421</v>
      </c>
      <c r="C24" s="269">
        <v>3773</v>
      </c>
      <c r="D24" s="269">
        <v>3103</v>
      </c>
    </row>
    <row r="25" spans="1:4" ht="15.75">
      <c r="A25" s="270"/>
      <c r="B25" s="269"/>
      <c r="C25" s="269"/>
      <c r="D25" s="269"/>
    </row>
    <row r="26" spans="1:4" ht="15.75">
      <c r="A26" s="270"/>
      <c r="B26" s="269"/>
      <c r="C26" s="269"/>
      <c r="D26" s="269"/>
    </row>
    <row r="27" spans="1:4" ht="15.75">
      <c r="A27" s="270"/>
      <c r="B27" s="269"/>
      <c r="C27" s="269"/>
      <c r="D27" s="269"/>
    </row>
    <row r="28" spans="1:4" ht="15.75">
      <c r="A28" s="270"/>
      <c r="B28" s="269"/>
      <c r="C28" s="269"/>
      <c r="D28" s="269"/>
    </row>
    <row r="29" spans="1:4" ht="15.75">
      <c r="A29" s="270"/>
      <c r="B29" s="269"/>
      <c r="C29" s="269"/>
      <c r="D29" s="269"/>
    </row>
    <row r="30" spans="1:4" ht="15.75">
      <c r="A30" s="277" t="s">
        <v>255</v>
      </c>
      <c r="B30" s="278">
        <f>SUM(B22:B29)</f>
        <v>23770</v>
      </c>
      <c r="C30" s="278">
        <f>SUM(C22:C29)</f>
        <v>23770</v>
      </c>
      <c r="D30" s="278">
        <f>SUM(D22:D29)</f>
        <v>46548</v>
      </c>
    </row>
    <row r="31" spans="1:4" ht="15.75">
      <c r="A31" s="264" t="s">
        <v>256</v>
      </c>
      <c r="B31" s="266">
        <f>B20-B30</f>
        <v>22518</v>
      </c>
      <c r="C31" s="266">
        <f>C20-C30</f>
        <v>22748</v>
      </c>
      <c r="D31" s="266">
        <f>D20-D30</f>
        <v>0</v>
      </c>
    </row>
    <row r="32" spans="1:4" ht="15.75">
      <c r="A32" s="280"/>
      <c r="B32" s="283" t="str">
        <f>IF(B31&lt;0,"See Tab B","")</f>
        <v/>
      </c>
      <c r="C32" s="283" t="str">
        <f>IF(C31&lt;0,"See Tab D","")</f>
        <v/>
      </c>
      <c r="D32" s="284"/>
    </row>
    <row r="33" spans="1:4">
      <c r="A33" s="285"/>
      <c r="B33" s="285"/>
      <c r="C33" s="285"/>
      <c r="D33" s="285"/>
    </row>
    <row r="34" spans="1:4" ht="15.75">
      <c r="A34" s="280"/>
      <c r="B34" s="286" t="s">
        <v>328</v>
      </c>
      <c r="C34" s="285"/>
      <c r="D34" s="285"/>
    </row>
  </sheetData>
  <conditionalFormatting sqref="B17">
    <cfRule type="cellIs" dxfId="6" priority="2" stopIfTrue="1" operator="greaterThan">
      <formula>$C$19*0.1</formula>
    </cfRule>
  </conditionalFormatting>
  <conditionalFormatting sqref="C17">
    <cfRule type="cellIs" dxfId="5" priority="3" stopIfTrue="1" operator="greaterThan">
      <formula>$D$19*0.1</formula>
    </cfRule>
  </conditionalFormatting>
  <conditionalFormatting sqref="D17">
    <cfRule type="cellIs" dxfId="4" priority="4" stopIfTrue="1" operator="greaterThan">
      <formula>$E$19*0.1</formula>
    </cfRule>
  </conditionalFormatting>
  <conditionalFormatting sqref="B31 D31">
    <cfRule type="cellIs" dxfId="3" priority="10" stopIfTrue="1" operator="lessThan">
      <formula>0</formula>
    </cfRule>
  </conditionalFormatting>
  <conditionalFormatting sqref="C31">
    <cfRule type="cellIs" dxfId="2" priority="1" stopIfTrue="1" operator="lessThan">
      <formula>0</formula>
    </cfRule>
  </conditionalFormatting>
  <conditionalFormatting sqref="C30">
    <cfRule type="cellIs" dxfId="1" priority="28" stopIfTrue="1" operator="greaterThan">
      <formula>#REF!</formula>
    </cfRule>
  </conditionalFormatting>
  <conditionalFormatting sqref="B30">
    <cfRule type="cellIs" dxfId="0" priority="29" stopIfTrue="1" operator="greaterThan">
      <formula>#REF!</formula>
    </cfRule>
  </conditionalFormatting>
  <pageMargins left="0.45" right="0.45" top="0.5" bottom="0.5" header="0.3" footer="0.3"/>
  <pageSetup orientation="portrait" r:id="rId1"/>
</worksheet>
</file>

<file path=xl/worksheets/sheet17.xml><?xml version="1.0" encoding="utf-8"?>
<worksheet xmlns="http://schemas.openxmlformats.org/spreadsheetml/2006/main" xmlns:r="http://schemas.openxmlformats.org/officeDocument/2006/relationships">
  <dimension ref="A1:J51"/>
  <sheetViews>
    <sheetView topLeftCell="A28" workbookViewId="0">
      <selection activeCell="A5" sqref="A5:H5"/>
    </sheetView>
  </sheetViews>
  <sheetFormatPr defaultRowHeight="15"/>
  <cols>
    <col min="1" max="1" width="18" customWidth="1"/>
    <col min="2" max="2" width="12.5703125" customWidth="1"/>
    <col min="3" max="3" width="10.28515625" customWidth="1"/>
    <col min="4" max="4" width="12.42578125" customWidth="1"/>
    <col min="5" max="5" width="11.7109375" customWidth="1"/>
    <col min="6" max="6" width="12" customWidth="1"/>
    <col min="7" max="8" width="12.140625" customWidth="1"/>
  </cols>
  <sheetData>
    <row r="1" spans="1:10">
      <c r="A1" s="454"/>
      <c r="B1" s="454"/>
      <c r="C1" s="454"/>
      <c r="D1" s="454"/>
      <c r="E1" s="454"/>
      <c r="F1" s="454"/>
      <c r="G1" s="454"/>
      <c r="H1" s="454">
        <f>[1]inputPrYr!$C$5</f>
        <v>2013</v>
      </c>
    </row>
    <row r="2" spans="1:10">
      <c r="A2" s="526" t="s">
        <v>289</v>
      </c>
      <c r="B2" s="526"/>
      <c r="C2" s="526"/>
      <c r="D2" s="526"/>
      <c r="E2" s="526"/>
      <c r="F2" s="526"/>
      <c r="G2" s="526"/>
      <c r="H2" s="526"/>
    </row>
    <row r="3" spans="1:10">
      <c r="A3" s="455"/>
      <c r="B3" s="455"/>
      <c r="C3" s="455"/>
      <c r="D3" s="455"/>
      <c r="E3" s="455"/>
      <c r="F3" s="455"/>
      <c r="G3" s="455"/>
      <c r="H3" s="455"/>
    </row>
    <row r="4" spans="1:10">
      <c r="A4" s="527" t="s">
        <v>290</v>
      </c>
      <c r="B4" s="527"/>
      <c r="C4" s="527"/>
      <c r="D4" s="527"/>
      <c r="E4" s="527"/>
      <c r="F4" s="527"/>
      <c r="G4" s="527"/>
      <c r="H4" s="527"/>
    </row>
    <row r="5" spans="1:10">
      <c r="A5" s="528" t="str">
        <f>[1]inputPrYr!D2</f>
        <v>City of Delphos</v>
      </c>
      <c r="B5" s="528"/>
      <c r="C5" s="528"/>
      <c r="D5" s="528"/>
      <c r="E5" s="528"/>
      <c r="F5" s="528"/>
      <c r="G5" s="528"/>
      <c r="H5" s="528"/>
    </row>
    <row r="6" spans="1:10">
      <c r="A6" s="529" t="str">
        <f>CONCATENATE("will meet on ",[1]inputBudSum!B7," at ",[1]inputBudSum!B9," at ",[1]inputBudSum!B11," for the purpose of")</f>
        <v>will meet on August 13, 2012 at 6:30pm at City Hall for the purpose of</v>
      </c>
      <c r="B6" s="529"/>
      <c r="C6" s="529"/>
      <c r="D6" s="529"/>
      <c r="E6" s="529"/>
      <c r="F6" s="529"/>
      <c r="G6" s="529"/>
      <c r="H6" s="529"/>
    </row>
    <row r="7" spans="1:10">
      <c r="A7" s="527" t="s">
        <v>291</v>
      </c>
      <c r="B7" s="527"/>
      <c r="C7" s="527"/>
      <c r="D7" s="527"/>
      <c r="E7" s="527"/>
      <c r="F7" s="527"/>
      <c r="G7" s="527"/>
      <c r="H7" s="527"/>
    </row>
    <row r="8" spans="1:10">
      <c r="A8" s="530" t="str">
        <f>CONCATENATE("Detailed budget information is available at ",[1]inputBudSum!B14," and will be available at this hearing.")</f>
        <v>Detailed budget information is available at City Hall and will be available at this hearing.</v>
      </c>
      <c r="B8" s="530"/>
      <c r="C8" s="530"/>
      <c r="D8" s="530"/>
      <c r="E8" s="530"/>
      <c r="F8" s="530"/>
      <c r="G8" s="530"/>
      <c r="H8" s="530"/>
      <c r="J8" s="181"/>
    </row>
    <row r="9" spans="1:10">
      <c r="A9" s="456" t="s">
        <v>292</v>
      </c>
      <c r="B9" s="457"/>
      <c r="C9" s="457"/>
      <c r="D9" s="457"/>
      <c r="E9" s="457"/>
      <c r="F9" s="457"/>
      <c r="G9" s="457"/>
      <c r="H9" s="457"/>
    </row>
    <row r="10" spans="1:10">
      <c r="A10" s="458" t="str">
        <f>CONCATENATE("Proposed Budget ",H1," Expenditures and Amount of  ",H1-1," Ad Valorem Tax establish the maximum limits of the ",H1," budget.")</f>
        <v>Proposed Budget 2013 Expenditures and Amount of  2012 Ad Valorem Tax establish the maximum limits of the 2013 budget.</v>
      </c>
      <c r="B10" s="457"/>
      <c r="C10" s="457"/>
      <c r="D10" s="457"/>
      <c r="E10" s="457"/>
      <c r="F10" s="457"/>
      <c r="G10" s="457"/>
      <c r="H10" s="457"/>
    </row>
    <row r="11" spans="1:10">
      <c r="A11" s="458" t="s">
        <v>293</v>
      </c>
      <c r="B11" s="457"/>
      <c r="C11" s="457"/>
      <c r="D11" s="457"/>
      <c r="E11" s="457"/>
      <c r="F11" s="457"/>
      <c r="G11" s="457"/>
      <c r="H11" s="457"/>
    </row>
    <row r="12" spans="1:10">
      <c r="A12" s="455"/>
      <c r="B12" s="459"/>
      <c r="C12" s="459"/>
      <c r="D12" s="459"/>
      <c r="E12" s="459"/>
      <c r="F12" s="459"/>
      <c r="G12" s="459"/>
      <c r="H12" s="459"/>
    </row>
    <row r="13" spans="1:10">
      <c r="A13" s="182"/>
      <c r="B13" s="460" t="str">
        <f>CONCATENATE("Prior Year Actual for ",H1-2,"")</f>
        <v>Prior Year Actual for 2011</v>
      </c>
      <c r="C13" s="188"/>
      <c r="D13" s="460" t="str">
        <f>CONCATENATE("Current Year Estimate for ",H1-1,"")</f>
        <v>Current Year Estimate for 2012</v>
      </c>
      <c r="E13" s="188"/>
      <c r="F13" s="186" t="str">
        <f>CONCATENATE("Proposed Budget for ",H1,"")</f>
        <v>Proposed Budget for 2013</v>
      </c>
      <c r="G13" s="187"/>
      <c r="H13" s="188"/>
    </row>
    <row r="14" spans="1:10">
      <c r="A14" s="182"/>
      <c r="B14" s="212"/>
      <c r="C14" s="190" t="s">
        <v>169</v>
      </c>
      <c r="D14" s="190"/>
      <c r="E14" s="190" t="s">
        <v>169</v>
      </c>
      <c r="F14" s="461" t="s">
        <v>62</v>
      </c>
      <c r="G14" s="190" t="str">
        <f>CONCATENATE("Amount of ",H1-1,"")</f>
        <v>Amount of 2012</v>
      </c>
      <c r="H14" s="190" t="s">
        <v>294</v>
      </c>
    </row>
    <row r="15" spans="1:10">
      <c r="A15" s="195" t="s">
        <v>295</v>
      </c>
      <c r="B15" s="192" t="s">
        <v>296</v>
      </c>
      <c r="C15" s="192" t="s">
        <v>297</v>
      </c>
      <c r="D15" s="192" t="s">
        <v>296</v>
      </c>
      <c r="E15" s="192" t="s">
        <v>297</v>
      </c>
      <c r="F15" s="462" t="s">
        <v>93</v>
      </c>
      <c r="G15" s="193" t="s">
        <v>219</v>
      </c>
      <c r="H15" s="192" t="s">
        <v>297</v>
      </c>
    </row>
    <row r="16" spans="1:10">
      <c r="A16" s="197" t="str">
        <f>[1]inputPrYr!B17</f>
        <v>General</v>
      </c>
      <c r="B16" s="207">
        <f>IF([1]general!$C$111&lt;&gt;0,[1]general!$C$111,"  ")</f>
        <v>168874</v>
      </c>
      <c r="C16" s="463">
        <f>IF([1]inputPrYr!D64&gt;0,[1]inputPrYr!D64,"  ")</f>
        <v>51.411999999999999</v>
      </c>
      <c r="D16" s="207">
        <f>IF([1]general!$D$111&lt;&gt;0,[1]general!$D$111,"  ")</f>
        <v>189910</v>
      </c>
      <c r="E16" s="463">
        <f>IF([1]inputOth!D21&gt;0,[1]inputOth!D21,"  ")</f>
        <v>51.158999999999999</v>
      </c>
      <c r="F16" s="207">
        <f>IF([1]general!$E$111&lt;&gt;0,[1]general!$E$111,"  ")</f>
        <v>199198</v>
      </c>
      <c r="G16" s="207">
        <f>IF([1]general!$E$118&lt;&gt;0,[1]general!$E$118,"  ")</f>
        <v>78298.709999999992</v>
      </c>
      <c r="H16" s="463">
        <f>IF([1]general!E118&gt;0,ROUND(G16/$F$36*1000,3),"  ")</f>
        <v>50.540999999999997</v>
      </c>
    </row>
    <row r="17" spans="1:8">
      <c r="A17" s="197" t="str">
        <f>IF([1]inputPrYr!$B18&gt;"  ",([1]inputPrYr!$B18),"  ")</f>
        <v>Debt Service</v>
      </c>
      <c r="B17" s="207" t="str">
        <f>IF('[1]DebtSvs-Library'!C33&lt;&gt;0,'[1]DebtSvs-Library'!C33,"  ")</f>
        <v xml:space="preserve">  </v>
      </c>
      <c r="C17" s="463" t="str">
        <f>IF([1]inputPrYr!D65&gt;0,[1]inputPrYr!D65,"  ")</f>
        <v xml:space="preserve">  </v>
      </c>
      <c r="D17" s="207" t="str">
        <f>IF('[1]DebtSvs-Library'!D33&lt;&gt;0,'[1]DebtSvs-Library'!D33,"  ")</f>
        <v xml:space="preserve">  </v>
      </c>
      <c r="E17" s="463" t="str">
        <f>IF([1]inputOth!D22&gt;0,[1]inputOth!D22,"  ")</f>
        <v xml:space="preserve">  </v>
      </c>
      <c r="F17" s="207" t="str">
        <f>IF('[1]DebtSvs-Library'!E33&lt;&gt;0,'[1]DebtSvs-Library'!E33,"  ")</f>
        <v xml:space="preserve">  </v>
      </c>
      <c r="G17" s="207" t="str">
        <f>IF('[1]DebtSvs-Library'!E40&lt;&gt;0,'[1]DebtSvs-Library'!E40," ")</f>
        <v xml:space="preserve"> </v>
      </c>
      <c r="H17" s="463" t="str">
        <f>IF('[1]DebtSvs-Library'!E40&gt;0,ROUND(G17/$F$36*1000,3)," ")</f>
        <v xml:space="preserve"> </v>
      </c>
    </row>
    <row r="18" spans="1:8">
      <c r="A18" s="197" t="str">
        <f>IF([1]inputPrYr!$B19&gt;"  ",([1]inputPrYr!$B19),"  ")</f>
        <v>Library</v>
      </c>
      <c r="B18" s="207">
        <f>IF('[1]DebtSvs-Library'!C73&lt;&gt;0,'[1]DebtSvs-Library'!C73,"  ")</f>
        <v>9959</v>
      </c>
      <c r="C18" s="463">
        <f>IF([1]inputPrYr!D66&gt;0,[1]inputPrYr!D66,"  ")</f>
        <v>2.8519999999999999</v>
      </c>
      <c r="D18" s="207">
        <f>IF('[1]DebtSvs-Library'!D73&lt;&gt;0,'[1]DebtSvs-Library'!D73,"  ")</f>
        <v>10000</v>
      </c>
      <c r="E18" s="463">
        <f>IF([1]inputOth!D23&gt;0,[1]inputOth!D23,"  ")</f>
        <v>3.0059999999999998</v>
      </c>
      <c r="F18" s="207">
        <f>IF('[1]DebtSvs-Library'!E73&lt;&gt;0,'[1]DebtSvs-Library'!E73,"  ")</f>
        <v>10082</v>
      </c>
      <c r="G18" s="207">
        <f>IF('[1]DebtSvs-Library'!E80&lt;&gt;0,'[1]DebtSvs-Library'!E80," ")</f>
        <v>4647</v>
      </c>
      <c r="H18" s="463">
        <f>IF('[1]DebtSvs-Library'!E80&gt;0,ROUND(G18/$F$36*1000,3)," ")</f>
        <v>3</v>
      </c>
    </row>
    <row r="19" spans="1:8">
      <c r="A19" s="197" t="str">
        <f>IF([1]inputPrYr!$B21&gt;"  ",([1]inputPrYr!$B21),"  ")</f>
        <v xml:space="preserve">  </v>
      </c>
      <c r="B19" s="207" t="str">
        <f>IF('[1]levy page9'!$C$33&gt;0,'[1]levy page9'!$C$33,"  ")</f>
        <v xml:space="preserve">  </v>
      </c>
      <c r="C19" s="463" t="str">
        <f>IF([1]inputPrYr!D67&gt;0,[1]inputPrYr!D67,"  ")</f>
        <v xml:space="preserve">  </v>
      </c>
      <c r="D19" s="207" t="str">
        <f>IF('[1]levy page9'!$D$33&gt;0,'[1]levy page9'!$D$33,"  ")</f>
        <v xml:space="preserve">  </v>
      </c>
      <c r="E19" s="463" t="str">
        <f>IF([1]inputOth!D24&gt;0,[1]inputOth!D24,"  ")</f>
        <v xml:space="preserve">  </v>
      </c>
      <c r="F19" s="207" t="str">
        <f>IF('[1]levy page9'!$E$33&gt;0,'[1]levy page9'!$E$33,"  ")</f>
        <v xml:space="preserve">  </v>
      </c>
      <c r="G19" s="207" t="str">
        <f>IF('[1]levy page9'!$E$40&lt;&gt;0,'[1]levy page9'!$E$40,"  ")</f>
        <v xml:space="preserve">  </v>
      </c>
      <c r="H19" s="463" t="str">
        <f>IF('[1]levy page9'!E40&lt;&gt;0,ROUND(G19/$F$36*1000,3),"  ")</f>
        <v xml:space="preserve">  </v>
      </c>
    </row>
    <row r="20" spans="1:8">
      <c r="A20" s="197" t="str">
        <f>IF([1]inputPrYr!$B34&gt;"  ",([1]inputPrYr!$B34),"  ")</f>
        <v>Special Highway</v>
      </c>
      <c r="B20" s="207">
        <f>IF('[1]Sp Hiway'!$C$28&gt;0,'[1]Sp Hiway'!$C$28,"  ")</f>
        <v>4305</v>
      </c>
      <c r="C20" s="464"/>
      <c r="D20" s="207">
        <f>IF('[1]Sp Hiway'!$D$28&gt;0,'[1]Sp Hiway'!$D$28,"  ")</f>
        <v>10000</v>
      </c>
      <c r="E20" s="464"/>
      <c r="F20" s="207">
        <f>IF('[1]Sp Hiway'!$E$28&gt;0,'[1]Sp Hiway'!$E$28,"  ")</f>
        <v>26899</v>
      </c>
      <c r="G20" s="207"/>
      <c r="H20" s="464"/>
    </row>
    <row r="21" spans="1:8">
      <c r="A21" s="197" t="str">
        <f>IF([1]inputPrYr!$B35&gt;"  ",([1]inputPrYr!$B35),"  ")</f>
        <v>Special Park &amp; Rec</v>
      </c>
      <c r="B21" s="207">
        <f>IF('[1]Sp Hiway'!$C$59&gt;0,'[1]Sp Hiway'!$C$59,"  ")</f>
        <v>5159</v>
      </c>
      <c r="C21" s="464"/>
      <c r="D21" s="207">
        <f>IF('[1]Sp Hiway'!$D$59&gt;0,'[1]Sp Hiway'!$D$59,"  ")</f>
        <v>5600</v>
      </c>
      <c r="E21" s="464"/>
      <c r="F21" s="207">
        <f>IF('[1]Sp Hiway'!$E$59&gt;0,'[1]Sp Hiway'!$E$59,"  ")</f>
        <v>7285</v>
      </c>
      <c r="G21" s="207"/>
      <c r="H21" s="464"/>
    </row>
    <row r="22" spans="1:8">
      <c r="A22" s="197" t="str">
        <f>IF([1]inputPrYr!$B36&gt;"  ",([1]inputPrYr!$B36),"  ")</f>
        <v>Equipment Reserve</v>
      </c>
      <c r="B22" s="207" t="str">
        <f>IF([1]nolevypage15!$C$28&gt;0,[1]nolevypage15!$C$28,"  ")</f>
        <v xml:space="preserve">  </v>
      </c>
      <c r="C22" s="464"/>
      <c r="D22" s="207">
        <f>IF([1]nolevypage15!$D$28&gt;0,[1]nolevypage15!$D$28,"  ")</f>
        <v>5460</v>
      </c>
      <c r="E22" s="464"/>
      <c r="F22" s="207">
        <v>52352</v>
      </c>
      <c r="G22" s="207"/>
      <c r="H22" s="464"/>
    </row>
    <row r="23" spans="1:8">
      <c r="A23" s="197" t="str">
        <f>IF([1]inputPrYr!$B37&gt;"  ",([1]inputPrYr!$B37),"  ")</f>
        <v>Water Utility</v>
      </c>
      <c r="B23" s="207">
        <f>IF([1]nolevypage15!$C$59&gt;0,[1]nolevypage15!$C$59,"  ")</f>
        <v>49004</v>
      </c>
      <c r="C23" s="464"/>
      <c r="D23" s="207">
        <f>IF([1]nolevypage15!$D$59&gt;0,[1]nolevypage15!$D$59,"  ")</f>
        <v>54400</v>
      </c>
      <c r="E23" s="464"/>
      <c r="F23" s="207">
        <f>IF([1]nolevypage15!$E$59&gt;0,[1]nolevypage15!$E$59,"  ")</f>
        <v>95370</v>
      </c>
      <c r="G23" s="207"/>
      <c r="H23" s="464"/>
    </row>
    <row r="24" spans="1:8">
      <c r="A24" s="197" t="str">
        <f>IF([1]inputPrYr!$B38&gt;"  ",([1]inputPrYr!$B38),"  ")</f>
        <v>Sewer Utility</v>
      </c>
      <c r="B24" s="207">
        <f>IF([1]nolevypage16!$C$28&gt;0,[1]nolevypage16!$C$28,"  ")</f>
        <v>42346</v>
      </c>
      <c r="C24" s="464"/>
      <c r="D24" s="207">
        <f>IF([1]nolevypage16!$D$28&gt;0,[1]nolevypage16!$D$28,"  ")</f>
        <v>42689</v>
      </c>
      <c r="E24" s="464"/>
      <c r="F24" s="207">
        <v>44787</v>
      </c>
      <c r="G24" s="207"/>
      <c r="H24" s="464"/>
    </row>
    <row r="25" spans="1:8">
      <c r="A25" s="197" t="str">
        <f>IF([1]inputPrYr!$B39&gt;"  ",([1]inputPrYr!$B39),"  ")</f>
        <v>Refuse</v>
      </c>
      <c r="B25" s="207">
        <f>IF([1]nolevypage16!$C$59&gt;0,[1]nolevypage16!$C$59,"  ")</f>
        <v>17913</v>
      </c>
      <c r="C25" s="464"/>
      <c r="D25" s="207">
        <f>IF([1]nolevypage16!$D$59&gt;0,[1]nolevypage16!$D$59,"  ")</f>
        <v>18000</v>
      </c>
      <c r="E25" s="464"/>
      <c r="F25" s="207">
        <v>26847</v>
      </c>
      <c r="G25" s="207"/>
      <c r="H25" s="464"/>
    </row>
    <row r="26" spans="1:8">
      <c r="A26" s="197" t="str">
        <f>IF([1]inputPrYr!$B40&gt;"  ",([1]inputPrYr!$B40),"  ")</f>
        <v>Community Improvement</v>
      </c>
      <c r="B26" s="207" t="str">
        <f>IF([1]nolevypage17!$C$28&gt;0,[1]nolevypage17!$C$28,"  ")</f>
        <v xml:space="preserve">  </v>
      </c>
      <c r="C26" s="464"/>
      <c r="D26" s="207" t="str">
        <f>IF([1]nolevypage17!$D$28&gt;0,[1]nolevypage17!$D$28,"  ")</f>
        <v xml:space="preserve">  </v>
      </c>
      <c r="E26" s="464"/>
      <c r="F26" s="207">
        <f>IF([1]nolevypage17!$E$28&gt;0,[1]nolevypage17!$E$28,"  ")</f>
        <v>2916</v>
      </c>
      <c r="G26" s="207"/>
      <c r="H26" s="464"/>
    </row>
    <row r="27" spans="1:8">
      <c r="A27" s="197" t="str">
        <f>IF([1]inputPrYr!$B41&gt;"  ",([1]inputPrYr!$B41),"  ")</f>
        <v>Water Reserve</v>
      </c>
      <c r="B27" s="207">
        <f>IF([1]nolevypage17!$C$60&gt;0,[1]nolevypage17!$C$60,"  ")</f>
        <v>6572</v>
      </c>
      <c r="C27" s="464"/>
      <c r="D27" s="207">
        <f>IF([1]nolevypage17!$D$60&gt;0,[1]nolevypage17!$D$60,"  ")</f>
        <v>10000</v>
      </c>
      <c r="E27" s="464"/>
      <c r="F27" s="207">
        <v>62495</v>
      </c>
      <c r="G27" s="207"/>
      <c r="H27" s="464"/>
    </row>
    <row r="28" spans="1:8">
      <c r="A28" s="197" t="str">
        <f>IF([1]inputPrYr!$B44&gt;"  ",([1]inputPrYr!$B44),"  ")</f>
        <v>Sewer Reserve</v>
      </c>
      <c r="B28" s="207">
        <f>IF([1]SinNoLevy18!$C$47&gt;0,[1]SinNoLevy18!$C$47,"  ")</f>
        <v>6018</v>
      </c>
      <c r="C28" s="464"/>
      <c r="D28" s="207">
        <f>IF([1]SinNoLevy18!$D$47&gt;0,[1]SinNoLevy18!$D$47,"  ")</f>
        <v>6475</v>
      </c>
      <c r="E28" s="464"/>
      <c r="F28" s="207">
        <v>8574</v>
      </c>
      <c r="G28" s="207"/>
      <c r="H28" s="464"/>
    </row>
    <row r="29" spans="1:8">
      <c r="A29" s="197" t="str">
        <f>IF([1]inputPrYr!$B45&gt;"  ",([1]inputPrYr!$B45),"  ")</f>
        <v>Sewer Project P &amp; I</v>
      </c>
      <c r="B29" s="207">
        <f>IF([1]SinNoLevy19!$C$47&gt;0,[1]SinNoLevy19!$C$47,"  ")</f>
        <v>23770</v>
      </c>
      <c r="C29" s="464"/>
      <c r="D29" s="207">
        <f>IF([1]SinNoLevy19!$D$47&gt;0,[1]SinNoLevy19!$D$47,"  ")</f>
        <v>23770</v>
      </c>
      <c r="E29" s="464"/>
      <c r="F29" s="207">
        <v>46548</v>
      </c>
      <c r="G29" s="207"/>
      <c r="H29" s="464"/>
    </row>
    <row r="30" spans="1:8">
      <c r="A30" s="197" t="str">
        <f>IF([1]inputPrYr!$B46&gt;"  ",([1]inputPrYr!$B46),"  ")</f>
        <v xml:space="preserve">  </v>
      </c>
      <c r="B30" s="207" t="str">
        <f>IF([1]SinNoLevy20!$C$47&gt;0,[1]SinNoLevy20!$C$47,"  ")</f>
        <v xml:space="preserve">  </v>
      </c>
      <c r="C30" s="464"/>
      <c r="D30" s="207" t="str">
        <f>IF([1]SinNoLevy20!$D$47&gt;0,[1]SinNoLevy20!$D$47,"  ")</f>
        <v xml:space="preserve">  </v>
      </c>
      <c r="E30" s="464"/>
      <c r="F30" s="207" t="str">
        <f>IF([1]SinNoLevy20!$E$47&gt;0,[1]SinNoLevy20!$E$47,"  ")</f>
        <v xml:space="preserve">  </v>
      </c>
      <c r="G30" s="207"/>
      <c r="H30" s="464"/>
    </row>
    <row r="31" spans="1:8">
      <c r="A31" s="189" t="s">
        <v>101</v>
      </c>
      <c r="B31" s="465">
        <f>SUM(B16:B30)</f>
        <v>333920</v>
      </c>
      <c r="C31" s="466">
        <f>SUM(C16:C19)</f>
        <v>54.263999999999996</v>
      </c>
      <c r="D31" s="465">
        <f>SUM(D16:D30)</f>
        <v>376304</v>
      </c>
      <c r="E31" s="466">
        <f>SUM(E16:E19)</f>
        <v>54.164999999999999</v>
      </c>
      <c r="F31" s="465">
        <f>SUM(F16:F30)</f>
        <v>583353</v>
      </c>
      <c r="G31" s="465">
        <f>SUM(G16:G30)</f>
        <v>82945.709999999992</v>
      </c>
      <c r="H31" s="467">
        <f>SUM(H16:H19)</f>
        <v>53.540999999999997</v>
      </c>
    </row>
    <row r="32" spans="1:8">
      <c r="A32" s="191" t="s">
        <v>298</v>
      </c>
      <c r="B32" s="468">
        <f>[1]transfers!C28</f>
        <v>0</v>
      </c>
      <c r="C32" s="469"/>
      <c r="D32" s="468">
        <f>[1]transfers!D28</f>
        <v>60475</v>
      </c>
      <c r="E32" s="469"/>
      <c r="F32" s="468">
        <v>60275</v>
      </c>
      <c r="G32" s="241"/>
      <c r="H32" s="470"/>
    </row>
    <row r="33" spans="1:8" ht="15.75" thickBot="1">
      <c r="A33" s="191" t="s">
        <v>299</v>
      </c>
      <c r="B33" s="471">
        <f>B31-B32</f>
        <v>333920</v>
      </c>
      <c r="C33" s="182"/>
      <c r="D33" s="471">
        <f>D31-D32</f>
        <v>315829</v>
      </c>
      <c r="E33" s="182"/>
      <c r="F33" s="471">
        <f>F31-F32</f>
        <v>523078</v>
      </c>
      <c r="G33" s="182"/>
      <c r="H33" s="182"/>
    </row>
    <row r="34" spans="1:8" ht="15.75" thickTop="1">
      <c r="A34" s="191" t="s">
        <v>300</v>
      </c>
      <c r="B34" s="468">
        <f>[1]inputPrYr!E79</f>
        <v>81361</v>
      </c>
      <c r="C34" s="234"/>
      <c r="D34" s="468">
        <f>[1]inputPrYr!E31</f>
        <v>81702</v>
      </c>
      <c r="E34" s="234"/>
      <c r="F34" s="472" t="s">
        <v>102</v>
      </c>
      <c r="G34" s="182"/>
      <c r="H34" s="182"/>
    </row>
    <row r="35" spans="1:8">
      <c r="A35" s="191" t="s">
        <v>301</v>
      </c>
      <c r="B35" s="473"/>
      <c r="C35" s="182"/>
      <c r="D35" s="473"/>
      <c r="E35" s="474"/>
      <c r="F35" s="196"/>
      <c r="G35" s="182"/>
      <c r="H35" s="182"/>
    </row>
    <row r="36" spans="1:8">
      <c r="A36" s="191" t="s">
        <v>302</v>
      </c>
      <c r="B36" s="468">
        <f>[1]inputPrYr!E80</f>
        <v>1500145</v>
      </c>
      <c r="C36" s="198"/>
      <c r="D36" s="468">
        <f>[1]inputOth!E36</f>
        <v>1508393</v>
      </c>
      <c r="E36" s="198"/>
      <c r="F36" s="468">
        <f>[1]inputOth!E7</f>
        <v>1549203</v>
      </c>
      <c r="G36" s="182"/>
      <c r="H36" s="182"/>
    </row>
    <row r="37" spans="1:8">
      <c r="A37" s="191" t="s">
        <v>303</v>
      </c>
      <c r="B37" s="182"/>
      <c r="C37" s="182"/>
      <c r="D37" s="182"/>
      <c r="E37" s="182"/>
      <c r="F37" s="182"/>
      <c r="G37" s="182"/>
      <c r="H37" s="182"/>
    </row>
    <row r="38" spans="1:8">
      <c r="A38" s="191" t="s">
        <v>304</v>
      </c>
      <c r="B38" s="475">
        <f>$H$1-3</f>
        <v>2010</v>
      </c>
      <c r="C38" s="182"/>
      <c r="D38" s="475">
        <f>$H$1-2</f>
        <v>2011</v>
      </c>
      <c r="E38" s="182"/>
      <c r="F38" s="475">
        <f>$H$1-1</f>
        <v>2012</v>
      </c>
      <c r="G38" s="182"/>
      <c r="H38" s="182"/>
    </row>
    <row r="39" spans="1:8">
      <c r="A39" s="191" t="s">
        <v>305</v>
      </c>
      <c r="B39" s="208">
        <f>[1]inputPrYr!D83</f>
        <v>0</v>
      </c>
      <c r="C39" s="182"/>
      <c r="D39" s="208">
        <f>[1]inputPrYr!E83</f>
        <v>0</v>
      </c>
      <c r="E39" s="182"/>
      <c r="F39" s="208">
        <f>[1]debt!G20</f>
        <v>200000</v>
      </c>
      <c r="G39" s="182"/>
      <c r="H39" s="182"/>
    </row>
    <row r="40" spans="1:8">
      <c r="A40" s="191" t="s">
        <v>306</v>
      </c>
      <c r="B40" s="208">
        <f>[1]inputPrYr!D84</f>
        <v>0</v>
      </c>
      <c r="C40" s="182"/>
      <c r="D40" s="208">
        <f>[1]inputPrYr!E84</f>
        <v>0</v>
      </c>
      <c r="E40" s="182"/>
      <c r="F40" s="208">
        <f>[1]debt!G32</f>
        <v>0</v>
      </c>
      <c r="G40" s="182"/>
      <c r="H40" s="182"/>
    </row>
    <row r="41" spans="1:8">
      <c r="A41" s="182" t="s">
        <v>307</v>
      </c>
      <c r="B41" s="208">
        <f>[1]inputPrYr!D85</f>
        <v>156669</v>
      </c>
      <c r="C41" s="182"/>
      <c r="D41" s="208">
        <f>[1]inputPrYr!E85</f>
        <v>137947</v>
      </c>
      <c r="E41" s="182"/>
      <c r="F41" s="208">
        <f>[1]debt!G42</f>
        <v>118598</v>
      </c>
      <c r="G41" s="182"/>
      <c r="H41" s="182"/>
    </row>
    <row r="42" spans="1:8">
      <c r="A42" s="191" t="s">
        <v>308</v>
      </c>
      <c r="B42" s="208">
        <f>[1]inputPrYr!D86</f>
        <v>0</v>
      </c>
      <c r="C42" s="182"/>
      <c r="D42" s="208">
        <f>[1]inputPrYr!E86</f>
        <v>0</v>
      </c>
      <c r="E42" s="182"/>
      <c r="F42" s="208">
        <f>[1]lpform!G28</f>
        <v>0</v>
      </c>
      <c r="G42" s="182"/>
      <c r="H42" s="182"/>
    </row>
    <row r="43" spans="1:8" ht="15.75" thickBot="1">
      <c r="A43" s="191" t="s">
        <v>309</v>
      </c>
      <c r="B43" s="476">
        <f>SUM(B39:B42)</f>
        <v>156669</v>
      </c>
      <c r="C43" s="182"/>
      <c r="D43" s="476">
        <f>SUM(D39:D42)</f>
        <v>137947</v>
      </c>
      <c r="E43" s="182"/>
      <c r="F43" s="476">
        <f>SUM(F39:F42)</f>
        <v>318598</v>
      </c>
      <c r="G43" s="182"/>
      <c r="H43" s="182"/>
    </row>
    <row r="44" spans="1:8" ht="15.75" thickTop="1">
      <c r="A44" s="191" t="s">
        <v>310</v>
      </c>
      <c r="B44" s="182"/>
      <c r="C44" s="182"/>
      <c r="D44" s="182"/>
      <c r="E44" s="182"/>
      <c r="F44" s="182"/>
      <c r="G44" s="182"/>
      <c r="H44" s="182"/>
    </row>
    <row r="45" spans="1:8">
      <c r="A45" s="182"/>
      <c r="B45" s="182"/>
      <c r="C45" s="182"/>
      <c r="D45" s="182"/>
      <c r="E45" s="182"/>
      <c r="F45" s="182"/>
      <c r="G45" s="182"/>
      <c r="H45" s="182"/>
    </row>
    <row r="46" spans="1:8">
      <c r="A46" s="524" t="s">
        <v>67</v>
      </c>
      <c r="B46" s="525"/>
      <c r="C46" s="182"/>
      <c r="D46" s="182"/>
      <c r="E46" s="182"/>
      <c r="F46" s="182"/>
      <c r="G46" s="182"/>
      <c r="H46" s="182"/>
    </row>
    <row r="47" spans="1:8">
      <c r="A47" s="199" t="s">
        <v>311</v>
      </c>
      <c r="B47" s="477" t="str">
        <f>[1]inputBudSum!B5</f>
        <v>City Clerk</v>
      </c>
      <c r="C47" s="478"/>
      <c r="D47" s="182"/>
      <c r="E47" s="182"/>
      <c r="F47" s="182"/>
      <c r="G47" s="182"/>
      <c r="H47" s="182"/>
    </row>
    <row r="48" spans="1:8">
      <c r="A48" s="182"/>
      <c r="B48" s="182"/>
      <c r="C48" s="182"/>
      <c r="D48" s="182"/>
      <c r="E48" s="182"/>
      <c r="F48" s="182"/>
      <c r="G48" s="182"/>
      <c r="H48" s="182"/>
    </row>
    <row r="49" spans="1:8">
      <c r="A49" s="182"/>
      <c r="B49" s="182"/>
      <c r="C49" s="184"/>
      <c r="D49" s="232" t="s">
        <v>329</v>
      </c>
      <c r="E49" s="182"/>
      <c r="F49" s="182"/>
      <c r="G49" s="182"/>
      <c r="H49" s="182"/>
    </row>
    <row r="50" spans="1:8">
      <c r="A50" s="479"/>
      <c r="B50" s="479"/>
      <c r="C50" s="479"/>
      <c r="D50" s="479"/>
      <c r="E50" s="479"/>
      <c r="F50" s="479"/>
      <c r="G50" s="479"/>
      <c r="H50" s="479"/>
    </row>
    <row r="51" spans="1:8">
      <c r="A51" s="479"/>
      <c r="B51" s="479"/>
      <c r="C51" s="479"/>
      <c r="D51" s="479"/>
      <c r="E51" s="479"/>
      <c r="F51" s="479"/>
      <c r="G51" s="479"/>
      <c r="H51" s="479"/>
    </row>
  </sheetData>
  <mergeCells count="7">
    <mergeCell ref="A46:B46"/>
    <mergeCell ref="A2:H2"/>
    <mergeCell ref="A4:H4"/>
    <mergeCell ref="A5:H5"/>
    <mergeCell ref="A6:H6"/>
    <mergeCell ref="A7:H7"/>
    <mergeCell ref="A8:H8"/>
  </mergeCells>
  <pageMargins left="0.25" right="0.25" top="0.5" bottom="0.5" header="0.3" footer="0.3"/>
  <pageSetup orientation="portrait" r:id="rId1"/>
</worksheet>
</file>

<file path=xl/worksheets/sheet18.xml><?xml version="1.0" encoding="utf-8"?>
<worksheet xmlns="http://schemas.openxmlformats.org/spreadsheetml/2006/main" xmlns:r="http://schemas.openxmlformats.org/officeDocument/2006/relationships">
  <dimension ref="A1"/>
  <sheetViews>
    <sheetView tabSelected="1" topLeftCell="A50" workbookViewId="0">
      <selection activeCell="A62" sqref="A62"/>
    </sheetView>
  </sheetViews>
  <sheetFormatPr defaultRowHeight="15"/>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dimension ref="A1"/>
  <sheetViews>
    <sheetView topLeftCell="A2" workbookViewId="0"/>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E75"/>
  <sheetViews>
    <sheetView topLeftCell="A55" workbookViewId="0">
      <selection activeCell="A64" sqref="A64:A73"/>
    </sheetView>
  </sheetViews>
  <sheetFormatPr defaultRowHeight="15"/>
  <cols>
    <col min="1" max="1" width="24.85546875" customWidth="1"/>
    <col min="2" max="2" width="25.140625" bestFit="1" customWidth="1"/>
    <col min="3" max="3" width="31" customWidth="1"/>
    <col min="4" max="4" width="40.140625" customWidth="1"/>
    <col min="5" max="5" width="0.140625" customWidth="1"/>
  </cols>
  <sheetData>
    <row r="1" spans="1:5" ht="15.75">
      <c r="A1" s="66" t="str">
        <f>[1]inputPrYr!$D$2</f>
        <v>City of Delphos</v>
      </c>
      <c r="B1" s="67"/>
      <c r="C1" s="67"/>
      <c r="D1" s="67"/>
      <c r="E1" s="68">
        <f>[1]inputPrYr!C5</f>
        <v>2013</v>
      </c>
    </row>
    <row r="2" spans="1:5">
      <c r="A2" s="67"/>
      <c r="B2" s="67"/>
      <c r="C2" s="67"/>
      <c r="D2" s="67"/>
      <c r="E2" s="67"/>
    </row>
    <row r="3" spans="1:5" ht="15.75">
      <c r="A3" s="480" t="s">
        <v>8</v>
      </c>
      <c r="B3" s="481"/>
      <c r="C3" s="481"/>
      <c r="D3" s="481"/>
      <c r="E3" s="481"/>
    </row>
    <row r="4" spans="1:5" ht="15.75">
      <c r="A4" s="13"/>
      <c r="B4" s="13"/>
      <c r="C4" s="13"/>
      <c r="D4" s="13"/>
      <c r="E4" s="13"/>
    </row>
    <row r="5" spans="1:5" ht="15.75">
      <c r="A5" s="13"/>
      <c r="B5" s="13"/>
      <c r="C5" s="13"/>
      <c r="D5" s="13"/>
      <c r="E5" s="13"/>
    </row>
    <row r="6" spans="1:5" ht="15.75">
      <c r="A6" s="16" t="str">
        <f>CONCATENATE("From the County Clerks ",E1," Budget Information:")</f>
        <v>From the County Clerks 2013 Budget Information:</v>
      </c>
      <c r="B6" s="17"/>
      <c r="C6" s="17"/>
      <c r="D6" s="2"/>
      <c r="E6" s="29"/>
    </row>
    <row r="7" spans="1:5" ht="15.75">
      <c r="A7" s="69" t="str">
        <f>CONCATENATE("Total Assessed Valuation for ",E1-1,"")</f>
        <v>Total Assessed Valuation for 2012</v>
      </c>
      <c r="B7" s="59"/>
      <c r="C7" s="59"/>
      <c r="D7" s="59"/>
      <c r="E7" s="28">
        <v>1549203</v>
      </c>
    </row>
    <row r="8" spans="1:5" ht="15.75">
      <c r="A8" s="69" t="str">
        <f>CONCATENATE("New Improvements for ",E1-1,"")</f>
        <v>New Improvements for 2012</v>
      </c>
      <c r="B8" s="59"/>
      <c r="C8" s="59"/>
      <c r="D8" s="59"/>
      <c r="E8" s="70">
        <v>1425</v>
      </c>
    </row>
    <row r="9" spans="1:5" ht="15.75">
      <c r="A9" s="69" t="str">
        <f>CONCATENATE("Personal Property  excluding oil, gas, and mobile homes - ",E1-1,"")</f>
        <v>Personal Property  excluding oil, gas, and mobile homes - 2012</v>
      </c>
      <c r="B9" s="59"/>
      <c r="C9" s="59"/>
      <c r="D9" s="59"/>
      <c r="E9" s="70">
        <v>88241</v>
      </c>
    </row>
    <row r="10" spans="1:5" ht="15.75">
      <c r="A10" s="71" t="s">
        <v>42</v>
      </c>
      <c r="B10" s="59"/>
      <c r="C10" s="59"/>
      <c r="D10" s="59"/>
      <c r="E10" s="50"/>
    </row>
    <row r="11" spans="1:5" ht="15.75">
      <c r="A11" s="69" t="s">
        <v>43</v>
      </c>
      <c r="B11" s="59"/>
      <c r="C11" s="59"/>
      <c r="D11" s="59"/>
      <c r="E11" s="70"/>
    </row>
    <row r="12" spans="1:5" ht="15.75">
      <c r="A12" s="69" t="s">
        <v>44</v>
      </c>
      <c r="B12" s="59"/>
      <c r="C12" s="59"/>
      <c r="D12" s="59"/>
      <c r="E12" s="70"/>
    </row>
    <row r="13" spans="1:5" ht="15.75">
      <c r="A13" s="69" t="s">
        <v>45</v>
      </c>
      <c r="B13" s="59"/>
      <c r="C13" s="59"/>
      <c r="D13" s="59"/>
      <c r="E13" s="70"/>
    </row>
    <row r="14" spans="1:5" ht="15.75">
      <c r="A14" s="69" t="str">
        <f>CONCATENATE("Property that has changed in use for ",E1-1,"")</f>
        <v>Property that has changed in use for 2012</v>
      </c>
      <c r="B14" s="59"/>
      <c r="C14" s="59"/>
      <c r="D14" s="59"/>
      <c r="E14" s="70">
        <v>1968</v>
      </c>
    </row>
    <row r="15" spans="1:5" ht="15.75">
      <c r="A15" s="69" t="str">
        <f>CONCATENATE("Personal Property excluding oil, gas, and mobile homes - ",E1-2,"")</f>
        <v>Personal Property excluding oil, gas, and mobile homes - 2011</v>
      </c>
      <c r="B15" s="59"/>
      <c r="C15" s="59"/>
      <c r="D15" s="59"/>
      <c r="E15" s="70">
        <v>68403</v>
      </c>
    </row>
    <row r="16" spans="1:5" ht="15.75">
      <c r="A16" s="69" t="str">
        <f>CONCATENATE("Gross earnings (intangible) tax estimate for ",E1,"")</f>
        <v>Gross earnings (intangible) tax estimate for 2013</v>
      </c>
      <c r="B16" s="59"/>
      <c r="C16" s="59"/>
      <c r="D16" s="60"/>
      <c r="E16" s="28"/>
    </row>
    <row r="17" spans="1:5" ht="15.75">
      <c r="A17" s="69" t="s">
        <v>46</v>
      </c>
      <c r="B17" s="59"/>
      <c r="C17" s="59"/>
      <c r="D17" s="59"/>
      <c r="E17" s="27"/>
    </row>
    <row r="18" spans="1:5" ht="15.75">
      <c r="A18" s="43"/>
      <c r="B18" s="41"/>
      <c r="C18" s="41"/>
      <c r="D18" s="41"/>
      <c r="E18" s="45"/>
    </row>
    <row r="19" spans="1:5" ht="15.75">
      <c r="A19" s="43" t="str">
        <f>CONCATENATE("Actual Tax Rates for the ",E1-1," Budget:")</f>
        <v>Actual Tax Rates for the 2012 Budget:</v>
      </c>
      <c r="B19" s="41"/>
      <c r="C19" s="41"/>
      <c r="D19" s="41"/>
      <c r="E19" s="39"/>
    </row>
    <row r="20" spans="1:5" ht="15.75">
      <c r="A20" s="482" t="s">
        <v>47</v>
      </c>
      <c r="B20" s="483"/>
      <c r="C20" s="72"/>
      <c r="D20" s="73" t="s">
        <v>48</v>
      </c>
      <c r="E20" s="39"/>
    </row>
    <row r="21" spans="1:5" ht="15.75">
      <c r="A21" s="35" t="str">
        <f>[1]inputPrYr!B17</f>
        <v>General</v>
      </c>
      <c r="B21" s="36"/>
      <c r="C21" s="41"/>
      <c r="D21" s="74">
        <v>51.158999999999999</v>
      </c>
      <c r="E21" s="45"/>
    </row>
    <row r="22" spans="1:5" ht="15.75">
      <c r="A22" s="69" t="str">
        <f>[1]inputPrYr!B18</f>
        <v>Debt Service</v>
      </c>
      <c r="B22" s="59"/>
      <c r="C22" s="41"/>
      <c r="D22" s="75"/>
      <c r="E22" s="45"/>
    </row>
    <row r="23" spans="1:5" ht="15.75">
      <c r="A23" s="69" t="str">
        <f>[1]inputPrYr!B19</f>
        <v>Library</v>
      </c>
      <c r="B23" s="59"/>
      <c r="C23" s="41"/>
      <c r="D23" s="75">
        <v>3.0059999999999998</v>
      </c>
      <c r="E23" s="45"/>
    </row>
    <row r="24" spans="1:5" ht="15.75">
      <c r="A24" s="69">
        <f>[1]inputPrYr!B21</f>
        <v>0</v>
      </c>
      <c r="B24" s="59"/>
      <c r="C24" s="41"/>
      <c r="D24" s="75"/>
      <c r="E24" s="45"/>
    </row>
    <row r="25" spans="1:5" ht="15.75">
      <c r="A25" s="69">
        <f>[1]inputPrYr!B22</f>
        <v>0</v>
      </c>
      <c r="B25" s="59"/>
      <c r="C25" s="41"/>
      <c r="D25" s="75"/>
      <c r="E25" s="45"/>
    </row>
    <row r="26" spans="1:5" ht="15.75">
      <c r="A26" s="69">
        <f>[1]inputPrYr!B23</f>
        <v>0</v>
      </c>
      <c r="B26" s="76"/>
      <c r="C26" s="41"/>
      <c r="D26" s="77"/>
      <c r="E26" s="45"/>
    </row>
    <row r="27" spans="1:5" ht="15.75">
      <c r="A27" s="69">
        <f>[1]inputPrYr!B24</f>
        <v>0</v>
      </c>
      <c r="B27" s="76"/>
      <c r="C27" s="41"/>
      <c r="D27" s="77"/>
      <c r="E27" s="45"/>
    </row>
    <row r="28" spans="1:5" ht="15.75">
      <c r="A28" s="69">
        <f>[1]inputPrYr!B25</f>
        <v>0</v>
      </c>
      <c r="B28" s="76"/>
      <c r="C28" s="41"/>
      <c r="D28" s="77"/>
      <c r="E28" s="45"/>
    </row>
    <row r="29" spans="1:5" ht="15.75">
      <c r="A29" s="69">
        <f>[1]inputPrYr!B26</f>
        <v>0</v>
      </c>
      <c r="B29" s="76"/>
      <c r="C29" s="41"/>
      <c r="D29" s="77"/>
      <c r="E29" s="45"/>
    </row>
    <row r="30" spans="1:5" ht="15.75">
      <c r="A30" s="69">
        <f>[1]inputPrYr!B27</f>
        <v>0</v>
      </c>
      <c r="B30" s="76"/>
      <c r="C30" s="41"/>
      <c r="D30" s="77"/>
      <c r="E30" s="45"/>
    </row>
    <row r="31" spans="1:5" ht="15.75">
      <c r="A31" s="69">
        <f>[1]inputPrYr!B28</f>
        <v>0</v>
      </c>
      <c r="B31" s="76"/>
      <c r="C31" s="41"/>
      <c r="D31" s="77"/>
      <c r="E31" s="45"/>
    </row>
    <row r="32" spans="1:5" ht="15.75">
      <c r="A32" s="69">
        <f>[1]inputPrYr!B29</f>
        <v>0</v>
      </c>
      <c r="B32" s="59"/>
      <c r="C32" s="41"/>
      <c r="D32" s="77"/>
      <c r="E32" s="45"/>
    </row>
    <row r="33" spans="1:5" ht="15.75">
      <c r="A33" s="69">
        <f>[1]inputPrYr!B30</f>
        <v>0</v>
      </c>
      <c r="B33" s="36"/>
      <c r="C33" s="41"/>
      <c r="D33" s="77"/>
      <c r="E33" s="45"/>
    </row>
    <row r="34" spans="1:5" ht="15.75">
      <c r="A34" s="72"/>
      <c r="B34" s="36" t="s">
        <v>36</v>
      </c>
      <c r="C34" s="78"/>
      <c r="D34" s="54">
        <f>SUM(D21:D33)</f>
        <v>54.164999999999999</v>
      </c>
      <c r="E34" s="72"/>
    </row>
    <row r="35" spans="1:5">
      <c r="A35" s="72"/>
      <c r="B35" s="72"/>
      <c r="C35" s="72"/>
      <c r="D35" s="72"/>
      <c r="E35" s="72"/>
    </row>
    <row r="36" spans="1:5" ht="15.75">
      <c r="A36" s="36" t="str">
        <f>CONCATENATE("Final Assessed Valuation from the November 1, ",E1-2," Abstract")</f>
        <v>Final Assessed Valuation from the November 1, 2011 Abstract</v>
      </c>
      <c r="B36" s="79"/>
      <c r="C36" s="79"/>
      <c r="D36" s="79"/>
      <c r="E36" s="27">
        <v>1508393</v>
      </c>
    </row>
    <row r="37" spans="1:5">
      <c r="A37" s="72"/>
      <c r="B37" s="72"/>
      <c r="C37" s="72"/>
      <c r="D37" s="72"/>
      <c r="E37" s="72"/>
    </row>
    <row r="38" spans="1:5" ht="15.75">
      <c r="A38" s="48" t="str">
        <f>CONCATENATE("From the County Treasurer's Budget Information - ",E1," Budget Year Estimates:")</f>
        <v>From the County Treasurer's Budget Information - 2013 Budget Year Estimates:</v>
      </c>
      <c r="B38" s="15"/>
      <c r="C38" s="15"/>
      <c r="D38" s="80"/>
      <c r="E38" s="29"/>
    </row>
    <row r="39" spans="1:5" ht="15.75">
      <c r="A39" s="35" t="s">
        <v>49</v>
      </c>
      <c r="B39" s="36"/>
      <c r="C39" s="36"/>
      <c r="D39" s="81"/>
      <c r="E39" s="28">
        <v>15839.29</v>
      </c>
    </row>
    <row r="40" spans="1:5" ht="15.75">
      <c r="A40" s="69" t="s">
        <v>50</v>
      </c>
      <c r="B40" s="59"/>
      <c r="C40" s="59"/>
      <c r="D40" s="82"/>
      <c r="E40" s="28">
        <v>304</v>
      </c>
    </row>
    <row r="41" spans="1:5" ht="15.75">
      <c r="A41" s="69" t="s">
        <v>51</v>
      </c>
      <c r="B41" s="59"/>
      <c r="C41" s="59"/>
      <c r="D41" s="82"/>
      <c r="E41" s="28">
        <v>703</v>
      </c>
    </row>
    <row r="42" spans="1:5" ht="15.75">
      <c r="A42" s="69" t="s">
        <v>52</v>
      </c>
      <c r="B42" s="59"/>
      <c r="C42" s="59"/>
      <c r="D42" s="82"/>
      <c r="E42" s="28"/>
    </row>
    <row r="43" spans="1:5" ht="15.75">
      <c r="A43" s="69" t="s">
        <v>53</v>
      </c>
      <c r="B43" s="59"/>
      <c r="C43" s="59"/>
      <c r="D43" s="82"/>
      <c r="E43" s="28"/>
    </row>
    <row r="44" spans="1:5" ht="15.75">
      <c r="A44" s="2" t="s">
        <v>54</v>
      </c>
      <c r="B44" s="2"/>
      <c r="C44" s="2"/>
      <c r="D44" s="2"/>
      <c r="E44" s="2"/>
    </row>
    <row r="45" spans="1:5" ht="15.75">
      <c r="A45" s="3" t="s">
        <v>55</v>
      </c>
      <c r="B45" s="11"/>
      <c r="C45" s="11"/>
      <c r="D45" s="2"/>
      <c r="E45" s="2"/>
    </row>
    <row r="46" spans="1:5" ht="15.75">
      <c r="A46" s="43" t="str">
        <f>CONCATENATE("Actual Delinquency for ",E1-3," Tax - (rate .01213 = 1.213%, key in 1.2)")</f>
        <v>Actual Delinquency for 2010 Tax - (rate .01213 = 1.213%, key in 1.2)</v>
      </c>
      <c r="B46" s="41"/>
      <c r="C46" s="2"/>
      <c r="D46" s="2"/>
      <c r="E46" s="83">
        <v>2.5646700000000001E-2</v>
      </c>
    </row>
    <row r="47" spans="1:5" ht="15.75">
      <c r="A47" s="84" t="s">
        <v>56</v>
      </c>
      <c r="B47" s="43"/>
      <c r="C47" s="41"/>
      <c r="D47" s="41"/>
      <c r="E47" s="85"/>
    </row>
    <row r="48" spans="1:5" ht="15.75">
      <c r="A48" s="86" t="s">
        <v>57</v>
      </c>
      <c r="B48" s="86"/>
      <c r="C48" s="87"/>
      <c r="D48" s="87"/>
      <c r="E48" s="88"/>
    </row>
    <row r="49" spans="1:5" ht="15.75">
      <c r="A49" s="2"/>
      <c r="B49" s="2"/>
      <c r="C49" s="2"/>
      <c r="D49" s="2"/>
      <c r="E49" s="2"/>
    </row>
    <row r="50" spans="1:5" ht="15.75">
      <c r="A50" s="89" t="s">
        <v>58</v>
      </c>
      <c r="B50" s="90"/>
      <c r="C50" s="91"/>
      <c r="D50" s="91"/>
      <c r="E50" s="91"/>
    </row>
    <row r="51" spans="1:5" ht="15.75">
      <c r="A51" s="92" t="str">
        <f>CONCATENATE("",E1," State Distribution for Kansas Gas Tax")</f>
        <v>2013 State Distribution for Kansas Gas Tax</v>
      </c>
      <c r="B51" s="93"/>
      <c r="C51" s="93"/>
      <c r="D51" s="94"/>
      <c r="E51" s="27">
        <v>9340</v>
      </c>
    </row>
    <row r="52" spans="1:5" ht="15.75">
      <c r="A52" s="95" t="str">
        <f>CONCATENATE("",E1," County Transfers for Gas***")</f>
        <v>2013 County Transfers for Gas***</v>
      </c>
      <c r="B52" s="96"/>
      <c r="C52" s="96"/>
      <c r="D52" s="97"/>
      <c r="E52" s="27"/>
    </row>
    <row r="53" spans="1:5" ht="15.75">
      <c r="A53" s="95" t="str">
        <f>CONCATENATE("Adjusted ",E1-1," State Distribution for Kansas Gas Tax")</f>
        <v>Adjusted 2012 State Distribution for Kansas Gas Tax</v>
      </c>
      <c r="B53" s="96"/>
      <c r="C53" s="96"/>
      <c r="D53" s="97"/>
      <c r="E53" s="27">
        <v>9270</v>
      </c>
    </row>
    <row r="54" spans="1:5" ht="15.75">
      <c r="A54" s="95" t="str">
        <f>CONCATENATE("Adjusted ",E1-1," County Transfers for Gas***")</f>
        <v>Adjusted 2012 County Transfers for Gas***</v>
      </c>
      <c r="B54" s="96"/>
      <c r="C54" s="96"/>
      <c r="D54" s="97"/>
      <c r="E54" s="27"/>
    </row>
    <row r="55" spans="1:5">
      <c r="A55" s="484" t="s">
        <v>59</v>
      </c>
      <c r="B55" s="485"/>
      <c r="C55" s="485"/>
      <c r="D55" s="485"/>
      <c r="E55" s="485"/>
    </row>
    <row r="56" spans="1:5">
      <c r="A56" s="98" t="s">
        <v>60</v>
      </c>
      <c r="B56" s="98"/>
      <c r="C56" s="98"/>
      <c r="D56" s="98"/>
      <c r="E56" s="98"/>
    </row>
    <row r="57" spans="1:5">
      <c r="A57" s="67"/>
      <c r="B57" s="67"/>
      <c r="C57" s="67"/>
      <c r="D57" s="67"/>
      <c r="E57" s="67"/>
    </row>
    <row r="58" spans="1:5" ht="15.75">
      <c r="A58" s="486" t="str">
        <f>CONCATENATE("From the ",E1-2," Budget Certificate Page")</f>
        <v>From the 2011 Budget Certificate Page</v>
      </c>
      <c r="B58" s="487"/>
      <c r="C58" s="67"/>
      <c r="D58" s="67"/>
      <c r="E58" s="67"/>
    </row>
    <row r="59" spans="1:5" ht="15.75">
      <c r="A59" s="99"/>
      <c r="B59" s="99" t="str">
        <f>CONCATENATE("",E1-2," Expenditure Amounts")</f>
        <v>2011 Expenditure Amounts</v>
      </c>
      <c r="C59" s="488" t="str">
        <f>CONCATENATE("Note: If the ",E1-2," budget was amended, then the")</f>
        <v>Note: If the 2011 budget was amended, then the</v>
      </c>
      <c r="D59" s="489"/>
      <c r="E59" s="489"/>
    </row>
    <row r="60" spans="1:5" ht="15.75">
      <c r="A60" s="100" t="s">
        <v>61</v>
      </c>
      <c r="B60" s="100" t="s">
        <v>62</v>
      </c>
      <c r="C60" s="101" t="s">
        <v>63</v>
      </c>
      <c r="D60" s="102"/>
      <c r="E60" s="102"/>
    </row>
    <row r="61" spans="1:5" ht="15.75">
      <c r="A61" s="103" t="str">
        <f>[1]inputPrYr!B17</f>
        <v>General</v>
      </c>
      <c r="B61" s="27">
        <v>246997</v>
      </c>
      <c r="C61" s="101" t="s">
        <v>64</v>
      </c>
      <c r="D61" s="102"/>
      <c r="E61" s="102"/>
    </row>
    <row r="62" spans="1:5" ht="15.75">
      <c r="A62" s="103" t="str">
        <f>[1]inputPrYr!B18</f>
        <v>Debt Service</v>
      </c>
      <c r="B62" s="27"/>
      <c r="C62" s="101"/>
      <c r="D62" s="102"/>
      <c r="E62" s="102"/>
    </row>
    <row r="63" spans="1:5" ht="15.75">
      <c r="A63" s="103" t="str">
        <f>[1]inputPrYr!B19</f>
        <v>Library</v>
      </c>
      <c r="B63" s="27">
        <v>10000</v>
      </c>
      <c r="C63" s="67"/>
      <c r="D63" s="67"/>
      <c r="E63" s="67"/>
    </row>
    <row r="64" spans="1:5" ht="15.75">
      <c r="A64" s="103" t="str">
        <f>[1]inputPrYr!B34</f>
        <v>Special Highway</v>
      </c>
      <c r="B64" s="27">
        <v>25763</v>
      </c>
      <c r="C64" s="67"/>
      <c r="D64" s="67"/>
      <c r="E64" s="67"/>
    </row>
    <row r="65" spans="1:5" ht="15.75">
      <c r="A65" s="103" t="str">
        <f>[1]inputPrYr!B35</f>
        <v>Special Park &amp; Rec</v>
      </c>
      <c r="B65" s="27">
        <v>8141</v>
      </c>
      <c r="C65" s="67"/>
      <c r="D65" s="67"/>
      <c r="E65" s="67"/>
    </row>
    <row r="66" spans="1:5" ht="15.75">
      <c r="A66" s="103" t="str">
        <f>[1]inputPrYr!B36</f>
        <v>Equipment Reserve</v>
      </c>
      <c r="B66" s="27">
        <v>47777</v>
      </c>
      <c r="C66" s="67"/>
      <c r="D66" s="67"/>
      <c r="E66" s="67"/>
    </row>
    <row r="67" spans="1:5" ht="15.75">
      <c r="A67" s="103" t="str">
        <f>[1]inputPrYr!B37</f>
        <v>Water Utility</v>
      </c>
      <c r="B67" s="27">
        <v>60377</v>
      </c>
      <c r="C67" s="67"/>
      <c r="D67" s="67"/>
      <c r="E67" s="67"/>
    </row>
    <row r="68" spans="1:5" ht="15.75">
      <c r="A68" s="103" t="str">
        <f>[1]inputPrYr!B38</f>
        <v>Sewer Utility</v>
      </c>
      <c r="B68" s="27">
        <v>42689</v>
      </c>
      <c r="C68" s="67"/>
      <c r="D68" s="67"/>
      <c r="E68" s="67"/>
    </row>
    <row r="69" spans="1:5" ht="15.75">
      <c r="A69" s="103" t="str">
        <f>[1]inputPrYr!B39</f>
        <v>Refuse</v>
      </c>
      <c r="B69" s="27">
        <v>21024</v>
      </c>
      <c r="C69" s="67"/>
      <c r="D69" s="67"/>
      <c r="E69" s="67"/>
    </row>
    <row r="70" spans="1:5" ht="15.75">
      <c r="A70" s="103" t="str">
        <f>[1]inputPrYr!B40</f>
        <v>Community Improvement</v>
      </c>
      <c r="B70" s="27">
        <v>22859</v>
      </c>
      <c r="C70" s="67"/>
      <c r="D70" s="67"/>
      <c r="E70" s="67"/>
    </row>
    <row r="71" spans="1:5" ht="15.75">
      <c r="A71" s="103" t="str">
        <f>[1]inputPrYr!B41</f>
        <v>Water Reserve</v>
      </c>
      <c r="B71" s="27">
        <v>46014</v>
      </c>
      <c r="C71" s="67"/>
      <c r="D71" s="67"/>
      <c r="E71" s="67"/>
    </row>
    <row r="72" spans="1:5" ht="15.75">
      <c r="A72" s="103" t="str">
        <f>[1]inputPrYr!B44</f>
        <v>Sewer Reserve</v>
      </c>
      <c r="B72" s="27">
        <v>10576</v>
      </c>
      <c r="C72" s="67"/>
      <c r="D72" s="67"/>
      <c r="E72" s="67"/>
    </row>
    <row r="73" spans="1:5" ht="15.75">
      <c r="A73" s="103" t="str">
        <f>[1]inputPrYr!B45</f>
        <v>Sewer Project P &amp; I</v>
      </c>
      <c r="B73" s="27">
        <v>45135</v>
      </c>
      <c r="C73" s="67"/>
      <c r="D73" s="67"/>
      <c r="E73" s="67"/>
    </row>
    <row r="74" spans="1:5" ht="15.75">
      <c r="A74" s="103"/>
      <c r="B74" s="27"/>
      <c r="C74" s="67"/>
      <c r="D74" s="67"/>
      <c r="E74" s="67"/>
    </row>
    <row r="75" spans="1:5" ht="15.75">
      <c r="A75" s="103"/>
      <c r="B75" s="27"/>
      <c r="C75" s="67"/>
      <c r="D75" s="67"/>
      <c r="E75" s="67"/>
    </row>
  </sheetData>
  <mergeCells count="5">
    <mergeCell ref="A3:E3"/>
    <mergeCell ref="A20:B20"/>
    <mergeCell ref="A55:E55"/>
    <mergeCell ref="A58:B58"/>
    <mergeCell ref="C59:E5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24"/>
  <sheetViews>
    <sheetView workbookViewId="0">
      <selection activeCell="A62" sqref="A62"/>
    </sheetView>
  </sheetViews>
  <sheetFormatPr defaultRowHeight="15"/>
  <cols>
    <col min="1" max="1" width="13.5703125" customWidth="1"/>
    <col min="3" max="3" width="12.7109375" customWidth="1"/>
    <col min="4" max="4" width="34.85546875" customWidth="1"/>
    <col min="8" max="8" width="22.28515625" customWidth="1"/>
  </cols>
  <sheetData>
    <row r="1" spans="1:8" ht="15.75">
      <c r="A1" s="490" t="s">
        <v>65</v>
      </c>
      <c r="B1" s="491"/>
      <c r="C1" s="491"/>
      <c r="D1" s="491"/>
      <c r="E1" s="491"/>
      <c r="F1" s="491"/>
      <c r="G1" s="104"/>
      <c r="H1" s="104"/>
    </row>
    <row r="2" spans="1:8" ht="15.75">
      <c r="A2" s="105" t="s">
        <v>66</v>
      </c>
      <c r="B2" s="106" t="s">
        <v>67</v>
      </c>
      <c r="C2" s="106"/>
      <c r="D2" s="104"/>
      <c r="E2" s="104"/>
      <c r="F2" s="104"/>
      <c r="G2" s="104"/>
      <c r="H2" s="104"/>
    </row>
    <row r="3" spans="1:8" ht="15.75">
      <c r="A3" s="105"/>
      <c r="B3" s="107"/>
      <c r="C3" s="104"/>
      <c r="D3" s="104"/>
      <c r="E3" s="104"/>
      <c r="F3" s="104"/>
      <c r="G3" s="104"/>
      <c r="H3" s="104"/>
    </row>
    <row r="4" spans="1:8" ht="15.75">
      <c r="A4" s="105" t="s">
        <v>68</v>
      </c>
      <c r="B4" s="106" t="s">
        <v>69</v>
      </c>
      <c r="C4" s="104"/>
      <c r="D4" s="104"/>
      <c r="E4" s="104"/>
      <c r="F4" s="104"/>
      <c r="G4" s="104"/>
      <c r="H4" s="104"/>
    </row>
    <row r="5" spans="1:8" ht="15.75">
      <c r="A5" s="108"/>
      <c r="B5" s="108"/>
      <c r="C5" s="108"/>
      <c r="D5" s="109" t="s">
        <v>70</v>
      </c>
      <c r="E5" s="108"/>
      <c r="F5" s="108"/>
      <c r="G5" s="104"/>
      <c r="H5" s="104"/>
    </row>
    <row r="6" spans="1:8" ht="15.75">
      <c r="A6" s="109" t="s">
        <v>71</v>
      </c>
      <c r="B6" s="106" t="s">
        <v>72</v>
      </c>
      <c r="C6" s="110"/>
      <c r="D6" s="111"/>
      <c r="E6" s="108"/>
      <c r="F6" s="108"/>
      <c r="G6" s="104"/>
      <c r="H6" s="104"/>
    </row>
    <row r="7" spans="1:8" ht="15.75">
      <c r="A7" s="109"/>
      <c r="B7" s="112"/>
      <c r="C7" s="113"/>
      <c r="D7" s="109"/>
      <c r="E7" s="108"/>
      <c r="F7" s="108"/>
      <c r="G7" s="104"/>
      <c r="H7" s="104"/>
    </row>
    <row r="8" spans="1:8" ht="15.75">
      <c r="A8" s="109" t="s">
        <v>73</v>
      </c>
      <c r="B8" s="106" t="s">
        <v>74</v>
      </c>
      <c r="C8" s="114"/>
      <c r="D8" s="109"/>
      <c r="E8" s="108"/>
      <c r="F8" s="108"/>
      <c r="G8" s="104"/>
      <c r="H8" s="104"/>
    </row>
    <row r="9" spans="1:8" ht="15.75">
      <c r="A9" s="109"/>
      <c r="B9" s="109"/>
      <c r="C9" s="109"/>
      <c r="D9" s="109"/>
      <c r="E9" s="108"/>
      <c r="F9" s="108"/>
      <c r="G9" s="104"/>
      <c r="H9" s="104"/>
    </row>
    <row r="10" spans="1:8" ht="15.75">
      <c r="A10" s="109" t="s">
        <v>75</v>
      </c>
      <c r="B10" s="115" t="s">
        <v>76</v>
      </c>
      <c r="C10" s="115"/>
      <c r="D10" s="115"/>
      <c r="E10" s="116"/>
      <c r="F10" s="108"/>
      <c r="G10" s="104"/>
      <c r="H10" s="104"/>
    </row>
    <row r="11" spans="1:8" ht="15.75">
      <c r="A11" s="109"/>
      <c r="B11" s="109"/>
      <c r="C11" s="109"/>
      <c r="D11" s="109"/>
      <c r="E11" s="108"/>
      <c r="F11" s="108"/>
      <c r="G11" s="104"/>
      <c r="H11" s="104"/>
    </row>
    <row r="12" spans="1:8" ht="15.75">
      <c r="A12" s="109"/>
      <c r="B12" s="109"/>
      <c r="C12" s="109"/>
      <c r="D12" s="109"/>
      <c r="E12" s="108"/>
      <c r="F12" s="108"/>
      <c r="G12" s="104"/>
      <c r="H12" s="104"/>
    </row>
    <row r="13" spans="1:8" ht="15.75">
      <c r="A13" s="109" t="s">
        <v>77</v>
      </c>
      <c r="B13" s="115" t="s">
        <v>76</v>
      </c>
      <c r="C13" s="115"/>
      <c r="D13" s="115"/>
      <c r="E13" s="116"/>
      <c r="F13" s="108"/>
      <c r="G13" s="104"/>
      <c r="H13" s="104"/>
    </row>
    <row r="14" spans="1:8" ht="15.75">
      <c r="A14" s="104"/>
      <c r="B14" s="104"/>
      <c r="C14" s="104"/>
      <c r="D14" s="104"/>
      <c r="E14" s="104"/>
      <c r="F14" s="104"/>
      <c r="G14" s="104"/>
      <c r="H14" s="104"/>
    </row>
    <row r="15" spans="1:8" ht="15.75">
      <c r="A15" s="104"/>
      <c r="B15" s="104"/>
      <c r="C15" s="104"/>
      <c r="D15" s="104"/>
      <c r="E15" s="104"/>
      <c r="F15" s="104"/>
      <c r="G15" s="104"/>
      <c r="H15" s="104"/>
    </row>
    <row r="16" spans="1:8" ht="15.75">
      <c r="A16" s="492" t="s">
        <v>78</v>
      </c>
      <c r="B16" s="492"/>
      <c r="C16" s="109"/>
      <c r="D16" s="109"/>
      <c r="E16" s="109"/>
      <c r="F16" s="108"/>
      <c r="G16" s="104"/>
      <c r="H16" s="104"/>
    </row>
    <row r="17" spans="1:8" ht="15.75">
      <c r="A17" s="109"/>
      <c r="B17" s="109"/>
      <c r="C17" s="109"/>
      <c r="D17" s="109"/>
      <c r="E17" s="109"/>
      <c r="F17" s="108"/>
      <c r="G17" s="117" t="e">
        <f ca="1">IF(B6="","",INDIRECT(G18))</f>
        <v>#REF!</v>
      </c>
      <c r="H17" s="104"/>
    </row>
    <row r="18" spans="1:8" ht="15.75">
      <c r="A18" s="109" t="s">
        <v>68</v>
      </c>
      <c r="B18" s="109" t="s">
        <v>79</v>
      </c>
      <c r="C18" s="109"/>
      <c r="D18" s="109"/>
      <c r="E18" s="109"/>
      <c r="F18" s="108"/>
      <c r="G18" s="118"/>
      <c r="H18" s="104"/>
    </row>
    <row r="19" spans="1:8" ht="15.75">
      <c r="A19" s="109"/>
      <c r="B19" s="109"/>
      <c r="C19" s="109"/>
      <c r="D19" s="109"/>
      <c r="E19" s="109"/>
      <c r="F19" s="108"/>
      <c r="G19" s="119"/>
      <c r="H19" s="104"/>
    </row>
    <row r="20" spans="1:8" ht="15.75">
      <c r="A20" s="109" t="s">
        <v>71</v>
      </c>
      <c r="B20" s="112" t="s">
        <v>80</v>
      </c>
      <c r="C20" s="109"/>
      <c r="D20" s="109"/>
      <c r="E20" s="109"/>
      <c r="F20" s="104"/>
      <c r="G20" s="120"/>
      <c r="H20" s="104"/>
    </row>
    <row r="21" spans="1:8" ht="15.75">
      <c r="A21" s="109"/>
      <c r="B21" s="109"/>
      <c r="C21" s="109"/>
      <c r="D21" s="109"/>
      <c r="E21" s="109"/>
      <c r="F21" s="104"/>
      <c r="G21" s="121"/>
      <c r="H21" s="104"/>
    </row>
    <row r="22" spans="1:8" ht="15.75">
      <c r="A22" s="109" t="s">
        <v>73</v>
      </c>
      <c r="B22" s="109" t="s">
        <v>81</v>
      </c>
      <c r="C22" s="109"/>
      <c r="D22" s="109"/>
      <c r="E22" s="109"/>
      <c r="F22" s="104"/>
      <c r="G22" s="122"/>
      <c r="H22" s="104"/>
    </row>
    <row r="23" spans="1:8" ht="15.75">
      <c r="A23" s="109"/>
      <c r="B23" s="109"/>
      <c r="C23" s="109"/>
      <c r="D23" s="109"/>
      <c r="E23" s="109"/>
      <c r="F23" s="104"/>
      <c r="G23" s="104"/>
      <c r="H23" s="104"/>
    </row>
    <row r="24" spans="1:8" ht="15.75">
      <c r="A24" s="109" t="s">
        <v>75</v>
      </c>
      <c r="B24" s="109" t="s">
        <v>76</v>
      </c>
      <c r="C24" s="109"/>
      <c r="D24" s="109"/>
      <c r="E24" s="109"/>
      <c r="F24" s="104"/>
      <c r="G24" s="104"/>
      <c r="H24" s="104"/>
    </row>
  </sheetData>
  <mergeCells count="2">
    <mergeCell ref="A1:F1"/>
    <mergeCell ref="A16:B1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54"/>
  <sheetViews>
    <sheetView topLeftCell="A28" workbookViewId="0">
      <selection activeCell="I8" sqref="I8"/>
    </sheetView>
  </sheetViews>
  <sheetFormatPr defaultRowHeight="15"/>
  <cols>
    <col min="1" max="1" width="12.140625" customWidth="1"/>
    <col min="2" max="2" width="33.42578125" customWidth="1"/>
    <col min="3" max="3" width="9.42578125" customWidth="1"/>
    <col min="4" max="4" width="15.28515625" customWidth="1"/>
    <col min="5" max="5" width="12.28515625" customWidth="1"/>
    <col min="6" max="6" width="17.28515625" customWidth="1"/>
  </cols>
  <sheetData>
    <row r="1" spans="1:6">
      <c r="A1" s="231"/>
      <c r="B1" s="231"/>
      <c r="C1" s="231"/>
      <c r="D1" s="231"/>
      <c r="E1" s="231"/>
      <c r="F1" s="231"/>
    </row>
    <row r="2" spans="1:6">
      <c r="A2" s="231"/>
      <c r="B2" s="231" t="s">
        <v>54</v>
      </c>
      <c r="C2" s="347"/>
      <c r="D2" s="348" t="s">
        <v>82</v>
      </c>
      <c r="E2" s="231"/>
      <c r="F2" s="228"/>
    </row>
    <row r="3" spans="1:6">
      <c r="A3" s="493" t="str">
        <f>CONCATENATE("To the Clerk of ",[1]inputPrYr!C3,", State of Kansas")</f>
        <v>To the Clerk of , State of Kansas</v>
      </c>
      <c r="B3" s="494"/>
      <c r="C3" s="494"/>
      <c r="D3" s="494"/>
      <c r="E3" s="494"/>
      <c r="F3" s="494"/>
    </row>
    <row r="4" spans="1:6">
      <c r="A4" s="349" t="s">
        <v>83</v>
      </c>
      <c r="B4" s="350"/>
      <c r="C4" s="350"/>
      <c r="D4" s="350"/>
      <c r="E4" s="350"/>
      <c r="F4" s="350"/>
    </row>
    <row r="5" spans="1:6">
      <c r="A5" s="495" t="s">
        <v>2</v>
      </c>
      <c r="B5" s="496"/>
      <c r="C5" s="496"/>
      <c r="D5" s="496"/>
      <c r="E5" s="496"/>
      <c r="F5" s="496"/>
    </row>
    <row r="6" spans="1:6">
      <c r="A6" s="349" t="s">
        <v>84</v>
      </c>
      <c r="B6" s="350"/>
      <c r="C6" s="350"/>
      <c r="D6" s="350"/>
      <c r="E6" s="350"/>
      <c r="F6" s="350"/>
    </row>
    <row r="7" spans="1:6">
      <c r="A7" s="349" t="s">
        <v>85</v>
      </c>
      <c r="B7" s="350"/>
      <c r="C7" s="350"/>
      <c r="D7" s="350"/>
      <c r="E7" s="350"/>
      <c r="F7" s="350"/>
    </row>
    <row r="8" spans="1:6">
      <c r="A8" s="349" t="str">
        <f>CONCATENATE("maximum expenditures for the various funds for the year ",F1,"; and")</f>
        <v>maximum expenditures for the various funds for the year ; and</v>
      </c>
      <c r="B8" s="350"/>
      <c r="C8" s="350"/>
      <c r="D8" s="350"/>
      <c r="E8" s="350"/>
      <c r="F8" s="350"/>
    </row>
    <row r="9" spans="1:6">
      <c r="A9" s="349"/>
      <c r="B9" s="350" t="s">
        <v>319</v>
      </c>
      <c r="C9" s="350"/>
      <c r="D9" s="350"/>
      <c r="E9" s="350"/>
      <c r="F9" s="350"/>
    </row>
    <row r="10" spans="1:6">
      <c r="A10" s="231"/>
      <c r="B10" s="231"/>
      <c r="C10" s="231"/>
      <c r="D10" s="351" t="str">
        <f>CONCATENATE("",F1," Adopted Budget")</f>
        <v xml:space="preserve"> Adopted Budget</v>
      </c>
      <c r="E10" s="352"/>
      <c r="F10" s="353"/>
    </row>
    <row r="11" spans="1:6">
      <c r="A11" s="231"/>
      <c r="B11" s="231"/>
      <c r="C11" s="354"/>
      <c r="D11" s="355" t="s">
        <v>86</v>
      </c>
      <c r="E11" s="356" t="s">
        <v>87</v>
      </c>
      <c r="F11" s="356" t="s">
        <v>88</v>
      </c>
    </row>
    <row r="12" spans="1:6">
      <c r="A12" s="357"/>
      <c r="B12" s="231"/>
      <c r="C12" s="355" t="s">
        <v>89</v>
      </c>
      <c r="D12" s="358" t="s">
        <v>62</v>
      </c>
      <c r="E12" s="359"/>
      <c r="F12" s="358" t="s">
        <v>90</v>
      </c>
    </row>
    <row r="13" spans="1:6">
      <c r="A13" s="360" t="s">
        <v>91</v>
      </c>
      <c r="B13" s="361"/>
      <c r="C13" s="362" t="s">
        <v>92</v>
      </c>
      <c r="D13" s="363" t="s">
        <v>93</v>
      </c>
      <c r="E13" s="364" t="s">
        <v>94</v>
      </c>
      <c r="F13" s="363" t="s">
        <v>95</v>
      </c>
    </row>
    <row r="14" spans="1:6">
      <c r="A14" s="226" t="str">
        <f>CONCATENATE("Computation to Determine Limit for ",F1,"")</f>
        <v xml:space="preserve">Computation to Determine Limit for </v>
      </c>
      <c r="B14" s="365"/>
      <c r="C14" s="366">
        <v>2</v>
      </c>
      <c r="D14" s="367"/>
      <c r="E14" s="367"/>
      <c r="F14" s="367"/>
    </row>
    <row r="15" spans="1:6">
      <c r="A15" s="226" t="s">
        <v>96</v>
      </c>
      <c r="B15" s="361"/>
      <c r="C15" s="362">
        <v>3</v>
      </c>
      <c r="D15" s="358"/>
      <c r="E15" s="358"/>
      <c r="F15" s="358"/>
    </row>
    <row r="16" spans="1:6">
      <c r="A16" s="226" t="s">
        <v>97</v>
      </c>
      <c r="B16" s="361"/>
      <c r="C16" s="362">
        <v>4</v>
      </c>
      <c r="D16" s="358"/>
      <c r="E16" s="358"/>
      <c r="F16" s="358"/>
    </row>
    <row r="17" spans="1:6">
      <c r="A17" s="226" t="s">
        <v>98</v>
      </c>
      <c r="B17" s="365"/>
      <c r="C17" s="366">
        <v>5</v>
      </c>
      <c r="D17" s="368"/>
      <c r="E17" s="368"/>
      <c r="F17" s="368"/>
    </row>
    <row r="18" spans="1:6">
      <c r="A18" s="226" t="s">
        <v>99</v>
      </c>
      <c r="B18" s="365"/>
      <c r="C18" s="366">
        <v>6</v>
      </c>
      <c r="D18" s="368"/>
      <c r="E18" s="368"/>
      <c r="F18" s="368"/>
    </row>
    <row r="19" spans="1:6">
      <c r="A19" s="369" t="str">
        <f>IF([1]inputPrYr!C19="","","Computation to Determine State Library Grant")</f>
        <v>Computation to Determine State Library Grant</v>
      </c>
      <c r="B19" s="365"/>
      <c r="C19" s="370" t="str">
        <f>IF([1]inputPrYr!C19="","",'[1]Library Grant '!E40)</f>
        <v xml:space="preserve">Page No. </v>
      </c>
      <c r="D19" s="368"/>
      <c r="E19" s="368"/>
      <c r="F19" s="368"/>
    </row>
    <row r="20" spans="1:6">
      <c r="A20" s="371" t="s">
        <v>47</v>
      </c>
      <c r="B20" s="372" t="s">
        <v>100</v>
      </c>
      <c r="C20" s="373"/>
      <c r="D20" s="374"/>
      <c r="E20" s="374"/>
      <c r="F20" s="374"/>
    </row>
    <row r="21" spans="1:6">
      <c r="A21" s="366">
        <f>[1]inputPrYr!A17</f>
        <v>0</v>
      </c>
      <c r="B21" s="375" t="str">
        <f>IF([1]inputPrYr!B17&gt;0,([1]inputPrYr!B17),"  ")</f>
        <v>General</v>
      </c>
      <c r="C21" s="366">
        <v>8</v>
      </c>
      <c r="D21" s="233">
        <f>IF([1]general!$E$111&lt;&gt;0,[1]general!$E$111,"  ")</f>
        <v>199198</v>
      </c>
      <c r="E21" s="376">
        <f>IF([1]general!$E$118&lt;&gt;0,[1]general!$E$118,0)</f>
        <v>78298.709999999992</v>
      </c>
      <c r="F21" s="377" t="str">
        <f>IF($G$40=0,"",ROUND(E21/$G$40*1000,3))</f>
        <v/>
      </c>
    </row>
    <row r="22" spans="1:6">
      <c r="A22" s="378" t="str">
        <f>IF([1]inputPrYr!$B18&gt;"  ",([1]inputPrYr!$B18),"  ")</f>
        <v>Debt Service</v>
      </c>
      <c r="B22" s="375" t="str">
        <f>IF([1]inputPrYr!B18&gt;0,([1]inputPrYr!B18),"  ")</f>
        <v>Debt Service</v>
      </c>
      <c r="C22" s="366">
        <v>9</v>
      </c>
      <c r="D22" s="233" t="str">
        <f>IF('[1]DebtSvs-Library'!D33&lt;&gt;0,'[1]DebtSvs-Library'!D33,"  ")</f>
        <v xml:space="preserve">  </v>
      </c>
      <c r="E22" s="376">
        <f>IF('[1]DebtSvs-Library'!D40&lt;&gt;0,'[1]DebtSvs-Library'!D40,0)</f>
        <v>0</v>
      </c>
      <c r="F22" s="377" t="str">
        <f>IF($G$40=0,"",ROUND(E22/$G$40*1000,3))</f>
        <v/>
      </c>
    </row>
    <row r="23" spans="1:6">
      <c r="A23" s="378" t="str">
        <f>IF([1]inputPrYr!$B19&gt;"  ",([1]inputPrYr!$B19),"  ")</f>
        <v>Library</v>
      </c>
      <c r="B23" s="375" t="str">
        <f>IF([1]inputPrYr!B19&gt;0,([1]inputPrYr!B19),"  ")</f>
        <v>Library</v>
      </c>
      <c r="C23" s="366">
        <v>9</v>
      </c>
      <c r="D23" s="233">
        <v>10082</v>
      </c>
      <c r="E23" s="376">
        <v>4647</v>
      </c>
      <c r="F23" s="377" t="str">
        <f>IF($G$40=0,"",ROUND(E23/$G$40*1000,3))</f>
        <v/>
      </c>
    </row>
    <row r="24" spans="1:6">
      <c r="A24" s="218" t="str">
        <f>IF([1]inputPrYr!$B34&gt;"  ",([1]inputPrYr!$B34),"  ")</f>
        <v>Special Highway</v>
      </c>
      <c r="B24" s="365"/>
      <c r="C24" s="370">
        <v>10</v>
      </c>
      <c r="D24" s="233">
        <f>IF('[1]Sp Hiway'!$E$28&gt;0,'[1]Sp Hiway'!$E$28,"  ")</f>
        <v>26899</v>
      </c>
      <c r="E24" s="233"/>
      <c r="F24" s="379"/>
    </row>
    <row r="25" spans="1:6">
      <c r="A25" s="218" t="str">
        <f>IF([1]inputPrYr!$B35&gt;"  ",([1]inputPrYr!$B35),"  ")</f>
        <v>Special Park &amp; Rec</v>
      </c>
      <c r="B25" s="365"/>
      <c r="C25" s="370">
        <v>10</v>
      </c>
      <c r="D25" s="233">
        <f>IF('[1]Sp Hiway'!$E$59&gt;0,'[1]Sp Hiway'!$E$59,"  ")</f>
        <v>7285</v>
      </c>
      <c r="E25" s="233"/>
      <c r="F25" s="379"/>
    </row>
    <row r="26" spans="1:6">
      <c r="A26" s="218" t="str">
        <f>IF([1]inputPrYr!$B36&gt;"  ",([1]inputPrYr!$B36),"  ")</f>
        <v>Equipment Reserve</v>
      </c>
      <c r="B26" s="365"/>
      <c r="C26" s="370">
        <v>11</v>
      </c>
      <c r="D26" s="233">
        <v>52352</v>
      </c>
      <c r="E26" s="233"/>
      <c r="F26" s="379"/>
    </row>
    <row r="27" spans="1:6">
      <c r="A27" s="218" t="str">
        <f>IF([1]inputPrYr!$B37&gt;"  ",([1]inputPrYr!$B37),"  ")</f>
        <v>Water Utility</v>
      </c>
      <c r="B27" s="365"/>
      <c r="C27" s="370">
        <v>11</v>
      </c>
      <c r="D27" s="233">
        <f>IF([1]nolevypage15!$E$59&gt;0,[1]nolevypage15!$E$59,"  ")</f>
        <v>95370</v>
      </c>
      <c r="E27" s="233"/>
      <c r="F27" s="379"/>
    </row>
    <row r="28" spans="1:6">
      <c r="A28" s="218" t="str">
        <f>IF([1]inputPrYr!$B38&gt;"  ",([1]inputPrYr!$B38),"  ")</f>
        <v>Sewer Utility</v>
      </c>
      <c r="B28" s="365"/>
      <c r="C28" s="370">
        <v>12</v>
      </c>
      <c r="D28" s="233">
        <v>44787</v>
      </c>
      <c r="E28" s="233"/>
      <c r="F28" s="379"/>
    </row>
    <row r="29" spans="1:6">
      <c r="A29" s="380" t="str">
        <f>IF([1]inputPrYr!$B39&gt;"  ",([1]inputPrYr!$B39),"  ")</f>
        <v>Refuse</v>
      </c>
      <c r="B29" s="365"/>
      <c r="C29" s="370">
        <v>12</v>
      </c>
      <c r="D29" s="233">
        <v>26847</v>
      </c>
      <c r="E29" s="233"/>
      <c r="F29" s="379"/>
    </row>
    <row r="30" spans="1:6">
      <c r="A30" s="218" t="str">
        <f>IF([1]inputPrYr!$B40&gt;"  ",([1]inputPrYr!$B40),"  ")</f>
        <v>Community Improvement</v>
      </c>
      <c r="B30" s="365"/>
      <c r="C30" s="370">
        <v>13</v>
      </c>
      <c r="D30" s="233">
        <f>IF([1]nolevypage17!$E$28&gt;0,[1]nolevypage17!$E$28,"  ")</f>
        <v>2916</v>
      </c>
      <c r="E30" s="233"/>
      <c r="F30" s="379"/>
    </row>
    <row r="31" spans="1:6">
      <c r="A31" s="218" t="str">
        <f>IF([1]inputPrYr!$B41&gt;"  ",([1]inputPrYr!$B41),"  ")</f>
        <v>Water Reserve</v>
      </c>
      <c r="B31" s="365"/>
      <c r="C31" s="370">
        <v>13</v>
      </c>
      <c r="D31" s="233">
        <v>62495</v>
      </c>
      <c r="E31" s="233"/>
      <c r="F31" s="379"/>
    </row>
    <row r="32" spans="1:6">
      <c r="A32" s="218" t="str">
        <f>IF([1]inputPrYr!$B44&gt;"  ",([1]inputPrYr!$B44),"  ")</f>
        <v>Sewer Reserve</v>
      </c>
      <c r="B32" s="381"/>
      <c r="C32" s="370">
        <f>IF([1]SinNoLevy18!$C$53&gt;0,[1]SinNoLevy18!$C$53,"  ")</f>
        <v>14</v>
      </c>
      <c r="D32" s="233">
        <v>8574</v>
      </c>
      <c r="E32" s="233"/>
      <c r="F32" s="379"/>
    </row>
    <row r="33" spans="1:6">
      <c r="A33" s="218" t="str">
        <f>IF([1]inputPrYr!$B45&gt;"  ",([1]inputPrYr!$B45),"  ")</f>
        <v>Sewer Project P &amp; I</v>
      </c>
      <c r="B33" s="381"/>
      <c r="C33" s="370">
        <f>IF([1]SinNoLevy19!$C$53&gt;0,[1]SinNoLevy19!$C$53,"  ")</f>
        <v>15</v>
      </c>
      <c r="D33" s="233">
        <v>46548</v>
      </c>
      <c r="E33" s="233"/>
      <c r="F33" s="379"/>
    </row>
    <row r="34" spans="1:6">
      <c r="A34" s="218" t="str">
        <f>IF([1]inputPrYr!$B46&gt;"  ",([1]inputPrYr!$B46),"  ")</f>
        <v xml:space="preserve">  </v>
      </c>
      <c r="B34" s="381"/>
      <c r="C34" s="382" t="str">
        <f>IF([1]SinNoLevy20!$C$53&gt;0,[1]SinNoLevy20!$C$53,"  ")</f>
        <v xml:space="preserve">  </v>
      </c>
      <c r="D34" s="233" t="str">
        <f>IF([1]SinNoLevy20!$E$47&gt;0,[1]SinNoLevy20!$E$47,"  ")</f>
        <v xml:space="preserve">  </v>
      </c>
      <c r="E34" s="233"/>
      <c r="F34" s="379"/>
    </row>
    <row r="35" spans="1:6">
      <c r="A35" s="218" t="str">
        <f>IF([1]inputPrYr!$B47&gt;"  ",([1]inputPrYr!$B47),"  ")</f>
        <v xml:space="preserve">  </v>
      </c>
      <c r="B35" s="381"/>
      <c r="C35" s="382" t="str">
        <f>IF([1]SinNoLevy21!$C$53&gt;0,[1]SinNoLevy21!$C$53,"  ")</f>
        <v xml:space="preserve">  </v>
      </c>
      <c r="D35" s="233" t="str">
        <f>IF([1]SinNoLevy21!$E$47&gt;0,[1]SinNoLevy21!$E$47,"  ")</f>
        <v xml:space="preserve">  </v>
      </c>
      <c r="E35" s="233"/>
      <c r="F35" s="379"/>
    </row>
    <row r="36" spans="1:6">
      <c r="A36" s="218" t="str">
        <f>IF([1]inputPrYr!$B51&gt;"  ",([1]NonBudA!$A3),"  ")</f>
        <v xml:space="preserve">  </v>
      </c>
      <c r="B36" s="381"/>
      <c r="C36" s="382"/>
      <c r="D36" s="233"/>
      <c r="E36" s="233"/>
      <c r="F36" s="379"/>
    </row>
    <row r="37" spans="1:6" ht="15.75" thickBot="1">
      <c r="A37" s="218" t="str">
        <f>IF([1]inputPrYr!$B57&gt;"  ",([1]NonBudB!$A3),"  ")</f>
        <v xml:space="preserve">  </v>
      </c>
      <c r="B37" s="381"/>
      <c r="C37" s="382"/>
      <c r="D37" s="233"/>
      <c r="E37" s="233"/>
      <c r="F37" s="379"/>
    </row>
    <row r="38" spans="1:6" ht="15.75" thickBot="1">
      <c r="A38" s="383" t="s">
        <v>101</v>
      </c>
      <c r="B38" s="381"/>
      <c r="C38" s="384" t="s">
        <v>102</v>
      </c>
      <c r="D38" s="385">
        <f>SUM(D21:D37)</f>
        <v>583353</v>
      </c>
      <c r="E38" s="385">
        <f>SUM(E21:E37)</f>
        <v>82945.709999999992</v>
      </c>
      <c r="F38" s="386" t="str">
        <f>IF(SUM(F21:F37)=0,"",SUM(F21:F37))</f>
        <v/>
      </c>
    </row>
    <row r="39" spans="1:6" ht="15.75" thickTop="1">
      <c r="A39" s="366"/>
      <c r="B39" s="387"/>
      <c r="C39" s="378"/>
      <c r="D39" s="388"/>
      <c r="E39" s="389"/>
      <c r="F39" s="390" t="s">
        <v>103</v>
      </c>
    </row>
    <row r="40" spans="1:6">
      <c r="A40" s="226"/>
      <c r="B40" s="365"/>
      <c r="C40" s="366"/>
      <c r="D40" s="391"/>
      <c r="E40" s="231"/>
      <c r="F40" s="392"/>
    </row>
    <row r="41" spans="1:6">
      <c r="A41" s="226"/>
      <c r="B41" s="365"/>
      <c r="C41" s="366"/>
      <c r="D41" s="391"/>
      <c r="E41" s="231"/>
      <c r="F41" s="497" t="s">
        <v>318</v>
      </c>
    </row>
    <row r="42" spans="1:6">
      <c r="A42" s="393"/>
      <c r="B42" s="394"/>
      <c r="C42" s="395" t="s">
        <v>312</v>
      </c>
      <c r="D42" s="396"/>
      <c r="E42" s="397"/>
      <c r="F42" s="498"/>
    </row>
    <row r="43" spans="1:6">
      <c r="A43" s="393" t="s">
        <v>105</v>
      </c>
      <c r="B43" s="394"/>
      <c r="C43" s="231"/>
      <c r="D43" s="398"/>
      <c r="E43" s="394"/>
      <c r="F43" s="394"/>
    </row>
    <row r="44" spans="1:6">
      <c r="A44" s="399" t="s">
        <v>110</v>
      </c>
      <c r="B44" s="394"/>
      <c r="C44" s="394"/>
      <c r="D44" s="400"/>
      <c r="E44" s="394"/>
      <c r="F44" s="394"/>
    </row>
    <row r="45" spans="1:6">
      <c r="A45" s="401" t="s">
        <v>111</v>
      </c>
      <c r="B45" s="231"/>
      <c r="C45" s="394" t="s">
        <v>106</v>
      </c>
      <c r="D45" s="394"/>
      <c r="E45" s="402"/>
      <c r="F45" s="402"/>
    </row>
    <row r="46" spans="1:6">
      <c r="A46" s="399" t="s">
        <v>112</v>
      </c>
      <c r="B46" s="357"/>
      <c r="C46" s="394"/>
      <c r="D46" s="403"/>
      <c r="E46" s="402"/>
      <c r="F46" s="402"/>
    </row>
    <row r="47" spans="1:6">
      <c r="A47" s="401" t="s">
        <v>113</v>
      </c>
      <c r="B47" s="404"/>
      <c r="C47" s="394" t="s">
        <v>106</v>
      </c>
      <c r="D47" s="394"/>
      <c r="E47" s="402"/>
      <c r="F47" s="402"/>
    </row>
    <row r="48" spans="1:6">
      <c r="A48" s="405" t="s">
        <v>107</v>
      </c>
      <c r="B48" s="406"/>
      <c r="C48" s="394"/>
      <c r="D48" s="394"/>
      <c r="E48" s="402"/>
      <c r="F48" s="402"/>
    </row>
    <row r="49" spans="1:6">
      <c r="A49" s="407"/>
      <c r="B49" s="231"/>
      <c r="C49" s="394" t="s">
        <v>106</v>
      </c>
      <c r="D49" s="394"/>
      <c r="E49" s="402"/>
      <c r="F49" s="402"/>
    </row>
    <row r="50" spans="1:6">
      <c r="A50" s="405" t="s">
        <v>321</v>
      </c>
      <c r="B50" s="406" t="s">
        <v>320</v>
      </c>
      <c r="C50" s="499" t="s">
        <v>109</v>
      </c>
      <c r="D50" s="500"/>
      <c r="E50" s="500"/>
      <c r="F50" s="500"/>
    </row>
    <row r="51" spans="1:6">
      <c r="A51" s="200" t="s">
        <v>108</v>
      </c>
      <c r="B51" s="182"/>
      <c r="C51" s="182"/>
      <c r="D51" s="182"/>
      <c r="E51" s="185"/>
      <c r="F51" s="182"/>
    </row>
    <row r="52" spans="1:6">
      <c r="A52" s="201"/>
      <c r="B52" s="202"/>
      <c r="C52" s="202"/>
      <c r="D52" s="202"/>
      <c r="E52" s="202"/>
      <c r="F52" s="202"/>
    </row>
    <row r="53" spans="1:6">
      <c r="A53" s="203"/>
      <c r="B53" s="203"/>
      <c r="C53" s="203"/>
      <c r="D53" s="203"/>
      <c r="E53" s="203"/>
      <c r="F53" s="203"/>
    </row>
    <row r="54" spans="1:6">
      <c r="A54" s="203"/>
      <c r="B54" s="203"/>
      <c r="C54" s="203"/>
      <c r="D54" s="203"/>
      <c r="E54" s="203"/>
      <c r="F54" s="203"/>
    </row>
  </sheetData>
  <mergeCells count="4">
    <mergeCell ref="A3:F3"/>
    <mergeCell ref="A5:F5"/>
    <mergeCell ref="F41:F42"/>
    <mergeCell ref="C50:F50"/>
  </mergeCells>
  <pageMargins left="0.25" right="0.25" top="0.25" bottom="0.25" header="0.3" footer="0.3"/>
  <pageSetup orientation="portrait" r:id="rId1"/>
</worksheet>
</file>

<file path=xl/worksheets/sheet5.xml><?xml version="1.0" encoding="utf-8"?>
<worksheet xmlns="http://schemas.openxmlformats.org/spreadsheetml/2006/main" xmlns:r="http://schemas.openxmlformats.org/officeDocument/2006/relationships">
  <dimension ref="A1:J46"/>
  <sheetViews>
    <sheetView topLeftCell="A25" workbookViewId="0">
      <selection activeCell="J48" sqref="J48"/>
    </sheetView>
  </sheetViews>
  <sheetFormatPr defaultRowHeight="15"/>
  <cols>
    <col min="5" max="5" width="10.140625" customWidth="1"/>
    <col min="7" max="7" width="15.85546875" customWidth="1"/>
    <col min="10" max="10" width="12" customWidth="1"/>
  </cols>
  <sheetData>
    <row r="1" spans="1:10">
      <c r="A1" s="182"/>
      <c r="B1" s="182"/>
      <c r="C1" s="234" t="str">
        <f>[1]inputPrYr!D2</f>
        <v>City of Delphos</v>
      </c>
      <c r="D1" s="182"/>
      <c r="E1" s="182"/>
      <c r="F1" s="182"/>
      <c r="G1" s="182"/>
      <c r="H1" s="182"/>
      <c r="I1" s="182"/>
      <c r="J1" s="182">
        <f>[1]inputPrYr!$C$5</f>
        <v>2013</v>
      </c>
    </row>
    <row r="2" spans="1:10">
      <c r="A2" s="182"/>
      <c r="B2" s="182"/>
      <c r="C2" s="182"/>
      <c r="D2" s="182"/>
      <c r="E2" s="182"/>
      <c r="F2" s="182"/>
      <c r="G2" s="182"/>
      <c r="H2" s="182"/>
      <c r="I2" s="182"/>
      <c r="J2" s="182"/>
    </row>
    <row r="3" spans="1:10">
      <c r="A3" s="501" t="str">
        <f>CONCATENATE("Computation to Determine Limit for ",J1,"")</f>
        <v>Computation to Determine Limit for 2013</v>
      </c>
      <c r="B3" s="502"/>
      <c r="C3" s="502"/>
      <c r="D3" s="502"/>
      <c r="E3" s="502"/>
      <c r="F3" s="502"/>
      <c r="G3" s="502"/>
      <c r="H3" s="502"/>
      <c r="I3" s="502"/>
      <c r="J3" s="502"/>
    </row>
    <row r="4" spans="1:10" ht="25.5">
      <c r="A4" s="182"/>
      <c r="B4" s="182"/>
      <c r="C4" s="182"/>
      <c r="D4" s="182"/>
      <c r="E4" s="502"/>
      <c r="F4" s="502"/>
      <c r="G4" s="502"/>
      <c r="H4" s="235"/>
      <c r="I4" s="182"/>
      <c r="J4" s="236" t="s">
        <v>114</v>
      </c>
    </row>
    <row r="5" spans="1:10">
      <c r="A5" s="237" t="s">
        <v>115</v>
      </c>
      <c r="B5" s="182" t="str">
        <f>CONCATENATE("Total Tax Levy Amount in ",J1-1," Budget")</f>
        <v>Total Tax Levy Amount in 2012 Budget</v>
      </c>
      <c r="C5" s="182"/>
      <c r="D5" s="182"/>
      <c r="E5" s="210"/>
      <c r="F5" s="210"/>
      <c r="G5" s="210"/>
      <c r="H5" s="238" t="s">
        <v>116</v>
      </c>
      <c r="I5" s="210" t="s">
        <v>117</v>
      </c>
      <c r="J5" s="239">
        <f>[1]inputPrYr!E31</f>
        <v>81702</v>
      </c>
    </row>
    <row r="6" spans="1:10">
      <c r="A6" s="237" t="s">
        <v>118</v>
      </c>
      <c r="B6" s="182" t="str">
        <f>CONCATENATE("Debt Service Levy in ",J1-1," Budget")</f>
        <v>Debt Service Levy in 2012 Budget</v>
      </c>
      <c r="C6" s="182"/>
      <c r="D6" s="182"/>
      <c r="E6" s="210"/>
      <c r="F6" s="210"/>
      <c r="G6" s="210"/>
      <c r="H6" s="238" t="s">
        <v>119</v>
      </c>
      <c r="I6" s="210" t="s">
        <v>117</v>
      </c>
      <c r="J6" s="240">
        <f>[1]inputPrYr!E18</f>
        <v>0</v>
      </c>
    </row>
    <row r="7" spans="1:10">
      <c r="A7" s="237" t="s">
        <v>120</v>
      </c>
      <c r="B7" s="183" t="s">
        <v>121</v>
      </c>
      <c r="C7" s="182"/>
      <c r="D7" s="182"/>
      <c r="E7" s="210"/>
      <c r="F7" s="210"/>
      <c r="G7" s="210"/>
      <c r="H7" s="210"/>
      <c r="I7" s="210" t="s">
        <v>117</v>
      </c>
      <c r="J7" s="240">
        <f>J5-J6</f>
        <v>81702</v>
      </c>
    </row>
    <row r="8" spans="1:10">
      <c r="A8" s="182"/>
      <c r="B8" s="182"/>
      <c r="C8" s="182"/>
      <c r="D8" s="182"/>
      <c r="E8" s="210"/>
      <c r="F8" s="210"/>
      <c r="G8" s="210"/>
      <c r="H8" s="210"/>
      <c r="I8" s="210"/>
      <c r="J8" s="210"/>
    </row>
    <row r="9" spans="1:10">
      <c r="A9" s="182"/>
      <c r="B9" s="183" t="str">
        <f>CONCATENATE("",J1-1," Valuation Information for Valuation Adjustments:")</f>
        <v>2012 Valuation Information for Valuation Adjustments:</v>
      </c>
      <c r="C9" s="182"/>
      <c r="D9" s="182"/>
      <c r="E9" s="210"/>
      <c r="F9" s="210"/>
      <c r="G9" s="210"/>
      <c r="H9" s="210"/>
      <c r="I9" s="210"/>
      <c r="J9" s="210"/>
    </row>
    <row r="10" spans="1:10">
      <c r="A10" s="182"/>
      <c r="B10" s="182"/>
      <c r="C10" s="183"/>
      <c r="D10" s="182"/>
      <c r="E10" s="210"/>
      <c r="F10" s="210"/>
      <c r="G10" s="210"/>
      <c r="H10" s="210"/>
      <c r="I10" s="210"/>
      <c r="J10" s="210"/>
    </row>
    <row r="11" spans="1:10">
      <c r="A11" s="237" t="s">
        <v>122</v>
      </c>
      <c r="B11" s="183" t="str">
        <f>CONCATENATE("New Improvements for ",J1-1,":")</f>
        <v>New Improvements for 2012:</v>
      </c>
      <c r="C11" s="182"/>
      <c r="D11" s="182"/>
      <c r="E11" s="238"/>
      <c r="F11" s="238" t="s">
        <v>116</v>
      </c>
      <c r="G11" s="239">
        <f>[1]inputOth!E8</f>
        <v>1425</v>
      </c>
      <c r="H11" s="241"/>
      <c r="I11" s="210"/>
      <c r="J11" s="210"/>
    </row>
    <row r="12" spans="1:10">
      <c r="A12" s="237"/>
      <c r="B12" s="242"/>
      <c r="C12" s="182"/>
      <c r="D12" s="182"/>
      <c r="E12" s="238"/>
      <c r="F12" s="238"/>
      <c r="G12" s="241"/>
      <c r="H12" s="241"/>
      <c r="I12" s="210"/>
      <c r="J12" s="210"/>
    </row>
    <row r="13" spans="1:10">
      <c r="A13" s="237" t="s">
        <v>123</v>
      </c>
      <c r="B13" s="183" t="str">
        <f>CONCATENATE("Increase in Personal Property for ",J1-1,":")</f>
        <v>Increase in Personal Property for 2012:</v>
      </c>
      <c r="C13" s="182"/>
      <c r="D13" s="182"/>
      <c r="E13" s="238"/>
      <c r="F13" s="238"/>
      <c r="G13" s="241"/>
      <c r="H13" s="241"/>
      <c r="I13" s="210"/>
      <c r="J13" s="210"/>
    </row>
    <row r="14" spans="1:10">
      <c r="A14" s="184"/>
      <c r="B14" s="182" t="s">
        <v>124</v>
      </c>
      <c r="C14" s="182" t="str">
        <f>CONCATENATE("Personal Property ",J1-1,"")</f>
        <v>Personal Property 2012</v>
      </c>
      <c r="D14" s="242" t="s">
        <v>116</v>
      </c>
      <c r="E14" s="239">
        <f>[1]inputOth!E9</f>
        <v>88241</v>
      </c>
      <c r="F14" s="238"/>
      <c r="G14" s="210"/>
      <c r="H14" s="210"/>
      <c r="I14" s="241"/>
      <c r="J14" s="210"/>
    </row>
    <row r="15" spans="1:10">
      <c r="A15" s="242"/>
      <c r="B15" s="182" t="s">
        <v>125</v>
      </c>
      <c r="C15" s="182" t="str">
        <f>CONCATENATE("Personal Property ",J1-2,"")</f>
        <v>Personal Property 2011</v>
      </c>
      <c r="D15" s="242" t="s">
        <v>119</v>
      </c>
      <c r="E15" s="240">
        <f>[1]inputOth!E15</f>
        <v>68403</v>
      </c>
      <c r="F15" s="238"/>
      <c r="G15" s="241"/>
      <c r="H15" s="241"/>
      <c r="I15" s="210"/>
      <c r="J15" s="210"/>
    </row>
    <row r="16" spans="1:10">
      <c r="A16" s="242"/>
      <c r="B16" s="182" t="s">
        <v>126</v>
      </c>
      <c r="C16" s="182" t="s">
        <v>127</v>
      </c>
      <c r="D16" s="182"/>
      <c r="E16" s="210"/>
      <c r="F16" s="210" t="s">
        <v>116</v>
      </c>
      <c r="G16" s="239">
        <f>IF(E14&gt;E15,E14-E15,0)</f>
        <v>19838</v>
      </c>
      <c r="H16" s="241"/>
      <c r="I16" s="210"/>
      <c r="J16" s="210"/>
    </row>
    <row r="17" spans="1:10">
      <c r="A17" s="242"/>
      <c r="B17" s="242"/>
      <c r="C17" s="182"/>
      <c r="D17" s="182"/>
      <c r="E17" s="210"/>
      <c r="F17" s="210"/>
      <c r="G17" s="241" t="s">
        <v>128</v>
      </c>
      <c r="H17" s="241"/>
      <c r="I17" s="210"/>
      <c r="J17" s="210"/>
    </row>
    <row r="18" spans="1:10">
      <c r="A18" s="242" t="s">
        <v>129</v>
      </c>
      <c r="B18" s="183" t="str">
        <f>CONCATENATE("Valuation of annexed territory for ",J1-1,":")</f>
        <v>Valuation of annexed territory for 2012:</v>
      </c>
      <c r="C18" s="182"/>
      <c r="D18" s="182"/>
      <c r="E18" s="241"/>
      <c r="F18" s="210"/>
      <c r="G18" s="210"/>
      <c r="H18" s="210"/>
      <c r="I18" s="210"/>
      <c r="J18" s="210"/>
    </row>
    <row r="19" spans="1:10">
      <c r="A19" s="242"/>
      <c r="B19" s="182" t="s">
        <v>130</v>
      </c>
      <c r="C19" s="182" t="s">
        <v>131</v>
      </c>
      <c r="D19" s="242" t="s">
        <v>116</v>
      </c>
      <c r="E19" s="239">
        <f>[1]inputOth!E11</f>
        <v>0</v>
      </c>
      <c r="F19" s="210"/>
      <c r="G19" s="210"/>
      <c r="H19" s="210"/>
      <c r="I19" s="210"/>
      <c r="J19" s="210"/>
    </row>
    <row r="20" spans="1:10">
      <c r="A20" s="242"/>
      <c r="B20" s="182" t="s">
        <v>132</v>
      </c>
      <c r="C20" s="182" t="s">
        <v>133</v>
      </c>
      <c r="D20" s="242" t="s">
        <v>116</v>
      </c>
      <c r="E20" s="239">
        <f>[1]inputOth!E12</f>
        <v>0</v>
      </c>
      <c r="F20" s="210"/>
      <c r="G20" s="241"/>
      <c r="H20" s="241"/>
      <c r="I20" s="210"/>
      <c r="J20" s="210"/>
    </row>
    <row r="21" spans="1:10">
      <c r="A21" s="242"/>
      <c r="B21" s="182" t="s">
        <v>134</v>
      </c>
      <c r="C21" s="182" t="s">
        <v>135</v>
      </c>
      <c r="D21" s="242" t="s">
        <v>119</v>
      </c>
      <c r="E21" s="239">
        <f>[1]inputOth!E13</f>
        <v>0</v>
      </c>
      <c r="F21" s="210"/>
      <c r="G21" s="241"/>
      <c r="H21" s="241"/>
      <c r="I21" s="210"/>
      <c r="J21" s="210"/>
    </row>
    <row r="22" spans="1:10">
      <c r="A22" s="242"/>
      <c r="B22" s="182" t="s">
        <v>136</v>
      </c>
      <c r="C22" s="182" t="s">
        <v>137</v>
      </c>
      <c r="D22" s="242"/>
      <c r="E22" s="241"/>
      <c r="F22" s="210" t="s">
        <v>116</v>
      </c>
      <c r="G22" s="239">
        <f>E19+E20-E21</f>
        <v>0</v>
      </c>
      <c r="H22" s="241"/>
      <c r="I22" s="210"/>
      <c r="J22" s="210"/>
    </row>
    <row r="23" spans="1:10">
      <c r="A23" s="242"/>
      <c r="B23" s="242"/>
      <c r="C23" s="182"/>
      <c r="D23" s="242"/>
      <c r="E23" s="241"/>
      <c r="F23" s="210"/>
      <c r="G23" s="241"/>
      <c r="H23" s="241"/>
      <c r="I23" s="210"/>
      <c r="J23" s="210"/>
    </row>
    <row r="24" spans="1:10">
      <c r="A24" s="242" t="s">
        <v>138</v>
      </c>
      <c r="B24" s="183" t="str">
        <f>CONCATENATE("Valuation of Property that has Changed in Use during ",J1-1,":")</f>
        <v>Valuation of Property that has Changed in Use during 2012:</v>
      </c>
      <c r="C24" s="182"/>
      <c r="D24" s="182"/>
      <c r="E24" s="210"/>
      <c r="F24" s="210"/>
      <c r="G24" s="210">
        <f>[1]inputOth!E14</f>
        <v>1968</v>
      </c>
      <c r="H24" s="210"/>
      <c r="I24" s="210"/>
      <c r="J24" s="210"/>
    </row>
    <row r="25" spans="1:10">
      <c r="A25" s="182" t="s">
        <v>86</v>
      </c>
      <c r="B25" s="182"/>
      <c r="C25" s="182"/>
      <c r="D25" s="242"/>
      <c r="E25" s="241"/>
      <c r="F25" s="210"/>
      <c r="G25" s="243"/>
      <c r="H25" s="241"/>
      <c r="I25" s="210"/>
      <c r="J25" s="210"/>
    </row>
    <row r="26" spans="1:10">
      <c r="A26" s="242" t="s">
        <v>139</v>
      </c>
      <c r="B26" s="183" t="s">
        <v>322</v>
      </c>
      <c r="C26" s="182"/>
      <c r="D26" s="182"/>
      <c r="E26" s="210"/>
      <c r="F26" s="210"/>
      <c r="G26" s="239">
        <f>G11+G16+G22+G24</f>
        <v>23231</v>
      </c>
      <c r="H26" s="241"/>
      <c r="I26" s="210"/>
      <c r="J26" s="210"/>
    </row>
    <row r="27" spans="1:10">
      <c r="A27" s="242"/>
      <c r="B27" s="242"/>
      <c r="C27" s="183"/>
      <c r="D27" s="182"/>
      <c r="E27" s="210"/>
      <c r="F27" s="210"/>
      <c r="G27" s="241"/>
      <c r="H27" s="241"/>
      <c r="I27" s="210"/>
      <c r="J27" s="210"/>
    </row>
    <row r="28" spans="1:10">
      <c r="A28" s="242" t="s">
        <v>140</v>
      </c>
      <c r="B28" s="182" t="str">
        <f>CONCATENATE("Total Estimated Valuation July 1, ",J1-1,"")</f>
        <v>Total Estimated Valuation July 1, 2012</v>
      </c>
      <c r="C28" s="182"/>
      <c r="D28" s="182"/>
      <c r="E28" s="239">
        <f>[1]inputOth!E7</f>
        <v>1549203</v>
      </c>
      <c r="F28" s="210"/>
      <c r="G28" s="210"/>
      <c r="H28" s="210"/>
      <c r="I28" s="238"/>
      <c r="J28" s="210"/>
    </row>
    <row r="29" spans="1:10">
      <c r="A29" s="242"/>
      <c r="B29" s="242"/>
      <c r="C29" s="182"/>
      <c r="D29" s="182"/>
      <c r="E29" s="241"/>
      <c r="F29" s="210"/>
      <c r="G29" s="210"/>
      <c r="H29" s="210"/>
      <c r="I29" s="238"/>
      <c r="J29" s="210"/>
    </row>
    <row r="30" spans="1:10">
      <c r="A30" s="242" t="s">
        <v>141</v>
      </c>
      <c r="B30" s="183" t="s">
        <v>142</v>
      </c>
      <c r="C30" s="182"/>
      <c r="D30" s="182"/>
      <c r="E30" s="210"/>
      <c r="F30" s="210"/>
      <c r="G30" s="239">
        <f>E28-G26</f>
        <v>1525972</v>
      </c>
      <c r="H30" s="241"/>
      <c r="I30" s="238"/>
      <c r="J30" s="210"/>
    </row>
    <row r="31" spans="1:10">
      <c r="A31" s="242"/>
      <c r="B31" s="242"/>
      <c r="C31" s="183"/>
      <c r="D31" s="182"/>
      <c r="E31" s="182"/>
      <c r="F31" s="182"/>
      <c r="G31" s="244"/>
      <c r="H31" s="198"/>
      <c r="I31" s="242"/>
      <c r="J31" s="182"/>
    </row>
    <row r="32" spans="1:10">
      <c r="A32" s="242" t="s">
        <v>143</v>
      </c>
      <c r="B32" s="182" t="s">
        <v>144</v>
      </c>
      <c r="C32" s="182"/>
      <c r="D32" s="182"/>
      <c r="E32" s="182"/>
      <c r="F32" s="182"/>
      <c r="G32" s="245">
        <f>IF(G30&gt;0,G26/G30,0)</f>
        <v>1.5223739360879491E-2</v>
      </c>
      <c r="H32" s="198"/>
      <c r="I32" s="182"/>
      <c r="J32" s="182"/>
    </row>
    <row r="33" spans="1:10">
      <c r="A33" s="242"/>
      <c r="B33" s="242"/>
      <c r="C33" s="182"/>
      <c r="D33" s="182"/>
      <c r="E33" s="182"/>
      <c r="F33" s="182"/>
      <c r="G33" s="198"/>
      <c r="H33" s="198"/>
      <c r="I33" s="182"/>
      <c r="J33" s="182"/>
    </row>
    <row r="34" spans="1:10">
      <c r="A34" s="242" t="s">
        <v>145</v>
      </c>
      <c r="B34" s="182" t="s">
        <v>146</v>
      </c>
      <c r="C34" s="182"/>
      <c r="D34" s="182"/>
      <c r="E34" s="182"/>
      <c r="F34" s="182"/>
      <c r="G34" s="198"/>
      <c r="H34" s="246" t="s">
        <v>116</v>
      </c>
      <c r="I34" s="182" t="s">
        <v>117</v>
      </c>
      <c r="J34" s="239">
        <f>ROUND(G32*J7,0)</f>
        <v>1244</v>
      </c>
    </row>
    <row r="35" spans="1:10">
      <c r="A35" s="242"/>
      <c r="B35" s="242"/>
      <c r="C35" s="182"/>
      <c r="D35" s="182"/>
      <c r="E35" s="182"/>
      <c r="F35" s="182"/>
      <c r="G35" s="198"/>
      <c r="H35" s="246"/>
      <c r="I35" s="182"/>
      <c r="J35" s="241"/>
    </row>
    <row r="36" spans="1:10" ht="15.75" thickBot="1">
      <c r="A36" s="242" t="s">
        <v>147</v>
      </c>
      <c r="B36" s="183" t="s">
        <v>148</v>
      </c>
      <c r="C36" s="182"/>
      <c r="D36" s="182"/>
      <c r="E36" s="182"/>
      <c r="F36" s="182"/>
      <c r="G36" s="182"/>
      <c r="H36" s="182"/>
      <c r="I36" s="182" t="s">
        <v>117</v>
      </c>
      <c r="J36" s="247">
        <f>J7+J34</f>
        <v>82946</v>
      </c>
    </row>
    <row r="37" spans="1:10" ht="15.75" thickTop="1">
      <c r="A37" s="182"/>
      <c r="B37" s="182"/>
      <c r="C37" s="182"/>
      <c r="D37" s="182"/>
      <c r="E37" s="182"/>
      <c r="F37" s="182"/>
      <c r="G37" s="182"/>
      <c r="H37" s="182"/>
      <c r="I37" s="182"/>
      <c r="J37" s="182"/>
    </row>
    <row r="38" spans="1:10">
      <c r="A38" s="242" t="s">
        <v>149</v>
      </c>
      <c r="B38" s="183" t="str">
        <f>CONCATENATE("Debt Service Levy in this ",J1," Budget")</f>
        <v>Debt Service Levy in this 2013 Budget</v>
      </c>
      <c r="C38" s="182"/>
      <c r="D38" s="182"/>
      <c r="E38" s="182"/>
      <c r="F38" s="182"/>
      <c r="G38" s="182"/>
      <c r="H38" s="182"/>
      <c r="I38" s="182"/>
      <c r="J38" s="248">
        <f>'[1]DebtSvs-Library'!E40</f>
        <v>0</v>
      </c>
    </row>
    <row r="39" spans="1:10">
      <c r="A39" s="242"/>
      <c r="B39" s="183"/>
      <c r="C39" s="182"/>
      <c r="D39" s="182"/>
      <c r="E39" s="182"/>
      <c r="F39" s="182"/>
      <c r="G39" s="182"/>
      <c r="H39" s="182"/>
      <c r="I39" s="182"/>
      <c r="J39" s="198"/>
    </row>
    <row r="40" spans="1:10" ht="15.75" thickBot="1">
      <c r="A40" s="242" t="s">
        <v>150</v>
      </c>
      <c r="B40" s="183" t="s">
        <v>151</v>
      </c>
      <c r="C40" s="182"/>
      <c r="D40" s="182"/>
      <c r="E40" s="182"/>
      <c r="F40" s="182"/>
      <c r="G40" s="182"/>
      <c r="H40" s="182"/>
      <c r="I40" s="182"/>
      <c r="J40" s="247">
        <f>J36+J38</f>
        <v>82946</v>
      </c>
    </row>
    <row r="41" spans="1:10" ht="15.75" thickTop="1">
      <c r="A41" s="182"/>
      <c r="B41" s="182"/>
      <c r="C41" s="182"/>
      <c r="D41" s="182"/>
      <c r="E41" s="182"/>
      <c r="F41" s="182"/>
      <c r="G41" s="182"/>
      <c r="H41" s="182"/>
      <c r="I41" s="182"/>
      <c r="J41" s="182"/>
    </row>
    <row r="42" spans="1:10">
      <c r="A42" s="503" t="str">
        <f>CONCATENATE("If the ",J1," budget includes tax levies exceeding the total on line 15, you must")</f>
        <v>If the 2013 budget includes tax levies exceeding the total on line 15, you must</v>
      </c>
      <c r="B42" s="503"/>
      <c r="C42" s="503"/>
      <c r="D42" s="503"/>
      <c r="E42" s="503"/>
      <c r="F42" s="503"/>
      <c r="G42" s="503"/>
      <c r="H42" s="503"/>
      <c r="I42" s="503"/>
      <c r="J42" s="503"/>
    </row>
    <row r="43" spans="1:10">
      <c r="A43" s="504" t="s">
        <v>152</v>
      </c>
      <c r="B43" s="504"/>
      <c r="C43" s="504"/>
      <c r="D43" s="504"/>
      <c r="E43" s="504"/>
      <c r="F43" s="504"/>
      <c r="G43" s="504"/>
      <c r="H43" s="504"/>
      <c r="I43" s="504"/>
      <c r="J43" s="504"/>
    </row>
    <row r="44" spans="1:10">
      <c r="A44" s="503" t="s">
        <v>153</v>
      </c>
      <c r="B44" s="503"/>
      <c r="C44" s="503"/>
      <c r="D44" s="503"/>
      <c r="E44" s="505"/>
      <c r="F44" s="503"/>
      <c r="G44" s="503"/>
      <c r="H44" s="503"/>
      <c r="I44" s="503"/>
      <c r="J44" s="503"/>
    </row>
    <row r="45" spans="1:10">
      <c r="A45" s="249"/>
      <c r="B45" s="249"/>
      <c r="C45" s="249"/>
      <c r="D45" s="249"/>
      <c r="E45" s="249"/>
      <c r="F45" s="249"/>
      <c r="G45" s="249"/>
      <c r="H45" s="249"/>
      <c r="I45" s="249"/>
      <c r="J45" s="249"/>
    </row>
    <row r="46" spans="1:10">
      <c r="A46" s="249"/>
      <c r="B46" s="249"/>
      <c r="C46" s="249"/>
      <c r="D46" s="249"/>
      <c r="E46" s="249" t="s">
        <v>313</v>
      </c>
      <c r="F46" s="249"/>
      <c r="G46" s="249"/>
      <c r="H46" s="249"/>
      <c r="I46" s="249"/>
      <c r="J46" s="249"/>
    </row>
  </sheetData>
  <mergeCells count="5">
    <mergeCell ref="A3:J3"/>
    <mergeCell ref="E4:G4"/>
    <mergeCell ref="A42:J42"/>
    <mergeCell ref="A43:J43"/>
    <mergeCell ref="A44:J44"/>
  </mergeCells>
  <pageMargins left="0.2" right="0.2" top="0.5" bottom="0.5" header="0.3" footer="0.3"/>
  <pageSetup orientation="portrait" r:id="rId1"/>
</worksheet>
</file>

<file path=xl/worksheets/sheet6.xml><?xml version="1.0" encoding="utf-8"?>
<worksheet xmlns="http://schemas.openxmlformats.org/spreadsheetml/2006/main" xmlns:r="http://schemas.openxmlformats.org/officeDocument/2006/relationships">
  <dimension ref="A1:G31"/>
  <sheetViews>
    <sheetView topLeftCell="A10" workbookViewId="0">
      <selection activeCell="A62" sqref="A62"/>
    </sheetView>
  </sheetViews>
  <sheetFormatPr defaultRowHeight="15"/>
  <cols>
    <col min="2" max="2" width="23.5703125" customWidth="1"/>
    <col min="3" max="3" width="18.42578125" customWidth="1"/>
    <col min="4" max="4" width="14.42578125" customWidth="1"/>
    <col min="6" max="6" width="12.140625" customWidth="1"/>
  </cols>
  <sheetData>
    <row r="1" spans="1:7" ht="15.75">
      <c r="A1" s="135"/>
      <c r="B1" s="134" t="str">
        <f>[1]inputPrYr!D2</f>
        <v>City of Delphos</v>
      </c>
      <c r="C1" s="134"/>
      <c r="D1" s="2"/>
      <c r="E1" s="2"/>
      <c r="F1" s="2"/>
      <c r="G1" s="2"/>
    </row>
    <row r="2" spans="1:7" ht="15.75">
      <c r="A2" s="135"/>
      <c r="B2" s="2"/>
      <c r="C2" s="2"/>
      <c r="D2" s="2"/>
      <c r="E2" s="2"/>
      <c r="F2" s="2"/>
      <c r="G2" s="2">
        <f>[1]inputPrYr!$C$5</f>
        <v>2013</v>
      </c>
    </row>
    <row r="3" spans="1:7" ht="15.75">
      <c r="A3" s="135"/>
      <c r="B3" s="506" t="s">
        <v>154</v>
      </c>
      <c r="C3" s="506"/>
      <c r="D3" s="506"/>
      <c r="E3" s="506"/>
      <c r="F3" s="506"/>
      <c r="G3" s="2"/>
    </row>
    <row r="4" spans="1:7" ht="15.75">
      <c r="A4" s="135"/>
      <c r="B4" s="2"/>
      <c r="C4" s="136"/>
      <c r="D4" s="137"/>
      <c r="E4" s="137"/>
      <c r="F4" s="2"/>
      <c r="G4" s="2"/>
    </row>
    <row r="5" spans="1:7" ht="15.75">
      <c r="A5" s="135"/>
      <c r="B5" s="138" t="s">
        <v>155</v>
      </c>
      <c r="C5" s="139" t="s">
        <v>156</v>
      </c>
      <c r="D5" s="507" t="str">
        <f>CONCATENATE("Allocation for Year ",G2,"")</f>
        <v>Allocation for Year 2013</v>
      </c>
      <c r="E5" s="508"/>
      <c r="F5" s="509"/>
      <c r="G5" s="140"/>
    </row>
    <row r="6" spans="1:7" ht="15.75">
      <c r="A6" s="135"/>
      <c r="B6" s="141" t="str">
        <f>CONCATENATE("for ",G2-1,"")</f>
        <v>for 2012</v>
      </c>
      <c r="C6" s="141" t="str">
        <f>CONCATENATE("Amount for ",G2-2,"")</f>
        <v>Amount for 2011</v>
      </c>
      <c r="D6" s="126" t="s">
        <v>157</v>
      </c>
      <c r="E6" s="126" t="s">
        <v>158</v>
      </c>
      <c r="F6" s="126" t="s">
        <v>159</v>
      </c>
      <c r="G6" s="142"/>
    </row>
    <row r="7" spans="1:7" ht="15.75">
      <c r="A7" s="135"/>
      <c r="B7" s="50" t="str">
        <f>([1]inputPrYr!B17)</f>
        <v>General</v>
      </c>
      <c r="C7" s="128">
        <f>([1]inputPrYr!E17)</f>
        <v>77168</v>
      </c>
      <c r="D7" s="128">
        <f>IF([1]inputOth!E39=0,0,D22-SUM(D8:D19))</f>
        <v>14960.29</v>
      </c>
      <c r="E7" s="128">
        <f>IF([1]inputOth!E40=0,0,E23-SUM(E8:E19))</f>
        <v>287</v>
      </c>
      <c r="F7" s="128">
        <f>IF([1]inputOth!E41=0,0,F24-SUM(F8:F19))</f>
        <v>664</v>
      </c>
      <c r="G7" s="140"/>
    </row>
    <row r="8" spans="1:7" ht="15.75">
      <c r="A8" s="135"/>
      <c r="B8" s="50" t="str">
        <f>IF([1]inputPrYr!$B18&gt;"  ",([1]inputPrYr!$B18),"  ")</f>
        <v>Debt Service</v>
      </c>
      <c r="C8" s="128" t="str">
        <f>IF([1]inputPrYr!$E18&gt;0,([1]inputPrYr!$E18),"  ")</f>
        <v xml:space="preserve">  </v>
      </c>
      <c r="D8" s="128" t="str">
        <f>IF([1]inputPrYr!E18&gt;0,ROUND(C8*$D$27,0),"  ")</f>
        <v xml:space="preserve">  </v>
      </c>
      <c r="E8" s="128" t="str">
        <f>IF([1]inputPrYr!E18&gt;0,ROUND(+C8*E$28,0)," ")</f>
        <v xml:space="preserve"> </v>
      </c>
      <c r="F8" s="128" t="str">
        <f>IF([1]inputPrYr!E18&gt;0,ROUND(+C8*F$29,0)," ")</f>
        <v xml:space="preserve"> </v>
      </c>
      <c r="G8" s="140"/>
    </row>
    <row r="9" spans="1:7" ht="15.75">
      <c r="A9" s="135"/>
      <c r="B9" s="50" t="str">
        <f>IF([1]inputPrYr!$B19&gt;"  ",([1]inputPrYr!$B19),"  ")</f>
        <v>Library</v>
      </c>
      <c r="C9" s="128">
        <f>IF([1]inputPrYr!$E19&gt;0,([1]inputPrYr!$E19),"  ")</f>
        <v>4534</v>
      </c>
      <c r="D9" s="128">
        <f>IF([1]inputPrYr!E19&gt;0,ROUND(C9*$D$27,0),"  ")</f>
        <v>879</v>
      </c>
      <c r="E9" s="128">
        <f>IF([1]inputPrYr!E19&gt;0,ROUND(+C9*E$28,0)," ")</f>
        <v>17</v>
      </c>
      <c r="F9" s="128">
        <f>IF([1]inputPrYr!E19&gt;0,ROUND(+C9*F$29,0)," ")</f>
        <v>39</v>
      </c>
      <c r="G9" s="140"/>
    </row>
    <row r="10" spans="1:7" ht="15.75">
      <c r="A10" s="135"/>
      <c r="B10" s="50" t="str">
        <f>IF([1]inputPrYr!$B21&gt;"  ",([1]inputPrYr!$B21),"  ")</f>
        <v xml:space="preserve">  </v>
      </c>
      <c r="C10" s="128" t="str">
        <f>IF([1]inputPrYr!$E21&gt;0,([1]inputPrYr!$E21),"  ")</f>
        <v xml:space="preserve">  </v>
      </c>
      <c r="D10" s="128" t="str">
        <f>IF([1]inputPrYr!E21&gt;0,ROUND(C10*$D$27,0),"  ")</f>
        <v xml:space="preserve">  </v>
      </c>
      <c r="E10" s="128" t="str">
        <f>IF([1]inputPrYr!E21&gt;0,ROUND(+C10*E$28,0)," ")</f>
        <v xml:space="preserve"> </v>
      </c>
      <c r="F10" s="128" t="str">
        <f>IF([1]inputPrYr!E21&gt;0,ROUND(+C10*F$29,0)," ")</f>
        <v xml:space="preserve"> </v>
      </c>
      <c r="G10" s="140"/>
    </row>
    <row r="11" spans="1:7" ht="15.75">
      <c r="A11" s="135"/>
      <c r="B11" s="50" t="str">
        <f>IF([1]inputPrYr!$B22&gt;"  ",([1]inputPrYr!$B22),"  ")</f>
        <v xml:space="preserve">  </v>
      </c>
      <c r="C11" s="128" t="str">
        <f>IF([1]inputPrYr!$E22&gt;0,([1]inputPrYr!$E22),"  ")</f>
        <v xml:space="preserve">  </v>
      </c>
      <c r="D11" s="128" t="str">
        <f>IF([1]inputPrYr!E22&gt;0,ROUND(C11*$D$27,0),"  ")</f>
        <v xml:space="preserve">  </v>
      </c>
      <c r="E11" s="128" t="str">
        <f>IF([1]inputPrYr!E22&gt;0,ROUND(+C11*E$28,0)," ")</f>
        <v xml:space="preserve"> </v>
      </c>
      <c r="F11" s="128" t="str">
        <f>IF([1]inputPrYr!E22&gt;0,ROUND(+C11*F$29,0)," ")</f>
        <v xml:space="preserve"> </v>
      </c>
      <c r="G11" s="140"/>
    </row>
    <row r="12" spans="1:7" ht="15.75">
      <c r="A12" s="135"/>
      <c r="B12" s="50" t="str">
        <f>IF([1]inputPrYr!$B23&gt;"  ",([1]inputPrYr!$B23),"  ")</f>
        <v xml:space="preserve">  </v>
      </c>
      <c r="C12" s="128" t="str">
        <f>IF([1]inputPrYr!$E23&gt;0,([1]inputPrYr!$E23),"  ")</f>
        <v xml:space="preserve">  </v>
      </c>
      <c r="D12" s="128" t="str">
        <f>IF([1]inputPrYr!E23&gt;0,ROUND(C12*$D$27,0),"  ")</f>
        <v xml:space="preserve">  </v>
      </c>
      <c r="E12" s="128" t="str">
        <f>IF([1]inputPrYr!E23&gt;0,ROUND(+C12*E$28,0)," ")</f>
        <v xml:space="preserve"> </v>
      </c>
      <c r="F12" s="128" t="str">
        <f>IF([1]inputPrYr!E23&gt;0,ROUND(+C12*F$29,0)," ")</f>
        <v xml:space="preserve"> </v>
      </c>
      <c r="G12" s="140"/>
    </row>
    <row r="13" spans="1:7" ht="15.75">
      <c r="A13" s="135"/>
      <c r="B13" s="50" t="str">
        <f>IF([1]inputPrYr!$B24&gt;"  ",([1]inputPrYr!$B24),"  ")</f>
        <v xml:space="preserve">  </v>
      </c>
      <c r="C13" s="128" t="str">
        <f>IF([1]inputPrYr!$E24&gt;0,([1]inputPrYr!$E24),"  ")</f>
        <v xml:space="preserve">  </v>
      </c>
      <c r="D13" s="128" t="str">
        <f>IF([1]inputPrYr!E24&gt;0,ROUND(C13*$D$27,0),"  ")</f>
        <v xml:space="preserve">  </v>
      </c>
      <c r="E13" s="128" t="str">
        <f>IF([1]inputPrYr!E24&gt;0,ROUND(+C13*E$28,0)," ")</f>
        <v xml:space="preserve"> </v>
      </c>
      <c r="F13" s="128" t="str">
        <f>IF([1]inputPrYr!E24&gt;0,ROUND(+C13*F$29,0)," ")</f>
        <v xml:space="preserve"> </v>
      </c>
      <c r="G13" s="140"/>
    </row>
    <row r="14" spans="1:7" ht="15.75">
      <c r="A14" s="135"/>
      <c r="B14" s="50" t="str">
        <f>IF([1]inputPrYr!$B25&gt;"  ",([1]inputPrYr!$B25),"  ")</f>
        <v xml:space="preserve">  </v>
      </c>
      <c r="C14" s="128" t="str">
        <f>IF([1]inputPrYr!$E25&gt;0,([1]inputPrYr!$E25),"  ")</f>
        <v xml:space="preserve">  </v>
      </c>
      <c r="D14" s="128" t="str">
        <f>IF([1]inputPrYr!E25&gt;0,ROUND(C14*$D$27,0),"  ")</f>
        <v xml:space="preserve">  </v>
      </c>
      <c r="E14" s="128" t="str">
        <f>IF([1]inputPrYr!E25&gt;0,ROUND(+C14*E$28,0)," ")</f>
        <v xml:space="preserve"> </v>
      </c>
      <c r="F14" s="128" t="str">
        <f>IF([1]inputPrYr!E25&gt;0,ROUND(+C14*F$29,0)," ")</f>
        <v xml:space="preserve"> </v>
      </c>
      <c r="G14" s="140"/>
    </row>
    <row r="15" spans="1:7" ht="15.75">
      <c r="A15" s="135"/>
      <c r="B15" s="50" t="str">
        <f>IF([1]inputPrYr!$B26&gt;"  ",([1]inputPrYr!$B26),"  ")</f>
        <v xml:space="preserve">  </v>
      </c>
      <c r="C15" s="128" t="str">
        <f>IF([1]inputPrYr!$E26&gt;0,([1]inputPrYr!$E26),"  ")</f>
        <v xml:space="preserve">  </v>
      </c>
      <c r="D15" s="128" t="str">
        <f>IF([1]inputPrYr!E26&gt;0,ROUND(C15*$D$27,0),"  ")</f>
        <v xml:space="preserve">  </v>
      </c>
      <c r="E15" s="128" t="str">
        <f>IF([1]inputPrYr!E26&gt;0,ROUND(+C15*E$28,0)," ")</f>
        <v xml:space="preserve"> </v>
      </c>
      <c r="F15" s="128" t="str">
        <f>IF([1]inputPrYr!E26&gt;0,ROUND(+C15*F$29,0)," ")</f>
        <v xml:space="preserve"> </v>
      </c>
      <c r="G15" s="140"/>
    </row>
    <row r="16" spans="1:7" ht="15.75">
      <c r="A16" s="135"/>
      <c r="B16" s="50" t="str">
        <f>IF([1]inputPrYr!$B27&gt;"  ",([1]inputPrYr!$B27),"  ")</f>
        <v xml:space="preserve">  </v>
      </c>
      <c r="C16" s="128" t="str">
        <f>IF([1]inputPrYr!$E27&gt;0,([1]inputPrYr!$E27),"  ")</f>
        <v xml:space="preserve">  </v>
      </c>
      <c r="D16" s="128" t="str">
        <f>IF([1]inputPrYr!E27&gt;0,ROUND(C16*$D$27,0),"  ")</f>
        <v xml:space="preserve">  </v>
      </c>
      <c r="E16" s="128" t="str">
        <f>IF([1]inputPrYr!E27&gt;0,ROUND(+C16*E$28,0)," ")</f>
        <v xml:space="preserve"> </v>
      </c>
      <c r="F16" s="128" t="str">
        <f>IF([1]inputPrYr!E27&gt;0,ROUND(+C16*F$29,0)," ")</f>
        <v xml:space="preserve"> </v>
      </c>
      <c r="G16" s="140"/>
    </row>
    <row r="17" spans="1:7" ht="15.75">
      <c r="A17" s="135"/>
      <c r="B17" s="50" t="str">
        <f>IF([1]inputPrYr!$B28&gt;"  ",([1]inputPrYr!$B28),"  ")</f>
        <v xml:space="preserve">  </v>
      </c>
      <c r="C17" s="128" t="str">
        <f>IF([1]inputPrYr!$E28&gt;0,([1]inputPrYr!$E28),"  ")</f>
        <v xml:space="preserve">  </v>
      </c>
      <c r="D17" s="128" t="str">
        <f>IF([1]inputPrYr!E28&gt;0,ROUND(C17*$D$27,0),"  ")</f>
        <v xml:space="preserve">  </v>
      </c>
      <c r="E17" s="128" t="str">
        <f>IF([1]inputPrYr!E28&gt;0,ROUND(+C17*E$28,0)," ")</f>
        <v xml:space="preserve"> </v>
      </c>
      <c r="F17" s="128" t="str">
        <f>IF([1]inputPrYr!E28&gt;0,ROUND(+C17*F$29,0)," ")</f>
        <v xml:space="preserve"> </v>
      </c>
      <c r="G17" s="140"/>
    </row>
    <row r="18" spans="1:7" ht="15.75">
      <c r="A18" s="135"/>
      <c r="B18" s="50" t="str">
        <f>IF([1]inputPrYr!$B29&gt;"  ",([1]inputPrYr!$B29),"  ")</f>
        <v xml:space="preserve">  </v>
      </c>
      <c r="C18" s="128" t="str">
        <f>IF([1]inputPrYr!$E29&gt;0,([1]inputPrYr!$E29),"  ")</f>
        <v xml:space="preserve">  </v>
      </c>
      <c r="D18" s="128" t="str">
        <f>IF([1]inputPrYr!E29&gt;0,ROUND(C18*$D$27,0),"  ")</f>
        <v xml:space="preserve">  </v>
      </c>
      <c r="E18" s="128" t="str">
        <f>IF([1]inputPrYr!E29&gt;0,ROUND(+C18*E$28,0)," ")</f>
        <v xml:space="preserve"> </v>
      </c>
      <c r="F18" s="128" t="str">
        <f>IF([1]inputPrYr!E29&gt;0,ROUND(+C18*F$29,0)," ")</f>
        <v xml:space="preserve"> </v>
      </c>
      <c r="G18" s="140"/>
    </row>
    <row r="19" spans="1:7" ht="15.75">
      <c r="A19" s="135"/>
      <c r="B19" s="50" t="str">
        <f>IF([1]inputPrYr!$B30&gt;"  ",([1]inputPrYr!$B30),"  ")</f>
        <v xml:space="preserve">  </v>
      </c>
      <c r="C19" s="128" t="str">
        <f>IF([1]inputPrYr!$E30&gt;0,([1]inputPrYr!$E30),"  ")</f>
        <v xml:space="preserve">  </v>
      </c>
      <c r="D19" s="128" t="str">
        <f>IF([1]inputPrYr!E30&gt;0,ROUND(C19*$D$27,0),"  ")</f>
        <v xml:space="preserve">  </v>
      </c>
      <c r="E19" s="128" t="str">
        <f>IF([1]inputPrYr!E30&gt;0,ROUND(+C19*E$28,0)," ")</f>
        <v xml:space="preserve"> </v>
      </c>
      <c r="F19" s="128" t="str">
        <f>IF([1]inputPrYr!E30&gt;0,ROUND(+C19*F$29,0)," ")</f>
        <v xml:space="preserve"> </v>
      </c>
      <c r="G19" s="140"/>
    </row>
    <row r="20" spans="1:7" ht="15.75">
      <c r="A20" s="135"/>
      <c r="B20" s="143" t="s">
        <v>160</v>
      </c>
      <c r="C20" s="130">
        <f>SUM(C7:C19)</f>
        <v>81702</v>
      </c>
      <c r="D20" s="130">
        <f>SUM(D7:D19)</f>
        <v>15839.29</v>
      </c>
      <c r="E20" s="130">
        <f>SUM(E7:E19)</f>
        <v>304</v>
      </c>
      <c r="F20" s="130">
        <f>SUM(F7:F19)</f>
        <v>703</v>
      </c>
      <c r="G20" s="140"/>
    </row>
    <row r="21" spans="1:7" ht="15.75">
      <c r="A21" s="135"/>
      <c r="B21" s="2"/>
      <c r="C21" s="2"/>
      <c r="D21" s="2"/>
      <c r="E21" s="2"/>
      <c r="F21" s="2"/>
      <c r="G21" s="2"/>
    </row>
    <row r="22" spans="1:7" ht="15.75">
      <c r="A22" s="135"/>
      <c r="B22" s="8" t="s">
        <v>161</v>
      </c>
      <c r="C22" s="144"/>
      <c r="D22" s="145">
        <f>([1]inputOth!E39)</f>
        <v>15839.29</v>
      </c>
      <c r="E22" s="144"/>
      <c r="F22" s="2"/>
      <c r="G22" s="2"/>
    </row>
    <row r="23" spans="1:7" ht="15.75">
      <c r="A23" s="135"/>
      <c r="B23" s="8" t="s">
        <v>162</v>
      </c>
      <c r="C23" s="2"/>
      <c r="D23" s="2"/>
      <c r="E23" s="145">
        <f>([1]inputOth!E40)</f>
        <v>304</v>
      </c>
      <c r="F23" s="2"/>
      <c r="G23" s="2"/>
    </row>
    <row r="24" spans="1:7" ht="15.75">
      <c r="A24" s="135"/>
      <c r="B24" s="8" t="s">
        <v>163</v>
      </c>
      <c r="C24" s="2"/>
      <c r="D24" s="2"/>
      <c r="E24" s="2"/>
      <c r="F24" s="145">
        <f>[1]inputOth!E41</f>
        <v>703</v>
      </c>
      <c r="G24" s="2"/>
    </row>
    <row r="25" spans="1:7" ht="15.75">
      <c r="A25" s="135"/>
      <c r="B25" s="43"/>
      <c r="C25" s="41"/>
      <c r="D25" s="41"/>
      <c r="E25" s="41"/>
      <c r="F25" s="146"/>
      <c r="G25" s="39"/>
    </row>
    <row r="26" spans="1:7" ht="15.75">
      <c r="A26" s="135"/>
      <c r="B26" s="8"/>
      <c r="C26" s="2"/>
      <c r="D26" s="2"/>
      <c r="E26" s="2"/>
      <c r="F26" s="146"/>
      <c r="G26" s="2"/>
    </row>
    <row r="27" spans="1:7" ht="15.75">
      <c r="A27" s="135"/>
      <c r="B27" s="8" t="s">
        <v>164</v>
      </c>
      <c r="C27" s="2"/>
      <c r="D27" s="147">
        <f>IF(C20=0,0,D22/C20)</f>
        <v>0.19386661281241585</v>
      </c>
      <c r="E27" s="2"/>
      <c r="F27" s="2"/>
      <c r="G27" s="2"/>
    </row>
    <row r="28" spans="1:7" ht="15.75">
      <c r="A28" s="135"/>
      <c r="B28" s="2"/>
      <c r="C28" s="8" t="s">
        <v>165</v>
      </c>
      <c r="D28" s="2"/>
      <c r="E28" s="147">
        <f>IF(C20=0,0,E23/C20)</f>
        <v>3.7208391471445007E-3</v>
      </c>
      <c r="F28" s="2"/>
      <c r="G28" s="2"/>
    </row>
    <row r="29" spans="1:7" ht="15.75">
      <c r="A29" s="135"/>
      <c r="B29" s="2"/>
      <c r="C29" s="2"/>
      <c r="D29" s="8" t="s">
        <v>166</v>
      </c>
      <c r="E29" s="2"/>
      <c r="F29" s="147">
        <f>IF(F24=0,0,F24/C20)</f>
        <v>8.6044405277716576E-3</v>
      </c>
      <c r="G29" s="2"/>
    </row>
    <row r="30" spans="1:7" ht="15.75">
      <c r="A30" s="135"/>
      <c r="B30" s="2"/>
      <c r="C30" s="2"/>
      <c r="D30" s="2"/>
      <c r="E30" s="2"/>
      <c r="F30" s="2"/>
      <c r="G30" s="2"/>
    </row>
    <row r="31" spans="1:7" ht="15.75">
      <c r="A31" s="135"/>
      <c r="B31" s="67"/>
      <c r="C31" s="177" t="s">
        <v>314</v>
      </c>
      <c r="D31" s="67"/>
      <c r="E31" s="67"/>
      <c r="F31" s="67"/>
      <c r="G31" s="67"/>
    </row>
  </sheetData>
  <mergeCells count="2">
    <mergeCell ref="B3:F3"/>
    <mergeCell ref="D5:F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F31"/>
  <sheetViews>
    <sheetView topLeftCell="A10" workbookViewId="0">
      <selection activeCell="J7" sqref="J7"/>
    </sheetView>
  </sheetViews>
  <sheetFormatPr defaultRowHeight="15"/>
  <cols>
    <col min="1" max="1" width="18.5703125" customWidth="1"/>
    <col min="2" max="2" width="20.140625" customWidth="1"/>
    <col min="3" max="3" width="13" customWidth="1"/>
    <col min="4" max="4" width="11.140625" customWidth="1"/>
    <col min="5" max="5" width="10.5703125" customWidth="1"/>
    <col min="6" max="6" width="29.85546875" customWidth="1"/>
  </cols>
  <sheetData>
    <row r="1" spans="1:6" ht="15.75">
      <c r="A1" s="66" t="str">
        <f>[1]inputPrYr!D2</f>
        <v>City of Delphos</v>
      </c>
      <c r="B1" s="66"/>
      <c r="C1" s="68"/>
      <c r="D1" s="68"/>
      <c r="E1" s="68"/>
      <c r="F1" s="68">
        <f>[1]inputPrYr!$C$5</f>
        <v>2013</v>
      </c>
    </row>
    <row r="2" spans="1:6" ht="15.75">
      <c r="A2" s="68"/>
      <c r="B2" s="68"/>
      <c r="C2" s="68"/>
      <c r="D2" s="68"/>
      <c r="E2" s="68"/>
      <c r="F2" s="68"/>
    </row>
    <row r="3" spans="1:6" ht="15.75">
      <c r="A3" s="510" t="s">
        <v>97</v>
      </c>
      <c r="B3" s="510"/>
      <c r="C3" s="510"/>
      <c r="D3" s="510"/>
      <c r="E3" s="510"/>
      <c r="F3" s="510"/>
    </row>
    <row r="4" spans="1:6" ht="15.75">
      <c r="A4" s="148"/>
      <c r="B4" s="148"/>
      <c r="C4" s="148"/>
      <c r="D4" s="148"/>
      <c r="E4" s="148"/>
      <c r="F4" s="148"/>
    </row>
    <row r="5" spans="1:6" ht="15.75">
      <c r="A5" s="149" t="s">
        <v>167</v>
      </c>
      <c r="B5" s="149" t="s">
        <v>168</v>
      </c>
      <c r="C5" s="149" t="s">
        <v>169</v>
      </c>
      <c r="D5" s="149" t="s">
        <v>170</v>
      </c>
      <c r="E5" s="149" t="s">
        <v>171</v>
      </c>
      <c r="F5" s="149" t="s">
        <v>172</v>
      </c>
    </row>
    <row r="6" spans="1:6" ht="15.75">
      <c r="A6" s="150" t="s">
        <v>173</v>
      </c>
      <c r="B6" s="150" t="s">
        <v>174</v>
      </c>
      <c r="C6" s="150" t="s">
        <v>175</v>
      </c>
      <c r="D6" s="150" t="s">
        <v>175</v>
      </c>
      <c r="E6" s="150" t="s">
        <v>175</v>
      </c>
      <c r="F6" s="150" t="s">
        <v>176</v>
      </c>
    </row>
    <row r="7" spans="1:6" ht="15.75">
      <c r="A7" s="151" t="s">
        <v>177</v>
      </c>
      <c r="B7" s="151" t="s">
        <v>178</v>
      </c>
      <c r="C7" s="152">
        <f>F1-2</f>
        <v>2011</v>
      </c>
      <c r="D7" s="152">
        <f>F1-1</f>
        <v>2012</v>
      </c>
      <c r="E7" s="152">
        <f>F1</f>
        <v>2013</v>
      </c>
      <c r="F7" s="151" t="s">
        <v>179</v>
      </c>
    </row>
    <row r="8" spans="1:6" ht="15.75">
      <c r="A8" s="296" t="s">
        <v>15</v>
      </c>
      <c r="B8" s="296" t="s">
        <v>25</v>
      </c>
      <c r="C8" s="297">
        <v>10000</v>
      </c>
      <c r="D8" s="297">
        <v>10000</v>
      </c>
      <c r="E8" s="297">
        <v>10000</v>
      </c>
      <c r="F8" s="296" t="s">
        <v>180</v>
      </c>
    </row>
    <row r="9" spans="1:6" ht="15.75">
      <c r="A9" s="298" t="s">
        <v>26</v>
      </c>
      <c r="B9" s="298" t="s">
        <v>30</v>
      </c>
      <c r="C9" s="299">
        <v>14867</v>
      </c>
      <c r="D9" s="299">
        <v>20000</v>
      </c>
      <c r="E9" s="299">
        <v>20000</v>
      </c>
      <c r="F9" s="298" t="s">
        <v>181</v>
      </c>
    </row>
    <row r="10" spans="1:6" ht="15.75">
      <c r="A10" s="298" t="s">
        <v>27</v>
      </c>
      <c r="B10" s="298" t="s">
        <v>32</v>
      </c>
      <c r="C10" s="299">
        <v>4016</v>
      </c>
      <c r="D10" s="299">
        <v>6475</v>
      </c>
      <c r="E10" s="299">
        <v>6475</v>
      </c>
      <c r="F10" s="298" t="s">
        <v>181</v>
      </c>
    </row>
    <row r="11" spans="1:6" ht="15.75">
      <c r="A11" s="298" t="s">
        <v>27</v>
      </c>
      <c r="B11" s="298" t="s">
        <v>33</v>
      </c>
      <c r="C11" s="299">
        <v>25360</v>
      </c>
      <c r="D11" s="299">
        <v>24000</v>
      </c>
      <c r="E11" s="299">
        <v>23800</v>
      </c>
      <c r="F11" s="298" t="s">
        <v>181</v>
      </c>
    </row>
    <row r="12" spans="1:6" ht="15.75">
      <c r="A12" s="298"/>
      <c r="B12" s="298"/>
      <c r="C12" s="299"/>
      <c r="D12" s="299"/>
      <c r="E12" s="299"/>
      <c r="F12" s="298"/>
    </row>
    <row r="13" spans="1:6" ht="15.75">
      <c r="A13" s="298"/>
      <c r="B13" s="298"/>
      <c r="C13" s="299"/>
      <c r="D13" s="299"/>
      <c r="E13" s="299"/>
      <c r="F13" s="298"/>
    </row>
    <row r="14" spans="1:6" ht="15.75">
      <c r="A14" s="298"/>
      <c r="B14" s="298"/>
      <c r="C14" s="299"/>
      <c r="D14" s="299"/>
      <c r="E14" s="299"/>
      <c r="F14" s="298"/>
    </row>
    <row r="15" spans="1:6" ht="15.75">
      <c r="A15" s="298"/>
      <c r="B15" s="298"/>
      <c r="C15" s="299"/>
      <c r="D15" s="299"/>
      <c r="E15" s="299"/>
      <c r="F15" s="298"/>
    </row>
    <row r="16" spans="1:6" ht="15.75">
      <c r="A16" s="298"/>
      <c r="B16" s="298"/>
      <c r="C16" s="299"/>
      <c r="D16" s="299"/>
      <c r="E16" s="299"/>
      <c r="F16" s="298"/>
    </row>
    <row r="17" spans="1:6" ht="15.75">
      <c r="A17" s="298"/>
      <c r="B17" s="298"/>
      <c r="C17" s="299"/>
      <c r="D17" s="299"/>
      <c r="E17" s="299"/>
      <c r="F17" s="298"/>
    </row>
    <row r="18" spans="1:6" ht="15.75">
      <c r="A18" s="298"/>
      <c r="B18" s="298"/>
      <c r="C18" s="299"/>
      <c r="D18" s="299"/>
      <c r="E18" s="299"/>
      <c r="F18" s="298"/>
    </row>
    <row r="19" spans="1:6" ht="15.75">
      <c r="A19" s="298"/>
      <c r="B19" s="298"/>
      <c r="C19" s="299"/>
      <c r="D19" s="299"/>
      <c r="E19" s="299"/>
      <c r="F19" s="298"/>
    </row>
    <row r="20" spans="1:6" ht="15.75">
      <c r="A20" s="298"/>
      <c r="B20" s="298"/>
      <c r="C20" s="299"/>
      <c r="D20" s="299"/>
      <c r="E20" s="299"/>
      <c r="F20" s="298"/>
    </row>
    <row r="21" spans="1:6" ht="15.75">
      <c r="A21" s="298"/>
      <c r="B21" s="298"/>
      <c r="C21" s="299"/>
      <c r="D21" s="299"/>
      <c r="E21" s="299"/>
      <c r="F21" s="298"/>
    </row>
    <row r="22" spans="1:6" ht="15.75">
      <c r="A22" s="298"/>
      <c r="B22" s="298"/>
      <c r="C22" s="299"/>
      <c r="D22" s="299"/>
      <c r="E22" s="299"/>
      <c r="F22" s="298"/>
    </row>
    <row r="23" spans="1:6" ht="15.75">
      <c r="A23" s="298"/>
      <c r="B23" s="298"/>
      <c r="C23" s="299"/>
      <c r="D23" s="299"/>
      <c r="E23" s="299"/>
      <c r="F23" s="298"/>
    </row>
    <row r="24" spans="1:6" ht="15.75">
      <c r="A24" s="298"/>
      <c r="B24" s="298"/>
      <c r="C24" s="299"/>
      <c r="D24" s="299"/>
      <c r="E24" s="299"/>
      <c r="F24" s="298"/>
    </row>
    <row r="25" spans="1:6" ht="15.75">
      <c r="A25" s="298"/>
      <c r="B25" s="298"/>
      <c r="C25" s="299"/>
      <c r="D25" s="299"/>
      <c r="E25" s="299"/>
      <c r="F25" s="298"/>
    </row>
    <row r="26" spans="1:6" ht="15.75">
      <c r="A26" s="300"/>
      <c r="B26" s="301" t="s">
        <v>182</v>
      </c>
      <c r="C26" s="302">
        <f>SUM(C8:C25)</f>
        <v>54243</v>
      </c>
      <c r="D26" s="302">
        <f>SUM(D8:D25)</f>
        <v>60475</v>
      </c>
      <c r="E26" s="302">
        <f>SUM(E8:E25)</f>
        <v>60275</v>
      </c>
      <c r="F26" s="300"/>
    </row>
    <row r="27" spans="1:6" ht="15.75">
      <c r="A27" s="300"/>
      <c r="B27" s="303" t="s">
        <v>183</v>
      </c>
      <c r="C27" s="304"/>
      <c r="D27" s="298"/>
      <c r="E27" s="298"/>
      <c r="F27" s="300"/>
    </row>
    <row r="28" spans="1:6" ht="15.75">
      <c r="A28" s="300"/>
      <c r="B28" s="301" t="s">
        <v>184</v>
      </c>
      <c r="C28" s="302">
        <f>C26</f>
        <v>54243</v>
      </c>
      <c r="D28" s="302">
        <f>SUM(D26-D27)</f>
        <v>60475</v>
      </c>
      <c r="E28" s="302">
        <f>SUM(E26-E27)</f>
        <v>60275</v>
      </c>
      <c r="F28" s="300"/>
    </row>
    <row r="29" spans="1:6" ht="15.75">
      <c r="A29" s="61"/>
      <c r="B29" s="61"/>
      <c r="C29" s="61"/>
      <c r="D29" s="61"/>
      <c r="E29" s="61"/>
      <c r="F29" s="61"/>
    </row>
    <row r="30" spans="1:6" ht="15.75">
      <c r="A30" s="61"/>
      <c r="B30" s="61"/>
      <c r="C30" s="61"/>
      <c r="D30" s="61"/>
      <c r="E30" s="61"/>
      <c r="F30" s="61"/>
    </row>
    <row r="31" spans="1:6" ht="15.75">
      <c r="A31" s="178"/>
      <c r="B31" s="155"/>
      <c r="C31" s="153" t="s">
        <v>315</v>
      </c>
      <c r="D31" s="61"/>
      <c r="E31" s="61"/>
      <c r="F31" s="61"/>
    </row>
  </sheetData>
  <mergeCells count="1">
    <mergeCell ref="A3:F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L28"/>
  <sheetViews>
    <sheetView topLeftCell="A10" workbookViewId="0">
      <selection activeCell="M10" sqref="M10"/>
    </sheetView>
  </sheetViews>
  <sheetFormatPr defaultRowHeight="15"/>
  <cols>
    <col min="1" max="1" width="17.5703125" customWidth="1"/>
    <col min="2" max="2" width="10" customWidth="1"/>
    <col min="3" max="3" width="9.7109375" customWidth="1"/>
  </cols>
  <sheetData>
    <row r="1" spans="1:12" ht="15.75">
      <c r="A1" s="134" t="str">
        <f>[1]inputPrYr!$D$2</f>
        <v>City of Delphos</v>
      </c>
      <c r="B1" s="2"/>
      <c r="C1" s="2"/>
      <c r="D1" s="2"/>
      <c r="E1" s="2"/>
      <c r="F1" s="2"/>
      <c r="G1" s="2"/>
      <c r="H1" s="2"/>
      <c r="I1" s="2"/>
      <c r="J1" s="2"/>
      <c r="K1" s="2"/>
      <c r="L1" s="156">
        <f>[1]inputPrYr!$C$5</f>
        <v>2013</v>
      </c>
    </row>
    <row r="2" spans="1:12" ht="15.75">
      <c r="A2" s="134"/>
      <c r="B2" s="2"/>
      <c r="C2" s="2"/>
      <c r="D2" s="2"/>
      <c r="E2" s="2"/>
      <c r="F2" s="2"/>
      <c r="G2" s="2"/>
      <c r="H2" s="2"/>
      <c r="I2" s="2"/>
      <c r="J2" s="2"/>
      <c r="K2" s="2"/>
      <c r="L2" s="132"/>
    </row>
    <row r="3" spans="1:12" ht="15.75">
      <c r="A3" s="157" t="s">
        <v>185</v>
      </c>
      <c r="B3" s="11"/>
      <c r="C3" s="11"/>
      <c r="D3" s="11"/>
      <c r="E3" s="11"/>
      <c r="F3" s="11"/>
      <c r="G3" s="11"/>
      <c r="H3" s="11"/>
      <c r="I3" s="11"/>
      <c r="J3" s="11"/>
      <c r="K3" s="11"/>
      <c r="L3" s="11"/>
    </row>
    <row r="4" spans="1:12" ht="15.75">
      <c r="A4" s="2"/>
      <c r="B4" s="158"/>
      <c r="C4" s="158"/>
      <c r="D4" s="158"/>
      <c r="E4" s="158"/>
      <c r="F4" s="158"/>
      <c r="G4" s="158"/>
      <c r="H4" s="158"/>
      <c r="I4" s="158"/>
      <c r="J4" s="158"/>
      <c r="K4" s="158"/>
      <c r="L4" s="158"/>
    </row>
    <row r="5" spans="1:12" ht="15.75">
      <c r="A5" s="129"/>
      <c r="B5" s="138" t="s">
        <v>186</v>
      </c>
      <c r="C5" s="138" t="s">
        <v>186</v>
      </c>
      <c r="D5" s="138" t="s">
        <v>187</v>
      </c>
      <c r="E5" s="138"/>
      <c r="F5" s="138" t="s">
        <v>188</v>
      </c>
      <c r="G5" s="2"/>
      <c r="H5" s="2"/>
      <c r="I5" s="159" t="s">
        <v>189</v>
      </c>
      <c r="J5" s="160"/>
      <c r="K5" s="159" t="s">
        <v>189</v>
      </c>
      <c r="L5" s="160"/>
    </row>
    <row r="6" spans="1:12" ht="15.75">
      <c r="A6" s="125" t="s">
        <v>190</v>
      </c>
      <c r="B6" s="125" t="s">
        <v>191</v>
      </c>
      <c r="C6" s="125" t="s">
        <v>192</v>
      </c>
      <c r="D6" s="125" t="s">
        <v>48</v>
      </c>
      <c r="E6" s="125" t="s">
        <v>193</v>
      </c>
      <c r="F6" s="125" t="s">
        <v>194</v>
      </c>
      <c r="G6" s="511" t="s">
        <v>195</v>
      </c>
      <c r="H6" s="512"/>
      <c r="I6" s="513">
        <f>L1-1</f>
        <v>2012</v>
      </c>
      <c r="J6" s="514"/>
      <c r="K6" s="513">
        <f>L1</f>
        <v>2013</v>
      </c>
      <c r="L6" s="514"/>
    </row>
    <row r="7" spans="1:12" ht="15.75">
      <c r="A7" s="127" t="s">
        <v>196</v>
      </c>
      <c r="B7" s="127" t="s">
        <v>197</v>
      </c>
      <c r="C7" s="127" t="s">
        <v>198</v>
      </c>
      <c r="D7" s="127" t="s">
        <v>199</v>
      </c>
      <c r="E7" s="127" t="s">
        <v>200</v>
      </c>
      <c r="F7" s="161" t="str">
        <f>CONCATENATE("Jan 1,",L1-1,"")</f>
        <v>Jan 1,2012</v>
      </c>
      <c r="G7" s="26" t="s">
        <v>187</v>
      </c>
      <c r="H7" s="26" t="s">
        <v>201</v>
      </c>
      <c r="I7" s="26" t="s">
        <v>187</v>
      </c>
      <c r="J7" s="26" t="s">
        <v>201</v>
      </c>
      <c r="K7" s="26" t="s">
        <v>187</v>
      </c>
      <c r="L7" s="26" t="s">
        <v>201</v>
      </c>
    </row>
    <row r="8" spans="1:12" ht="15.75">
      <c r="A8" s="133" t="s">
        <v>202</v>
      </c>
      <c r="B8" s="53"/>
      <c r="C8" s="53"/>
      <c r="D8" s="162"/>
      <c r="E8" s="163"/>
      <c r="F8" s="163"/>
      <c r="G8" s="53"/>
      <c r="H8" s="53"/>
      <c r="I8" s="163"/>
      <c r="J8" s="163"/>
      <c r="K8" s="163"/>
      <c r="L8" s="163"/>
    </row>
    <row r="9" spans="1:12" ht="15.75">
      <c r="A9" s="305" t="s">
        <v>203</v>
      </c>
      <c r="B9" s="306">
        <v>41030</v>
      </c>
      <c r="C9" s="306">
        <v>41760</v>
      </c>
      <c r="D9" s="307">
        <v>3.05</v>
      </c>
      <c r="E9" s="308">
        <v>200000</v>
      </c>
      <c r="F9" s="309">
        <v>200000</v>
      </c>
      <c r="G9" s="310">
        <v>41228</v>
      </c>
      <c r="H9" s="310"/>
      <c r="I9" s="309">
        <v>500</v>
      </c>
      <c r="J9" s="309"/>
      <c r="K9" s="309">
        <v>500</v>
      </c>
      <c r="L9" s="309"/>
    </row>
    <row r="10" spans="1:12" ht="15.75">
      <c r="A10" s="305"/>
      <c r="B10" s="306"/>
      <c r="C10" s="306"/>
      <c r="D10" s="307"/>
      <c r="E10" s="308"/>
      <c r="F10" s="309"/>
      <c r="G10" s="310"/>
      <c r="H10" s="310"/>
      <c r="I10" s="309"/>
      <c r="J10" s="309"/>
      <c r="K10" s="309"/>
      <c r="L10" s="309"/>
    </row>
    <row r="11" spans="1:12" ht="15.75">
      <c r="A11" s="305"/>
      <c r="B11" s="306"/>
      <c r="C11" s="306"/>
      <c r="D11" s="307"/>
      <c r="E11" s="308"/>
      <c r="F11" s="309"/>
      <c r="G11" s="310"/>
      <c r="H11" s="310"/>
      <c r="I11" s="309"/>
      <c r="J11" s="309"/>
      <c r="K11" s="309"/>
      <c r="L11" s="309"/>
    </row>
    <row r="12" spans="1:12" ht="15.75">
      <c r="A12" s="305"/>
      <c r="B12" s="306"/>
      <c r="C12" s="306"/>
      <c r="D12" s="307"/>
      <c r="E12" s="308"/>
      <c r="F12" s="309"/>
      <c r="G12" s="310"/>
      <c r="H12" s="310"/>
      <c r="I12" s="309"/>
      <c r="J12" s="309"/>
      <c r="K12" s="309"/>
      <c r="L12" s="309"/>
    </row>
    <row r="13" spans="1:12" ht="15.75">
      <c r="A13" s="311" t="s">
        <v>204</v>
      </c>
      <c r="B13" s="312"/>
      <c r="C13" s="312"/>
      <c r="D13" s="313"/>
      <c r="E13" s="314"/>
      <c r="F13" s="303">
        <f>SUM(F9:F12)</f>
        <v>200000</v>
      </c>
      <c r="G13" s="315"/>
      <c r="H13" s="315"/>
      <c r="I13" s="303">
        <f>SUM(I9:I12)</f>
        <v>500</v>
      </c>
      <c r="J13" s="303">
        <f>SUM(J9:J12)</f>
        <v>0</v>
      </c>
      <c r="K13" s="303">
        <f>SUM(K9:K12)</f>
        <v>500</v>
      </c>
      <c r="L13" s="303">
        <f>SUM(L9:L12)</f>
        <v>0</v>
      </c>
    </row>
    <row r="14" spans="1:12" ht="15.75">
      <c r="A14" s="316" t="s">
        <v>205</v>
      </c>
      <c r="B14" s="317"/>
      <c r="C14" s="317"/>
      <c r="D14" s="318"/>
      <c r="E14" s="281"/>
      <c r="F14" s="281"/>
      <c r="G14" s="319"/>
      <c r="H14" s="319"/>
      <c r="I14" s="281"/>
      <c r="J14" s="281"/>
      <c r="K14" s="281"/>
      <c r="L14" s="281"/>
    </row>
    <row r="15" spans="1:12" ht="15.75">
      <c r="A15" s="305"/>
      <c r="B15" s="306"/>
      <c r="C15" s="306"/>
      <c r="D15" s="307"/>
      <c r="E15" s="308"/>
      <c r="F15" s="309"/>
      <c r="G15" s="310"/>
      <c r="H15" s="310"/>
      <c r="I15" s="309"/>
      <c r="J15" s="309"/>
      <c r="K15" s="309"/>
      <c r="L15" s="309"/>
    </row>
    <row r="16" spans="1:12" ht="15.75">
      <c r="A16" s="305"/>
      <c r="B16" s="306"/>
      <c r="C16" s="306"/>
      <c r="D16" s="307"/>
      <c r="E16" s="308"/>
      <c r="F16" s="309"/>
      <c r="G16" s="310"/>
      <c r="H16" s="310"/>
      <c r="I16" s="309"/>
      <c r="J16" s="309"/>
      <c r="K16" s="309"/>
      <c r="L16" s="309"/>
    </row>
    <row r="17" spans="1:12" ht="15.75">
      <c r="A17" s="305"/>
      <c r="B17" s="306"/>
      <c r="C17" s="306"/>
      <c r="D17" s="307"/>
      <c r="E17" s="308"/>
      <c r="F17" s="309"/>
      <c r="G17" s="310"/>
      <c r="H17" s="310"/>
      <c r="I17" s="309"/>
      <c r="J17" s="309"/>
      <c r="K17" s="309"/>
      <c r="L17" s="309"/>
    </row>
    <row r="18" spans="1:12" ht="15.75">
      <c r="A18" s="305"/>
      <c r="B18" s="306"/>
      <c r="C18" s="306"/>
      <c r="D18" s="307"/>
      <c r="E18" s="308"/>
      <c r="F18" s="309"/>
      <c r="G18" s="310"/>
      <c r="H18" s="310"/>
      <c r="I18" s="309"/>
      <c r="J18" s="309"/>
      <c r="K18" s="309"/>
      <c r="L18" s="309"/>
    </row>
    <row r="19" spans="1:12" ht="15.75">
      <c r="A19" s="311" t="s">
        <v>206</v>
      </c>
      <c r="B19" s="312"/>
      <c r="C19" s="312"/>
      <c r="D19" s="320"/>
      <c r="E19" s="314"/>
      <c r="F19" s="314">
        <f>SUM(F15:F18)</f>
        <v>0</v>
      </c>
      <c r="G19" s="315"/>
      <c r="H19" s="315"/>
      <c r="I19" s="314">
        <f>SUM(I15:I18)</f>
        <v>0</v>
      </c>
      <c r="J19" s="314">
        <f>SUM(J15:J18)</f>
        <v>0</v>
      </c>
      <c r="K19" s="303">
        <f>SUM(K15:K18)</f>
        <v>0</v>
      </c>
      <c r="L19" s="314">
        <f>SUM(L15:L18)</f>
        <v>0</v>
      </c>
    </row>
    <row r="20" spans="1:12" ht="15.75">
      <c r="A20" s="316" t="s">
        <v>207</v>
      </c>
      <c r="B20" s="317"/>
      <c r="C20" s="317"/>
      <c r="D20" s="318"/>
      <c r="E20" s="281"/>
      <c r="F20" s="321"/>
      <c r="G20" s="319"/>
      <c r="H20" s="319"/>
      <c r="I20" s="281"/>
      <c r="J20" s="281"/>
      <c r="K20" s="281"/>
      <c r="L20" s="281"/>
    </row>
    <row r="21" spans="1:12" ht="15.75">
      <c r="A21" s="305" t="s">
        <v>208</v>
      </c>
      <c r="B21" s="306">
        <v>35735</v>
      </c>
      <c r="C21" s="306">
        <v>42795</v>
      </c>
      <c r="D21" s="307">
        <v>3.32</v>
      </c>
      <c r="E21" s="308">
        <v>350267</v>
      </c>
      <c r="F21" s="309">
        <v>118598</v>
      </c>
      <c r="G21" s="310" t="s">
        <v>209</v>
      </c>
      <c r="H21" s="310" t="s">
        <v>209</v>
      </c>
      <c r="I21" s="309">
        <v>3773</v>
      </c>
      <c r="J21" s="309">
        <v>19997</v>
      </c>
      <c r="K21" s="309">
        <v>3103</v>
      </c>
      <c r="L21" s="309">
        <v>20666</v>
      </c>
    </row>
    <row r="22" spans="1:12" ht="15.75">
      <c r="A22" s="305"/>
      <c r="B22" s="306"/>
      <c r="C22" s="306"/>
      <c r="D22" s="307"/>
      <c r="E22" s="308"/>
      <c r="F22" s="309"/>
      <c r="G22" s="310"/>
      <c r="H22" s="310"/>
      <c r="I22" s="309"/>
      <c r="J22" s="309"/>
      <c r="K22" s="309"/>
      <c r="L22" s="309"/>
    </row>
    <row r="23" spans="1:12" ht="15.75">
      <c r="A23" s="305"/>
      <c r="B23" s="306"/>
      <c r="C23" s="306"/>
      <c r="D23" s="307"/>
      <c r="E23" s="308"/>
      <c r="F23" s="309"/>
      <c r="G23" s="310"/>
      <c r="H23" s="310"/>
      <c r="I23" s="309"/>
      <c r="J23" s="309"/>
      <c r="K23" s="309"/>
      <c r="L23" s="309"/>
    </row>
    <row r="24" spans="1:12" ht="15.75">
      <c r="A24" s="305"/>
      <c r="B24" s="306"/>
      <c r="C24" s="306"/>
      <c r="D24" s="307"/>
      <c r="E24" s="308"/>
      <c r="F24" s="309"/>
      <c r="G24" s="310"/>
      <c r="H24" s="310"/>
      <c r="I24" s="309"/>
      <c r="J24" s="309"/>
      <c r="K24" s="309"/>
      <c r="L24" s="309"/>
    </row>
    <row r="25" spans="1:12" ht="15.75">
      <c r="A25" s="164" t="s">
        <v>210</v>
      </c>
      <c r="B25" s="154"/>
      <c r="C25" s="154"/>
      <c r="D25" s="166"/>
      <c r="E25" s="165"/>
      <c r="F25" s="167">
        <f>SUM(F21:F24)</f>
        <v>118598</v>
      </c>
      <c r="G25" s="165"/>
      <c r="H25" s="165"/>
      <c r="I25" s="167">
        <f>SUM(I21:I24)</f>
        <v>3773</v>
      </c>
      <c r="J25" s="167">
        <f>SUM(J21:J24)</f>
        <v>19997</v>
      </c>
      <c r="K25" s="167">
        <f>SUM(K21:K24)</f>
        <v>3103</v>
      </c>
      <c r="L25" s="167">
        <f>SUM(L21:L24)</f>
        <v>20666</v>
      </c>
    </row>
    <row r="26" spans="1:12" ht="15.75">
      <c r="A26" s="164" t="s">
        <v>211</v>
      </c>
      <c r="B26" s="154"/>
      <c r="C26" s="154"/>
      <c r="D26" s="154"/>
      <c r="E26" s="165"/>
      <c r="F26" s="167">
        <f>SUM(F13+F19+F25)</f>
        <v>318598</v>
      </c>
      <c r="G26" s="165"/>
      <c r="H26" s="165"/>
      <c r="I26" s="167">
        <f>SUM(I13+I19+I25)</f>
        <v>4273</v>
      </c>
      <c r="J26" s="167">
        <f>SUM(J13+J19+J25)</f>
        <v>19997</v>
      </c>
      <c r="K26" s="167">
        <f>SUM(K13+K19+K25)</f>
        <v>3603</v>
      </c>
      <c r="L26" s="167">
        <f>SUM(L13+L19+L25)</f>
        <v>20666</v>
      </c>
    </row>
    <row r="27" spans="1:12">
      <c r="A27" s="176"/>
      <c r="B27" s="176"/>
      <c r="C27" s="176"/>
      <c r="D27" s="176"/>
      <c r="E27" s="176"/>
      <c r="F27" s="176"/>
      <c r="G27" s="176"/>
      <c r="H27" s="176"/>
      <c r="I27" s="176"/>
      <c r="J27" s="176"/>
      <c r="K27" s="176"/>
      <c r="L27" s="176"/>
    </row>
    <row r="28" spans="1:12">
      <c r="A28" s="176"/>
      <c r="B28" s="176"/>
      <c r="C28" s="176"/>
      <c r="D28" s="176"/>
      <c r="E28" s="176" t="s">
        <v>316</v>
      </c>
      <c r="F28" s="176"/>
      <c r="G28" s="176"/>
      <c r="H28" s="176"/>
      <c r="I28" s="176"/>
      <c r="J28" s="176"/>
      <c r="K28" s="176"/>
      <c r="L28" s="176"/>
    </row>
  </sheetData>
  <mergeCells count="3">
    <mergeCell ref="G6:H6"/>
    <mergeCell ref="I6:J6"/>
    <mergeCell ref="K6:L6"/>
  </mergeCells>
  <pageMargins left="0.2" right="0.2" top="0.5" bottom="0.5" header="0.3" footer="0.3"/>
  <pageSetup orientation="landscape" r:id="rId1"/>
</worksheet>
</file>

<file path=xl/worksheets/sheet9.xml><?xml version="1.0" encoding="utf-8"?>
<worksheet xmlns="http://schemas.openxmlformats.org/spreadsheetml/2006/main" xmlns:r="http://schemas.openxmlformats.org/officeDocument/2006/relationships">
  <dimension ref="A1:D85"/>
  <sheetViews>
    <sheetView topLeftCell="A13" workbookViewId="0">
      <selection activeCell="C36" sqref="C36"/>
    </sheetView>
  </sheetViews>
  <sheetFormatPr defaultRowHeight="15"/>
  <cols>
    <col min="1" max="1" width="37.42578125" customWidth="1"/>
    <col min="2" max="2" width="12.85546875" customWidth="1"/>
    <col min="3" max="3" width="13.85546875" customWidth="1"/>
    <col min="4" max="4" width="18.42578125" customWidth="1"/>
  </cols>
  <sheetData>
    <row r="1" spans="1:4" ht="15.75">
      <c r="A1" s="134" t="s">
        <v>2</v>
      </c>
      <c r="B1" s="2"/>
      <c r="C1" s="2"/>
      <c r="D1" s="168">
        <v>2013</v>
      </c>
    </row>
    <row r="2" spans="1:4" ht="15.75">
      <c r="A2" s="2"/>
      <c r="B2" s="2"/>
      <c r="C2" s="2"/>
      <c r="D2" s="132"/>
    </row>
    <row r="3" spans="1:4" ht="15.75">
      <c r="A3" s="19"/>
      <c r="B3" s="2"/>
      <c r="C3" s="2"/>
      <c r="D3" s="123"/>
    </row>
    <row r="4" spans="1:4" ht="15.75">
      <c r="A4" s="254" t="s">
        <v>212</v>
      </c>
      <c r="B4" s="322"/>
      <c r="C4" s="322"/>
      <c r="D4" s="322"/>
    </row>
    <row r="5" spans="1:4" ht="15.75">
      <c r="A5" s="323" t="s">
        <v>213</v>
      </c>
      <c r="B5" s="258" t="s">
        <v>214</v>
      </c>
      <c r="C5" s="259" t="s">
        <v>215</v>
      </c>
      <c r="D5" s="260" t="s">
        <v>216</v>
      </c>
    </row>
    <row r="6" spans="1:4" ht="15.75">
      <c r="A6" s="261" t="s">
        <v>15</v>
      </c>
      <c r="B6" s="262">
        <v>2011</v>
      </c>
      <c r="C6" s="262">
        <v>2012</v>
      </c>
      <c r="D6" s="263">
        <v>2013</v>
      </c>
    </row>
    <row r="7" spans="1:4" ht="15.75">
      <c r="A7" s="274" t="s">
        <v>217</v>
      </c>
      <c r="B7" s="324">
        <v>82088</v>
      </c>
      <c r="C7" s="325">
        <f>B76</f>
        <v>68729</v>
      </c>
      <c r="D7" s="266">
        <f>C76</f>
        <v>39190</v>
      </c>
    </row>
    <row r="8" spans="1:4" ht="15.75">
      <c r="A8" s="287" t="s">
        <v>218</v>
      </c>
      <c r="B8" s="272"/>
      <c r="C8" s="272"/>
      <c r="D8" s="267"/>
    </row>
    <row r="9" spans="1:4" ht="15.75">
      <c r="A9" s="274" t="s">
        <v>219</v>
      </c>
      <c r="B9" s="324">
        <v>65025</v>
      </c>
      <c r="C9" s="325">
        <v>77168</v>
      </c>
      <c r="D9" s="326" t="s">
        <v>102</v>
      </c>
    </row>
    <row r="10" spans="1:4" ht="15.75">
      <c r="A10" s="274" t="s">
        <v>220</v>
      </c>
      <c r="B10" s="324">
        <v>1545</v>
      </c>
      <c r="C10" s="324"/>
      <c r="D10" s="269"/>
    </row>
    <row r="11" spans="1:4" ht="15.75">
      <c r="A11" s="274" t="s">
        <v>221</v>
      </c>
      <c r="B11" s="324">
        <v>15103</v>
      </c>
      <c r="C11" s="324">
        <v>16524</v>
      </c>
      <c r="D11" s="266">
        <v>14960</v>
      </c>
    </row>
    <row r="12" spans="1:4" ht="15.75">
      <c r="A12" s="274" t="s">
        <v>222</v>
      </c>
      <c r="B12" s="324">
        <v>276</v>
      </c>
      <c r="C12" s="324">
        <v>316</v>
      </c>
      <c r="D12" s="266">
        <v>287</v>
      </c>
    </row>
    <row r="13" spans="1:4" ht="15.75">
      <c r="A13" s="274" t="s">
        <v>223</v>
      </c>
      <c r="B13" s="324">
        <v>546</v>
      </c>
      <c r="C13" s="324">
        <v>565</v>
      </c>
      <c r="D13" s="266">
        <v>664</v>
      </c>
    </row>
    <row r="14" spans="1:4" ht="15.75">
      <c r="A14" s="274" t="s">
        <v>224</v>
      </c>
      <c r="B14" s="324"/>
      <c r="C14" s="324"/>
      <c r="D14" s="266">
        <f>[1]inputOth!D16</f>
        <v>0</v>
      </c>
    </row>
    <row r="15" spans="1:4" ht="15.75">
      <c r="A15" s="274" t="s">
        <v>52</v>
      </c>
      <c r="B15" s="324"/>
      <c r="C15" s="324"/>
      <c r="D15" s="266">
        <f>[1]inputOth!D42</f>
        <v>0</v>
      </c>
    </row>
    <row r="16" spans="1:4" ht="15.75">
      <c r="A16" s="274" t="s">
        <v>53</v>
      </c>
      <c r="B16" s="324"/>
      <c r="C16" s="324"/>
      <c r="D16" s="266">
        <f>[1]inputOth!D43</f>
        <v>0</v>
      </c>
    </row>
    <row r="17" spans="1:4" ht="15.75">
      <c r="A17" s="327" t="s">
        <v>225</v>
      </c>
      <c r="B17" s="324">
        <v>25565</v>
      </c>
      <c r="C17" s="324">
        <v>27000</v>
      </c>
      <c r="D17" s="265">
        <v>27000</v>
      </c>
    </row>
    <row r="18" spans="1:4" ht="15.75">
      <c r="A18" s="327" t="s">
        <v>226</v>
      </c>
      <c r="B18" s="324">
        <v>14975</v>
      </c>
      <c r="C18" s="324">
        <v>16500</v>
      </c>
      <c r="D18" s="265">
        <v>16500</v>
      </c>
    </row>
    <row r="19" spans="1:4" ht="15.75">
      <c r="A19" s="328" t="s">
        <v>227</v>
      </c>
      <c r="B19" s="324">
        <v>1662</v>
      </c>
      <c r="C19" s="324">
        <v>1500</v>
      </c>
      <c r="D19" s="265">
        <v>1500</v>
      </c>
    </row>
    <row r="20" spans="1:4" ht="15.75">
      <c r="A20" s="329" t="s">
        <v>228</v>
      </c>
      <c r="B20" s="324">
        <v>498</v>
      </c>
      <c r="C20" s="324">
        <v>498</v>
      </c>
      <c r="D20" s="265">
        <v>498</v>
      </c>
    </row>
    <row r="21" spans="1:4" ht="15.75">
      <c r="A21" s="329" t="s">
        <v>229</v>
      </c>
      <c r="B21" s="324">
        <v>1655</v>
      </c>
      <c r="C21" s="324">
        <v>4000</v>
      </c>
      <c r="D21" s="265">
        <v>4000</v>
      </c>
    </row>
    <row r="22" spans="1:4" ht="15.75">
      <c r="A22" s="329" t="s">
        <v>230</v>
      </c>
      <c r="B22" s="324">
        <v>575</v>
      </c>
      <c r="C22" s="324">
        <v>800</v>
      </c>
      <c r="D22" s="265">
        <v>800</v>
      </c>
    </row>
    <row r="23" spans="1:4" ht="15.75">
      <c r="A23" s="329" t="s">
        <v>231</v>
      </c>
      <c r="B23" s="324">
        <v>320</v>
      </c>
      <c r="C23" s="324">
        <v>1000</v>
      </c>
      <c r="D23" s="265">
        <v>1000</v>
      </c>
    </row>
    <row r="24" spans="1:4" ht="15.75">
      <c r="A24" s="327" t="s">
        <v>232</v>
      </c>
      <c r="B24" s="324"/>
      <c r="C24" s="324">
        <v>2500</v>
      </c>
      <c r="D24" s="265">
        <v>2500</v>
      </c>
    </row>
    <row r="25" spans="1:4" ht="15.75">
      <c r="A25" s="327" t="s">
        <v>233</v>
      </c>
      <c r="B25" s="324">
        <v>1600</v>
      </c>
      <c r="C25" s="324">
        <v>1000</v>
      </c>
      <c r="D25" s="265">
        <v>1000</v>
      </c>
    </row>
    <row r="26" spans="1:4" ht="15.75">
      <c r="A26" s="327" t="s">
        <v>234</v>
      </c>
      <c r="B26" s="324">
        <v>21878</v>
      </c>
      <c r="C26" s="324">
        <v>10000</v>
      </c>
      <c r="D26" s="265">
        <v>10000</v>
      </c>
    </row>
    <row r="27" spans="1:4" ht="15.75">
      <c r="A27" s="327" t="s">
        <v>235</v>
      </c>
      <c r="B27" s="324">
        <v>4292</v>
      </c>
      <c r="C27" s="324">
        <v>1000</v>
      </c>
      <c r="D27" s="265">
        <v>1000</v>
      </c>
    </row>
    <row r="28" spans="1:4" ht="15.75">
      <c r="A28" s="327"/>
      <c r="B28" s="324"/>
      <c r="C28" s="324"/>
      <c r="D28" s="265"/>
    </row>
    <row r="29" spans="1:4" ht="15.75">
      <c r="A29" s="330" t="s">
        <v>236</v>
      </c>
      <c r="B29" s="324"/>
      <c r="C29" s="324"/>
      <c r="D29" s="265"/>
    </row>
    <row r="30" spans="1:4" ht="15.75">
      <c r="A30" s="288" t="s">
        <v>237</v>
      </c>
      <c r="B30" s="324"/>
      <c r="C30" s="324"/>
      <c r="D30" s="265"/>
    </row>
    <row r="31" spans="1:4" ht="15.75">
      <c r="A31" s="272" t="s">
        <v>235</v>
      </c>
      <c r="B31" s="324"/>
      <c r="C31" s="265"/>
      <c r="D31" s="289"/>
    </row>
    <row r="32" spans="1:4" ht="15.75">
      <c r="A32" s="274"/>
      <c r="B32" s="331" t="str">
        <f>IF(B33*0.1&lt;B31,"Exceed 10% Rule","")</f>
        <v/>
      </c>
      <c r="C32" s="332" t="str">
        <f>IF(C33*0.1&lt;C31,"Exceed 10% Rule","")</f>
        <v/>
      </c>
      <c r="D32" s="333" t="str">
        <f>IF(D33*0.1+D82&lt;D31,"Exceed 10% Rule","")</f>
        <v/>
      </c>
    </row>
    <row r="33" spans="1:4" ht="15.75">
      <c r="A33" s="277" t="s">
        <v>239</v>
      </c>
      <c r="B33" s="334">
        <f>SUM(B9:B31)</f>
        <v>155515</v>
      </c>
      <c r="C33" s="334">
        <f>SUM(C9:C31)</f>
        <v>160371</v>
      </c>
      <c r="D33" s="278">
        <f>SUM(D10:D31)</f>
        <v>81709</v>
      </c>
    </row>
    <row r="34" spans="1:4" ht="15.75">
      <c r="A34" s="277" t="s">
        <v>240</v>
      </c>
      <c r="B34" s="334">
        <f>B7+B33</f>
        <v>237603</v>
      </c>
      <c r="C34" s="334">
        <f>C7+C33</f>
        <v>229100</v>
      </c>
      <c r="D34" s="278">
        <f>D7+D33</f>
        <v>120899</v>
      </c>
    </row>
    <row r="35" spans="1:4" ht="15.75">
      <c r="A35" s="251"/>
      <c r="B35" s="251"/>
      <c r="C35" s="251"/>
      <c r="D35" s="251"/>
    </row>
    <row r="36" spans="1:4" ht="15.75">
      <c r="A36" s="335"/>
      <c r="B36" s="280" t="s">
        <v>241</v>
      </c>
      <c r="C36" s="323">
        <v>8</v>
      </c>
      <c r="D36" s="335"/>
    </row>
    <row r="37" spans="1:4" ht="15.75">
      <c r="A37" s="335"/>
      <c r="B37" s="335"/>
      <c r="C37" s="335"/>
      <c r="D37" s="335"/>
    </row>
    <row r="38" spans="1:4" ht="15.75">
      <c r="A38" s="335"/>
      <c r="B38" s="335"/>
      <c r="C38" s="335"/>
      <c r="D38" s="335"/>
    </row>
    <row r="39" spans="1:4" ht="15.75">
      <c r="A39" s="335"/>
      <c r="B39" s="335"/>
      <c r="C39" s="335"/>
      <c r="D39" s="335"/>
    </row>
    <row r="40" spans="1:4" ht="15.75">
      <c r="A40" s="335"/>
      <c r="B40" s="335"/>
      <c r="C40" s="335"/>
      <c r="D40" s="335"/>
    </row>
    <row r="41" spans="1:4" ht="15.75">
      <c r="A41" s="335"/>
      <c r="B41" s="335"/>
      <c r="C41" s="335"/>
      <c r="D41" s="335"/>
    </row>
    <row r="42" spans="1:4" ht="15.75">
      <c r="A42" s="335"/>
      <c r="B42" s="335"/>
      <c r="C42" s="335"/>
      <c r="D42" s="335"/>
    </row>
    <row r="43" spans="1:4" ht="15.75">
      <c r="A43" s="250"/>
      <c r="B43" s="251"/>
      <c r="C43" s="251"/>
      <c r="D43" s="253"/>
    </row>
    <row r="44" spans="1:4" ht="15.75">
      <c r="A44" s="251"/>
      <c r="B44" s="251"/>
      <c r="C44" s="251"/>
      <c r="D44" s="280"/>
    </row>
    <row r="45" spans="1:4" ht="15.75">
      <c r="A45" s="336" t="s">
        <v>242</v>
      </c>
      <c r="B45" s="337"/>
      <c r="C45" s="337"/>
      <c r="D45" s="337"/>
    </row>
    <row r="46" spans="1:4" ht="15.75">
      <c r="A46" s="251" t="s">
        <v>213</v>
      </c>
      <c r="B46" s="258" t="str">
        <f t="shared" ref="B46:D47" si="0">B5</f>
        <v xml:space="preserve">Prior Year </v>
      </c>
      <c r="C46" s="259" t="str">
        <f t="shared" si="0"/>
        <v xml:space="preserve">Current Year </v>
      </c>
      <c r="D46" s="260" t="str">
        <f t="shared" si="0"/>
        <v xml:space="preserve">Proposed Budget </v>
      </c>
    </row>
    <row r="47" spans="1:4" ht="15.75">
      <c r="A47" s="338"/>
      <c r="B47" s="262">
        <f t="shared" si="0"/>
        <v>2011</v>
      </c>
      <c r="C47" s="262">
        <f t="shared" si="0"/>
        <v>2012</v>
      </c>
      <c r="D47" s="263">
        <f t="shared" si="0"/>
        <v>2013</v>
      </c>
    </row>
    <row r="48" spans="1:4" ht="15.75">
      <c r="A48" s="339" t="s">
        <v>240</v>
      </c>
      <c r="B48" s="325">
        <f>B34</f>
        <v>237603</v>
      </c>
      <c r="C48" s="325">
        <v>229100</v>
      </c>
      <c r="D48" s="266">
        <v>120899</v>
      </c>
    </row>
    <row r="49" spans="1:4" ht="15.75">
      <c r="A49" s="274" t="s">
        <v>243</v>
      </c>
      <c r="B49" s="272"/>
      <c r="C49" s="272"/>
      <c r="D49" s="267"/>
    </row>
    <row r="50" spans="1:4" ht="15.75">
      <c r="A50" s="288" t="s">
        <v>244</v>
      </c>
      <c r="B50" s="324">
        <v>70961</v>
      </c>
      <c r="C50" s="324">
        <v>75000</v>
      </c>
      <c r="D50" s="265">
        <v>75000</v>
      </c>
    </row>
    <row r="51" spans="1:4" ht="15.75">
      <c r="A51" s="288" t="s">
        <v>245</v>
      </c>
      <c r="B51" s="324">
        <v>45440</v>
      </c>
      <c r="C51" s="324">
        <v>50000</v>
      </c>
      <c r="D51" s="265">
        <v>50000</v>
      </c>
    </row>
    <row r="52" spans="1:4" ht="15.75">
      <c r="A52" s="288" t="s">
        <v>246</v>
      </c>
      <c r="B52" s="324">
        <v>7114</v>
      </c>
      <c r="C52" s="324">
        <v>9000</v>
      </c>
      <c r="D52" s="265">
        <v>9000</v>
      </c>
    </row>
    <row r="53" spans="1:4" ht="15.75">
      <c r="A53" s="288" t="s">
        <v>247</v>
      </c>
      <c r="B53" s="324">
        <v>11123</v>
      </c>
      <c r="C53" s="324">
        <v>15000</v>
      </c>
      <c r="D53" s="265">
        <v>16288</v>
      </c>
    </row>
    <row r="54" spans="1:4" ht="15.75">
      <c r="A54" s="288" t="s">
        <v>248</v>
      </c>
      <c r="B54" s="324">
        <v>1256</v>
      </c>
      <c r="C54" s="324">
        <v>2000</v>
      </c>
      <c r="D54" s="265">
        <v>2000</v>
      </c>
    </row>
    <row r="55" spans="1:4" ht="15.75">
      <c r="A55" s="288" t="s">
        <v>17</v>
      </c>
      <c r="B55" s="324">
        <v>910</v>
      </c>
      <c r="C55" s="324">
        <v>500</v>
      </c>
      <c r="D55" s="265">
        <v>500</v>
      </c>
    </row>
    <row r="56" spans="1:4" ht="15.75">
      <c r="A56" s="270" t="s">
        <v>249</v>
      </c>
      <c r="B56" s="324">
        <v>1938</v>
      </c>
      <c r="C56" s="324">
        <v>2000</v>
      </c>
      <c r="D56" s="265">
        <v>2000</v>
      </c>
    </row>
    <row r="57" spans="1:4" ht="15.75">
      <c r="A57" s="270" t="s">
        <v>245</v>
      </c>
      <c r="B57" s="324">
        <v>355</v>
      </c>
      <c r="C57" s="324">
        <v>1000</v>
      </c>
      <c r="D57" s="265">
        <v>1000</v>
      </c>
    </row>
    <row r="58" spans="1:4" ht="15.75">
      <c r="A58" s="270" t="s">
        <v>246</v>
      </c>
      <c r="B58" s="324">
        <v>310</v>
      </c>
      <c r="C58" s="324">
        <v>310</v>
      </c>
      <c r="D58" s="265">
        <v>310</v>
      </c>
    </row>
    <row r="59" spans="1:4" ht="15.75">
      <c r="A59" s="270" t="s">
        <v>250</v>
      </c>
      <c r="B59" s="324">
        <v>11840</v>
      </c>
      <c r="C59" s="324">
        <v>12000</v>
      </c>
      <c r="D59" s="265">
        <v>12000</v>
      </c>
    </row>
    <row r="60" spans="1:4" ht="15.75">
      <c r="A60" s="270" t="s">
        <v>245</v>
      </c>
      <c r="B60" s="324">
        <v>354</v>
      </c>
      <c r="C60" s="324">
        <v>1500</v>
      </c>
      <c r="D60" s="265">
        <v>1500</v>
      </c>
    </row>
    <row r="61" spans="1:4" ht="15.75">
      <c r="A61" s="270" t="s">
        <v>246</v>
      </c>
      <c r="B61" s="324">
        <v>519</v>
      </c>
      <c r="C61" s="324">
        <v>2000</v>
      </c>
      <c r="D61" s="265">
        <v>2000</v>
      </c>
    </row>
    <row r="62" spans="1:4" ht="15.75">
      <c r="A62" s="270" t="s">
        <v>251</v>
      </c>
      <c r="B62" s="324">
        <v>3226</v>
      </c>
      <c r="C62" s="324">
        <v>3600</v>
      </c>
      <c r="D62" s="265">
        <v>3600</v>
      </c>
    </row>
    <row r="63" spans="1:4" ht="15.75">
      <c r="A63" s="270" t="s">
        <v>245</v>
      </c>
      <c r="B63" s="324">
        <v>1321</v>
      </c>
      <c r="C63" s="324">
        <v>3000</v>
      </c>
      <c r="D63" s="265">
        <v>3000</v>
      </c>
    </row>
    <row r="64" spans="1:4" ht="15.75">
      <c r="A64" s="270" t="s">
        <v>246</v>
      </c>
      <c r="B64" s="324">
        <v>192</v>
      </c>
      <c r="C64" s="324">
        <v>1000</v>
      </c>
      <c r="D64" s="265">
        <v>1000</v>
      </c>
    </row>
    <row r="65" spans="1:4" ht="15.75">
      <c r="A65" s="270" t="s">
        <v>252</v>
      </c>
      <c r="B65" s="324">
        <v>1300</v>
      </c>
      <c r="C65" s="324">
        <v>1000</v>
      </c>
      <c r="D65" s="265">
        <v>5000</v>
      </c>
    </row>
    <row r="66" spans="1:4" ht="15.75">
      <c r="A66" s="270" t="s">
        <v>246</v>
      </c>
      <c r="B66" s="324">
        <v>715</v>
      </c>
      <c r="C66" s="324">
        <v>1000</v>
      </c>
      <c r="D66" s="265">
        <v>5000</v>
      </c>
    </row>
    <row r="67" spans="1:4" ht="15.75">
      <c r="A67" s="270"/>
      <c r="B67" s="324"/>
      <c r="C67" s="324"/>
      <c r="D67" s="265"/>
    </row>
    <row r="68" spans="1:4" ht="15.75">
      <c r="A68" s="270"/>
      <c r="B68" s="324"/>
      <c r="C68" s="324"/>
      <c r="D68" s="265"/>
    </row>
    <row r="69" spans="1:4" ht="15.75">
      <c r="A69" s="270" t="s">
        <v>253</v>
      </c>
      <c r="B69" s="324">
        <v>10000</v>
      </c>
      <c r="C69" s="324">
        <v>10000</v>
      </c>
      <c r="D69" s="265">
        <v>10000</v>
      </c>
    </row>
    <row r="70" spans="1:4" ht="15.75">
      <c r="A70" s="270"/>
      <c r="B70" s="324"/>
      <c r="C70" s="324"/>
      <c r="D70" s="265"/>
    </row>
    <row r="71" spans="1:4" ht="15.75">
      <c r="A71" s="270"/>
      <c r="B71" s="324"/>
      <c r="C71" s="324"/>
      <c r="D71" s="265"/>
    </row>
    <row r="72" spans="1:4" ht="15.75">
      <c r="A72" s="279"/>
      <c r="B72" s="324"/>
      <c r="C72" s="324"/>
      <c r="D72" s="266" t="str">
        <f>[1]nhood!D6</f>
        <v/>
      </c>
    </row>
    <row r="73" spans="1:4" ht="15.75">
      <c r="A73" s="279" t="s">
        <v>235</v>
      </c>
      <c r="B73" s="324"/>
      <c r="C73" s="324"/>
      <c r="D73" s="265"/>
    </row>
    <row r="74" spans="1:4" ht="15.75">
      <c r="A74" s="279"/>
      <c r="B74" s="331" t="str">
        <f>IF(B75*0.1&lt;B73,"Exceed 10% Rule","")</f>
        <v/>
      </c>
      <c r="C74" s="332" t="str">
        <f>IF(C75*0.1&lt;C73,"Exceed 10% Rule","")</f>
        <v/>
      </c>
      <c r="D74" s="276" t="str">
        <f>IF(D75*0.1&lt;D73,"Exceed 10% Rule","")</f>
        <v/>
      </c>
    </row>
    <row r="75" spans="1:4" ht="15.75">
      <c r="A75" s="277" t="s">
        <v>255</v>
      </c>
      <c r="B75" s="334">
        <f>SUM(B50:B73)</f>
        <v>168874</v>
      </c>
      <c r="C75" s="334">
        <f>SUM(C50:C73)</f>
        <v>189910</v>
      </c>
      <c r="D75" s="278">
        <f>SUM(D50:D73)</f>
        <v>199198</v>
      </c>
    </row>
    <row r="76" spans="1:4" ht="15.75">
      <c r="A76" s="264" t="s">
        <v>256</v>
      </c>
      <c r="B76" s="325">
        <f>B34-B75</f>
        <v>68729</v>
      </c>
      <c r="C76" s="325">
        <f>C34-C75</f>
        <v>39190</v>
      </c>
      <c r="D76" s="340" t="s">
        <v>102</v>
      </c>
    </row>
    <row r="77" spans="1:4" ht="15.75">
      <c r="A77" s="280"/>
      <c r="B77" s="281" t="str">
        <f>[1]inputOth!A61</f>
        <v>General</v>
      </c>
      <c r="C77" s="341" t="str">
        <f>[1]inputPrYr!C17</f>
        <v>12-101a</v>
      </c>
      <c r="D77" s="340" t="s">
        <v>102</v>
      </c>
    </row>
    <row r="78" spans="1:4" ht="15.75">
      <c r="A78" s="280"/>
      <c r="B78" s="515" t="s">
        <v>257</v>
      </c>
      <c r="C78" s="516"/>
      <c r="D78" s="265"/>
    </row>
    <row r="79" spans="1:4" ht="15.75">
      <c r="A79" s="342" t="str">
        <f>CONCATENATE(B107,"     ",C107)</f>
        <v xml:space="preserve">     </v>
      </c>
      <c r="B79" s="517" t="s">
        <v>258</v>
      </c>
      <c r="C79" s="518"/>
      <c r="D79" s="266">
        <f>D75+D78</f>
        <v>199198</v>
      </c>
    </row>
    <row r="80" spans="1:4" ht="15.75">
      <c r="A80" s="342" t="str">
        <f>CONCATENATE(B108,"     ",C108)</f>
        <v xml:space="preserve">     </v>
      </c>
      <c r="B80" s="283"/>
      <c r="C80" s="253" t="s">
        <v>259</v>
      </c>
      <c r="D80" s="266">
        <f>IF(D79-D34&gt;0,D79-D34,0)</f>
        <v>78299</v>
      </c>
    </row>
    <row r="81" spans="1:4" ht="15.75">
      <c r="A81" s="280"/>
      <c r="B81" s="343" t="s">
        <v>260</v>
      </c>
      <c r="C81" s="344">
        <f>[1]inputOth!D47</f>
        <v>0</v>
      </c>
      <c r="D81" s="266">
        <f>ROUND(IF(C81&gt;0,(D80*C81),0),0)</f>
        <v>0</v>
      </c>
    </row>
    <row r="82" spans="1:4" ht="16.5" thickBot="1">
      <c r="A82" s="251"/>
      <c r="B82" s="519"/>
      <c r="C82" s="520"/>
      <c r="D82" s="345">
        <f>D80+D81</f>
        <v>78299</v>
      </c>
    </row>
    <row r="83" spans="1:4" ht="16.5" thickTop="1">
      <c r="A83" s="251"/>
      <c r="B83" s="519"/>
      <c r="C83" s="521"/>
      <c r="D83" s="346"/>
    </row>
    <row r="84" spans="1:4" ht="15.75">
      <c r="A84" s="251"/>
      <c r="B84" s="251"/>
      <c r="C84" s="251"/>
      <c r="D84" s="251"/>
    </row>
    <row r="85" spans="1:4" ht="15.75">
      <c r="A85" s="335"/>
      <c r="B85" s="280" t="s">
        <v>317</v>
      </c>
      <c r="C85" s="323">
        <v>8</v>
      </c>
      <c r="D85" s="335"/>
    </row>
  </sheetData>
  <mergeCells count="4">
    <mergeCell ref="B78:C78"/>
    <mergeCell ref="B79:C79"/>
    <mergeCell ref="B82:C82"/>
    <mergeCell ref="B83:C83"/>
  </mergeCells>
  <conditionalFormatting sqref="D78">
    <cfRule type="cellIs" dxfId="96" priority="2" stopIfTrue="1" operator="greaterThan">
      <formula>$E$75/0.95-$E$75</formula>
    </cfRule>
  </conditionalFormatting>
  <conditionalFormatting sqref="D73">
    <cfRule type="cellIs" dxfId="95" priority="3" stopIfTrue="1" operator="greaterThan">
      <formula>$E$75*0.1</formula>
    </cfRule>
  </conditionalFormatting>
  <conditionalFormatting sqref="C75">
    <cfRule type="cellIs" dxfId="94" priority="4" stopIfTrue="1" operator="greaterThan">
      <formula>$D$77</formula>
    </cfRule>
  </conditionalFormatting>
  <conditionalFormatting sqref="B75">
    <cfRule type="cellIs" dxfId="93" priority="5" stopIfTrue="1" operator="greaterThan">
      <formula>$C$77</formula>
    </cfRule>
  </conditionalFormatting>
  <conditionalFormatting sqref="B76">
    <cfRule type="cellIs" dxfId="92" priority="6" stopIfTrue="1" operator="lessThan">
      <formula>0</formula>
    </cfRule>
  </conditionalFormatting>
  <conditionalFormatting sqref="B73">
    <cfRule type="cellIs" dxfId="91" priority="7" stopIfTrue="1" operator="greaterThan">
      <formula>$C$75*0.1</formula>
    </cfRule>
  </conditionalFormatting>
  <conditionalFormatting sqref="C73">
    <cfRule type="cellIs" dxfId="90" priority="8" stopIfTrue="1" operator="greaterThan">
      <formula>$D$75*0.1</formula>
    </cfRule>
  </conditionalFormatting>
  <conditionalFormatting sqref="C31">
    <cfRule type="cellIs" dxfId="89" priority="9" stopIfTrue="1" operator="greaterThan">
      <formula>$D$33*0.1</formula>
    </cfRule>
  </conditionalFormatting>
  <conditionalFormatting sqref="B31">
    <cfRule type="cellIs" dxfId="88" priority="10" stopIfTrue="1" operator="greaterThan">
      <formula>$C$33*0.1</formula>
    </cfRule>
  </conditionalFormatting>
  <conditionalFormatting sqref="D31">
    <cfRule type="cellIs" dxfId="87" priority="11" stopIfTrue="1" operator="greaterThan">
      <formula>$E$33*0.1+D82</formula>
    </cfRule>
  </conditionalFormatting>
  <conditionalFormatting sqref="C76">
    <cfRule type="cellIs" dxfId="86" priority="1" stopIfTrue="1" operator="less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inputpryr</vt:lpstr>
      <vt:lpstr>inputother</vt:lpstr>
      <vt:lpstr>InputBudSum</vt:lpstr>
      <vt:lpstr>Cert</vt:lpstr>
      <vt:lpstr>computation</vt:lpstr>
      <vt:lpstr>mvalloc</vt:lpstr>
      <vt:lpstr>transfers</vt:lpstr>
      <vt:lpstr>Debt</vt:lpstr>
      <vt:lpstr>general</vt:lpstr>
      <vt:lpstr>library</vt:lpstr>
      <vt:lpstr>Sp. Hwy</vt:lpstr>
      <vt:lpstr>non levy page</vt:lpstr>
      <vt:lpstr>non levy page2</vt:lpstr>
      <vt:lpstr>non levy page3</vt:lpstr>
      <vt:lpstr>non levy page4</vt:lpstr>
      <vt:lpstr>non levy page5</vt:lpstr>
      <vt:lpstr>summ</vt:lpstr>
      <vt:lpstr>SignCert</vt:lpstr>
      <vt:lpstr>ProofPub</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astjohn</cp:lastModifiedBy>
  <cp:lastPrinted>2012-08-22T14:11:56Z</cp:lastPrinted>
  <dcterms:created xsi:type="dcterms:W3CDTF">2012-07-25T18:32:43Z</dcterms:created>
  <dcterms:modified xsi:type="dcterms:W3CDTF">2014-01-21T16:34:44Z</dcterms:modified>
</cp:coreProperties>
</file>